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80" firstSheet="1" activeTab="4"/>
  </bookViews>
  <sheets>
    <sheet name="שער" sheetId="6" state="hidden" r:id="rId1"/>
    <sheet name="ריכוז תקציב 2020" sheetId="2" r:id="rId2"/>
    <sheet name="ריכוז לפי פרקים" sheetId="4" r:id="rId3"/>
    <sheet name="גרפים" sheetId="5" state="hidden" r:id="rId4"/>
    <sheet name="תקציב 2020" sheetId="1" r:id="rId5"/>
    <sheet name="שינויים ישיבת הנהלה" sheetId="20" state="hidden" r:id="rId6"/>
    <sheet name="נספח 4 משרות" sheetId="7" state="hidden" r:id="rId7"/>
    <sheet name="יתרות 1 עד 5" sheetId="18" state="hidden" r:id="rId8"/>
    <sheet name="תוכנית הבראה" sheetId="16" state="hidden" r:id="rId9"/>
    <sheet name="טלפון" sheetId="15" state="hidden" r:id="rId10"/>
    <sheet name="צריכת חשמל" sheetId="14" state="hidden" r:id="rId11"/>
    <sheet name="חינוך" sheetId="10" state="hidden" r:id="rId12"/>
    <sheet name="כספי 2019" sheetId="8" state="hidden" r:id="rId13"/>
    <sheet name="גבייה" sheetId="11" state="hidden" r:id="rId14"/>
    <sheet name="ריכוז" sheetId="13" state="hidden" r:id="rId15"/>
    <sheet name="שכר מפורט" sheetId="12" state="hidden" r:id="rId16"/>
    <sheet name="66 שנת 2019" sheetId="17" state="hidden" r:id="rId17"/>
    <sheet name="שינויים 14.7.20" sheetId="19" state="hidden" r:id="rId18"/>
  </sheets>
  <externalReferences>
    <externalReference r:id="rId19"/>
    <externalReference r:id="rId20"/>
  </externalReferences>
  <definedNames>
    <definedName name="_xlnm._FilterDatabase" localSheetId="12" hidden="1">'כספי 2019'!$A$1:$F$1</definedName>
    <definedName name="_xlnm._FilterDatabase" localSheetId="4" hidden="1">'תקציב 2020'!$A$1:$X$758</definedName>
    <definedName name="_xlnm._FilterDatabase" hidden="1">#N/A</definedName>
    <definedName name="_Sort" localSheetId="2" hidden="1">#REF!</definedName>
    <definedName name="_Sort" hidden="1">#REF!</definedName>
    <definedName name="_xlnm.Database" localSheetId="2" hidden="1">#REF!</definedName>
    <definedName name="_xlnm.Database" hidden="1">#REF!</definedName>
    <definedName name="SS" localSheetId="2" hidden="1">#REF!</definedName>
    <definedName name="SS" hidden="1">#REF!</definedName>
    <definedName name="_xlnm.Print_Area" localSheetId="6">'נספח 4 משרות'!$A$1:$L$39</definedName>
    <definedName name="_xlnm.Print_Area" localSheetId="0">שער!$A$1:$R$95</definedName>
    <definedName name="_xlnm.Print_Area" localSheetId="4">'תקציב 2020'!$A$1:$X$758</definedName>
    <definedName name="_xlnm.Print_Area">#N/A</definedName>
    <definedName name="_xlnm.Print_Titles" localSheetId="4">'תקציב 2020'!$1:$1</definedName>
    <definedName name="_xlnm.Print_Titles">#N/A</definedName>
    <definedName name="אגרותוהיטילים" localSheetId="2">'[1]רכוז נתוני התקציב'!$L:$L</definedName>
    <definedName name="אגרותוהיטילים">'[1]רכוז נתוני התקציב'!$J:$J</definedName>
    <definedName name="גגג" hidden="1">#REF!</definedName>
    <definedName name="הבראה2019">#REF!</definedName>
    <definedName name="טבלה2" localSheetId="2">'[1]רכוז נתוני התקציב'!$K:$K</definedName>
    <definedName name="טבלה2">'[1]רכוז נתוני התקציב'!$I:$I</definedName>
    <definedName name="כספי">#REF!</definedName>
    <definedName name="כספי1">'[2]1'!$A$1:$F$605</definedName>
    <definedName name="מקורי2018">#REF!</definedName>
    <definedName name="פרק" localSheetId="2">'[1]רכוז נתוני התקציב'!$G:$G</definedName>
    <definedName name="פרק">'[1]רכוז נתוני התקציב'!$G:$G</definedName>
    <definedName name="צפי2018">#REF!</definedName>
    <definedName name="קודסיכום" localSheetId="2">'[1]רכוז נתוני התקציב'!$C:$C</definedName>
    <definedName name="קודסיכום">'[1]רכוז נתוני התקציב'!$C:$C</definedName>
    <definedName name="ש" localSheetId="2" hidden="1">#REF!</definedName>
    <definedName name="ש" hidden="1">#REF!</definedName>
    <definedName name="תקנים2019">#REF!</definedName>
    <definedName name="תקציב2019">#REF!</definedName>
  </definedNames>
  <calcPr calcId="162913"/>
</workbook>
</file>

<file path=xl/calcChain.xml><?xml version="1.0" encoding="utf-8"?>
<calcChain xmlns="http://schemas.openxmlformats.org/spreadsheetml/2006/main">
  <c r="X158" i="1" l="1"/>
  <c r="S1572" i="17" l="1"/>
  <c r="AA1554" i="17"/>
  <c r="Z1554" i="17"/>
  <c r="Y1554" i="17"/>
  <c r="V1553" i="17"/>
  <c r="W1551" i="17"/>
  <c r="AD1551" i="17" s="1"/>
  <c r="V1551" i="17"/>
  <c r="AB1550" i="17"/>
  <c r="AB1549" i="17"/>
  <c r="AB1551" i="17" s="1"/>
  <c r="W1548" i="17"/>
  <c r="V1548" i="17"/>
  <c r="AB1547" i="17"/>
  <c r="AB1546" i="17"/>
  <c r="AB1545" i="17"/>
  <c r="AB1544" i="17"/>
  <c r="AB1543" i="17"/>
  <c r="AB1542" i="17"/>
  <c r="AB1541" i="17"/>
  <c r="AB1540" i="17"/>
  <c r="AB1539" i="17"/>
  <c r="AB1538" i="17"/>
  <c r="AB1537" i="17"/>
  <c r="AB1536" i="17"/>
  <c r="AB1535" i="17"/>
  <c r="AB1534" i="17"/>
  <c r="AB1533" i="17"/>
  <c r="AB1532" i="17"/>
  <c r="AB1531" i="17"/>
  <c r="AB1530" i="17"/>
  <c r="AB1529" i="17"/>
  <c r="AB1528" i="17"/>
  <c r="AB1527" i="17"/>
  <c r="AB1526" i="17"/>
  <c r="AB1525" i="17"/>
  <c r="AB1524" i="17"/>
  <c r="AB1523" i="17"/>
  <c r="AB1522" i="17"/>
  <c r="AB1521" i="17"/>
  <c r="AB1520" i="17"/>
  <c r="AB1519" i="17"/>
  <c r="AB1518" i="17"/>
  <c r="AB1517" i="17"/>
  <c r="AB1516" i="17"/>
  <c r="AB1515" i="17"/>
  <c r="AB1514" i="17"/>
  <c r="AB1513" i="17"/>
  <c r="AB1512" i="17"/>
  <c r="AB1511" i="17"/>
  <c r="AB1510" i="17"/>
  <c r="AB1509" i="17"/>
  <c r="AB1508" i="17"/>
  <c r="W1507" i="17"/>
  <c r="V1507" i="17"/>
  <c r="AB1506" i="17"/>
  <c r="AB1505" i="17"/>
  <c r="AB1504" i="17"/>
  <c r="AB1503" i="17"/>
  <c r="AB1502" i="17"/>
  <c r="AB1501" i="17"/>
  <c r="AB1500" i="17"/>
  <c r="AB1499" i="17"/>
  <c r="AB1498" i="17"/>
  <c r="AB1497" i="17"/>
  <c r="AB1496" i="17"/>
  <c r="AB1495" i="17"/>
  <c r="AB1494" i="17"/>
  <c r="AB1493" i="17"/>
  <c r="AB1492" i="17"/>
  <c r="AB1491" i="17"/>
  <c r="AB1490" i="17"/>
  <c r="AB1489" i="17"/>
  <c r="AB1488" i="17"/>
  <c r="AB1487" i="17"/>
  <c r="AB1486" i="17"/>
  <c r="AB1485" i="17"/>
  <c r="AB1484" i="17"/>
  <c r="AB1483" i="17"/>
  <c r="AB1482" i="17"/>
  <c r="AB1481" i="17"/>
  <c r="AB1480" i="17"/>
  <c r="AB1479" i="17"/>
  <c r="AB1478" i="17"/>
  <c r="AB1477" i="17"/>
  <c r="AB1476" i="17"/>
  <c r="AB1475" i="17"/>
  <c r="AB1474" i="17"/>
  <c r="AB1473" i="17"/>
  <c r="AB1472" i="17"/>
  <c r="AB1471" i="17"/>
  <c r="AB1470" i="17"/>
  <c r="AB1469" i="17"/>
  <c r="AB1468" i="17"/>
  <c r="AB1467" i="17"/>
  <c r="AB1466" i="17"/>
  <c r="AB1465" i="17"/>
  <c r="AB1464" i="17"/>
  <c r="AB1463" i="17"/>
  <c r="AB1462" i="17"/>
  <c r="AB1461" i="17"/>
  <c r="AB1460" i="17"/>
  <c r="AB1459" i="17"/>
  <c r="AB1458" i="17"/>
  <c r="AB1457" i="17"/>
  <c r="AB1456" i="17"/>
  <c r="AB1455" i="17"/>
  <c r="AB1454" i="17"/>
  <c r="AB1453" i="17"/>
  <c r="AB1452" i="17"/>
  <c r="AB1451" i="17"/>
  <c r="AB1450" i="17"/>
  <c r="AB1449" i="17"/>
  <c r="AB1448" i="17"/>
  <c r="AB1447" i="17"/>
  <c r="AB1446" i="17"/>
  <c r="AB1445" i="17"/>
  <c r="AB1444" i="17"/>
  <c r="AB1443" i="17"/>
  <c r="AB1442" i="17"/>
  <c r="AB1441" i="17"/>
  <c r="AB1440" i="17"/>
  <c r="AB1439" i="17"/>
  <c r="AB1438" i="17"/>
  <c r="AB1437" i="17"/>
  <c r="AB1436" i="17"/>
  <c r="AB1435" i="17"/>
  <c r="AB1434" i="17"/>
  <c r="AB1433" i="17"/>
  <c r="AB1432" i="17"/>
  <c r="AB1431" i="17"/>
  <c r="AB1430" i="17"/>
  <c r="AB1429" i="17"/>
  <c r="AB1428" i="17"/>
  <c r="AB1427" i="17"/>
  <c r="AB1426" i="17"/>
  <c r="AB1425" i="17"/>
  <c r="AB1424" i="17"/>
  <c r="AB1423" i="17"/>
  <c r="AB1422" i="17"/>
  <c r="AB1421" i="17"/>
  <c r="AB1420" i="17"/>
  <c r="AB1419" i="17"/>
  <c r="AB1418" i="17"/>
  <c r="AB1417" i="17"/>
  <c r="AB1416" i="17"/>
  <c r="AB1415" i="17"/>
  <c r="AB1414" i="17"/>
  <c r="AB1413" i="17"/>
  <c r="AB1412" i="17"/>
  <c r="AB1411" i="17"/>
  <c r="AB1410" i="17"/>
  <c r="AB1409" i="17"/>
  <c r="AB1408" i="17"/>
  <c r="AB1407" i="17"/>
  <c r="AB1406" i="17"/>
  <c r="AB1405" i="17"/>
  <c r="AB1404" i="17"/>
  <c r="AB1403" i="17"/>
  <c r="AB1402" i="17"/>
  <c r="AB1401" i="17"/>
  <c r="AB1400" i="17"/>
  <c r="AB1399" i="17"/>
  <c r="AB1398" i="17"/>
  <c r="AB1397" i="17"/>
  <c r="AB1396" i="17"/>
  <c r="AB1395" i="17"/>
  <c r="AB1394" i="17"/>
  <c r="AB1393" i="17"/>
  <c r="AB1392" i="17"/>
  <c r="AB1391" i="17"/>
  <c r="AB1390" i="17"/>
  <c r="AB1389" i="17"/>
  <c r="AB1388" i="17"/>
  <c r="AB1387" i="17"/>
  <c r="AB1386" i="17"/>
  <c r="AB1385" i="17"/>
  <c r="AB1384" i="17"/>
  <c r="AB1383" i="17"/>
  <c r="AB1382" i="17"/>
  <c r="AB1381" i="17"/>
  <c r="AB1380" i="17"/>
  <c r="AB1379" i="17"/>
  <c r="AB1378" i="17"/>
  <c r="AB1377" i="17"/>
  <c r="AB1376" i="17"/>
  <c r="AB1375" i="17"/>
  <c r="AB1374" i="17"/>
  <c r="AB1373" i="17"/>
  <c r="AB1372" i="17"/>
  <c r="AB1371" i="17"/>
  <c r="AB1370" i="17"/>
  <c r="AB1369" i="17"/>
  <c r="AB1368" i="17"/>
  <c r="AB1367" i="17"/>
  <c r="AB1366" i="17"/>
  <c r="AB1365" i="17"/>
  <c r="AB1364" i="17"/>
  <c r="AB1363" i="17"/>
  <c r="AB1362" i="17"/>
  <c r="AB1361" i="17"/>
  <c r="AB1360" i="17"/>
  <c r="AB1359" i="17"/>
  <c r="AB1358" i="17"/>
  <c r="AB1357" i="17"/>
  <c r="AB1356" i="17"/>
  <c r="AB1355" i="17"/>
  <c r="AB1354" i="17"/>
  <c r="AB1353" i="17"/>
  <c r="AB1352" i="17"/>
  <c r="AB1351" i="17"/>
  <c r="AB1350" i="17"/>
  <c r="AB1349" i="17"/>
  <c r="AB1348" i="17"/>
  <c r="AB1347" i="17"/>
  <c r="AB1346" i="17"/>
  <c r="AB1345" i="17"/>
  <c r="AB1344" i="17"/>
  <c r="AB1343" i="17"/>
  <c r="AB1342" i="17"/>
  <c r="AB1341" i="17"/>
  <c r="AB1340" i="17"/>
  <c r="AB1339" i="17"/>
  <c r="AB1338" i="17"/>
  <c r="AB1337" i="17"/>
  <c r="AB1336" i="17"/>
  <c r="AB1335" i="17"/>
  <c r="AB1334" i="17"/>
  <c r="AB1333" i="17"/>
  <c r="AB1332" i="17"/>
  <c r="AB1331" i="17"/>
  <c r="AB1330" i="17"/>
  <c r="AB1329" i="17"/>
  <c r="AB1328" i="17"/>
  <c r="AB1327" i="17"/>
  <c r="AB1326" i="17"/>
  <c r="AB1325" i="17"/>
  <c r="AB1324" i="17"/>
  <c r="AB1323" i="17"/>
  <c r="AB1322" i="17"/>
  <c r="AB1321" i="17"/>
  <c r="AB1320" i="17"/>
  <c r="AB1319" i="17"/>
  <c r="AB1318" i="17"/>
  <c r="AB1317" i="17"/>
  <c r="AB1316" i="17"/>
  <c r="AB1315" i="17"/>
  <c r="AB1314" i="17"/>
  <c r="AB1313" i="17"/>
  <c r="AB1312" i="17"/>
  <c r="AB1311" i="17"/>
  <c r="AB1310" i="17"/>
  <c r="AB1309" i="17"/>
  <c r="AB1308" i="17"/>
  <c r="AB1307" i="17"/>
  <c r="AB1306" i="17"/>
  <c r="AB1305" i="17"/>
  <c r="AB1304" i="17"/>
  <c r="AB1303" i="17"/>
  <c r="AB1302" i="17"/>
  <c r="AB1301" i="17"/>
  <c r="AB1300" i="17"/>
  <c r="AB1299" i="17"/>
  <c r="AB1298" i="17"/>
  <c r="AB1297" i="17"/>
  <c r="AB1296" i="17"/>
  <c r="AB1295" i="17"/>
  <c r="AB1294" i="17"/>
  <c r="AB1293" i="17"/>
  <c r="AB1292" i="17"/>
  <c r="AB1291" i="17"/>
  <c r="AB1290" i="17"/>
  <c r="AB1289" i="17"/>
  <c r="AB1288" i="17"/>
  <c r="AB1287" i="17"/>
  <c r="AB1286" i="17"/>
  <c r="AB1285" i="17"/>
  <c r="AB1284" i="17"/>
  <c r="AB1283" i="17"/>
  <c r="AB1282" i="17"/>
  <c r="AB1281" i="17"/>
  <c r="AB1280" i="17"/>
  <c r="AB1279" i="17"/>
  <c r="AB1278" i="17"/>
  <c r="AB1277" i="17"/>
  <c r="AB1276" i="17"/>
  <c r="AB1275" i="17"/>
  <c r="AB1274" i="17"/>
  <c r="AB1273" i="17"/>
  <c r="AB1272" i="17"/>
  <c r="AB1271" i="17"/>
  <c r="AB1270" i="17"/>
  <c r="AB1269" i="17"/>
  <c r="AB1268" i="17"/>
  <c r="AB1267" i="17"/>
  <c r="AB1266" i="17"/>
  <c r="AB1265" i="17"/>
  <c r="AB1264" i="17"/>
  <c r="AB1263" i="17"/>
  <c r="AB1262" i="17"/>
  <c r="AB1261" i="17"/>
  <c r="AB1260" i="17"/>
  <c r="AB1259" i="17"/>
  <c r="AB1258" i="17"/>
  <c r="AB1257" i="17"/>
  <c r="AB1256" i="17"/>
  <c r="AB1255" i="17"/>
  <c r="AB1254" i="17"/>
  <c r="AB1253" i="17"/>
  <c r="AB1252" i="17"/>
  <c r="AB1251" i="17"/>
  <c r="AB1250" i="17"/>
  <c r="AB1249" i="17"/>
  <c r="AB1248" i="17"/>
  <c r="AB1247" i="17"/>
  <c r="AB1246" i="17"/>
  <c r="AB1245" i="17"/>
  <c r="AB1244" i="17"/>
  <c r="AB1243" i="17"/>
  <c r="AB1242" i="17"/>
  <c r="AB1241" i="17"/>
  <c r="AB1240" i="17"/>
  <c r="AB1239" i="17"/>
  <c r="AB1238" i="17"/>
  <c r="AB1237" i="17"/>
  <c r="AB1236" i="17"/>
  <c r="AB1235" i="17"/>
  <c r="AB1234" i="17"/>
  <c r="AB1233" i="17"/>
  <c r="AB1232" i="17"/>
  <c r="AB1231" i="17"/>
  <c r="AB1230" i="17"/>
  <c r="AB1229" i="17"/>
  <c r="AB1228" i="17"/>
  <c r="AB1227" i="17"/>
  <c r="AB1226" i="17"/>
  <c r="AB1225" i="17"/>
  <c r="AB1224" i="17"/>
  <c r="AB1223" i="17"/>
  <c r="AB1222" i="17"/>
  <c r="AB1221" i="17"/>
  <c r="AB1220" i="17"/>
  <c r="AB1219" i="17"/>
  <c r="AB1218" i="17"/>
  <c r="AB1217" i="17"/>
  <c r="AB1216" i="17"/>
  <c r="AB1215" i="17"/>
  <c r="AB1214" i="17"/>
  <c r="AB1213" i="17"/>
  <c r="AB1212" i="17"/>
  <c r="AB1211" i="17"/>
  <c r="AB1210" i="17"/>
  <c r="AB1209" i="17"/>
  <c r="AB1208" i="17"/>
  <c r="AB1207" i="17"/>
  <c r="AB1206" i="17"/>
  <c r="AB1205" i="17"/>
  <c r="AB1204" i="17"/>
  <c r="AB1203" i="17"/>
  <c r="AB1202" i="17"/>
  <c r="AB1201" i="17"/>
  <c r="AB1200" i="17"/>
  <c r="AB1199" i="17"/>
  <c r="AB1198" i="17"/>
  <c r="AB1197" i="17"/>
  <c r="AB1196" i="17"/>
  <c r="AB1195" i="17"/>
  <c r="AB1194" i="17"/>
  <c r="AB1193" i="17"/>
  <c r="AB1192" i="17"/>
  <c r="AB1191" i="17"/>
  <c r="AB1190" i="17"/>
  <c r="AB1189" i="17"/>
  <c r="AB1188" i="17"/>
  <c r="AB1187" i="17"/>
  <c r="AB1186" i="17"/>
  <c r="AB1185" i="17"/>
  <c r="AB1184" i="17"/>
  <c r="AB1183" i="17"/>
  <c r="AB1182" i="17"/>
  <c r="AB1181" i="17"/>
  <c r="AB1180" i="17"/>
  <c r="AB1179" i="17"/>
  <c r="AB1178" i="17"/>
  <c r="AB1177" i="17"/>
  <c r="AB1176" i="17"/>
  <c r="AB1175" i="17"/>
  <c r="AB1174" i="17"/>
  <c r="AB1173" i="17"/>
  <c r="AB1172" i="17"/>
  <c r="AB1171" i="17"/>
  <c r="AB1170" i="17"/>
  <c r="AB1169" i="17"/>
  <c r="AB1168" i="17"/>
  <c r="AB1167" i="17"/>
  <c r="AB1166" i="17"/>
  <c r="AB1165" i="17"/>
  <c r="AB1164" i="17"/>
  <c r="AB1163" i="17"/>
  <c r="AB1162" i="17"/>
  <c r="AB1161" i="17"/>
  <c r="AB1160" i="17"/>
  <c r="AB1159" i="17"/>
  <c r="AB1158" i="17"/>
  <c r="AB1157" i="17"/>
  <c r="AB1156" i="17"/>
  <c r="AB1155" i="17"/>
  <c r="AB1154" i="17"/>
  <c r="AB1153" i="17"/>
  <c r="AB1152" i="17"/>
  <c r="AB1151" i="17"/>
  <c r="AB1150" i="17"/>
  <c r="AB1149" i="17"/>
  <c r="AB1148" i="17"/>
  <c r="AB1147" i="17"/>
  <c r="AB1146" i="17"/>
  <c r="AB1145" i="17"/>
  <c r="AB1144" i="17"/>
  <c r="AB1143" i="17"/>
  <c r="AB1142" i="17"/>
  <c r="AB1141" i="17"/>
  <c r="AB1140" i="17"/>
  <c r="AB1139" i="17"/>
  <c r="AB1138" i="17"/>
  <c r="AB1137" i="17"/>
  <c r="AB1136" i="17"/>
  <c r="AB1135" i="17"/>
  <c r="AB1134" i="17"/>
  <c r="AB1133" i="17"/>
  <c r="AB1132" i="17"/>
  <c r="AB1131" i="17"/>
  <c r="AB1130" i="17"/>
  <c r="AB1129" i="17"/>
  <c r="AB1128" i="17"/>
  <c r="AB1127" i="17"/>
  <c r="AB1126" i="17"/>
  <c r="AB1125" i="17"/>
  <c r="AB1124" i="17"/>
  <c r="AB1123" i="17"/>
  <c r="AB1122" i="17"/>
  <c r="AB1121" i="17"/>
  <c r="AB1120" i="17"/>
  <c r="AB1119" i="17"/>
  <c r="AB1118" i="17"/>
  <c r="AB1117" i="17"/>
  <c r="AB1116" i="17"/>
  <c r="AB1115" i="17"/>
  <c r="AB1114" i="17"/>
  <c r="AB1113" i="17"/>
  <c r="AB1112" i="17"/>
  <c r="W1111" i="17"/>
  <c r="V1111" i="17"/>
  <c r="AB1110" i="17"/>
  <c r="AB1111" i="17" s="1"/>
  <c r="AB1109" i="17"/>
  <c r="W1109" i="17"/>
  <c r="V1109" i="17"/>
  <c r="AB1108" i="17"/>
  <c r="W1107" i="17"/>
  <c r="V1107" i="17"/>
  <c r="AB1106" i="17"/>
  <c r="AB1105" i="17"/>
  <c r="AB1104" i="17"/>
  <c r="AB1103" i="17"/>
  <c r="AB1102" i="17"/>
  <c r="AB1107" i="17" s="1"/>
  <c r="W1101" i="17"/>
  <c r="V1101" i="17"/>
  <c r="AB1100" i="17"/>
  <c r="AB1099" i="17"/>
  <c r="AB1098" i="17"/>
  <c r="AB1097" i="17"/>
  <c r="AB1096" i="17"/>
  <c r="AB1095" i="17"/>
  <c r="AB1094" i="17"/>
  <c r="AB1093" i="17"/>
  <c r="AB1092" i="17"/>
  <c r="AB1091" i="17"/>
  <c r="AB1101" i="17" s="1"/>
  <c r="W1090" i="17"/>
  <c r="V1090" i="17"/>
  <c r="AB1089" i="17"/>
  <c r="AB1088" i="17"/>
  <c r="AB1087" i="17"/>
  <c r="AB1086" i="17"/>
  <c r="AB1085" i="17"/>
  <c r="AB1084" i="17"/>
  <c r="AB1083" i="17"/>
  <c r="W1082" i="17"/>
  <c r="V1082" i="17"/>
  <c r="AB1081" i="17"/>
  <c r="AB1080" i="17"/>
  <c r="AB1079" i="17"/>
  <c r="AB1078" i="17"/>
  <c r="AB1077" i="17"/>
  <c r="AB1076" i="17"/>
  <c r="AB1075" i="17"/>
  <c r="AB1074" i="17"/>
  <c r="AB1073" i="17"/>
  <c r="AB1082" i="17" s="1"/>
  <c r="W1072" i="17"/>
  <c r="V1072" i="17"/>
  <c r="AB1071" i="17"/>
  <c r="AB1070" i="17"/>
  <c r="AB1069" i="17"/>
  <c r="AB1068" i="17"/>
  <c r="AB1067" i="17"/>
  <c r="AB1066" i="17"/>
  <c r="AB1065" i="17"/>
  <c r="AB1072" i="17" s="1"/>
  <c r="AB1064" i="17"/>
  <c r="AB1063" i="17"/>
  <c r="AB1062" i="17"/>
  <c r="AB1061" i="17"/>
  <c r="AB1060" i="17"/>
  <c r="W1059" i="17"/>
  <c r="V1059" i="17"/>
  <c r="AB1058" i="17"/>
  <c r="AB1059" i="17" s="1"/>
  <c r="W1057" i="17"/>
  <c r="V1057" i="17"/>
  <c r="AB1056" i="17"/>
  <c r="AB1055" i="17"/>
  <c r="AB1054" i="17"/>
  <c r="AB1053" i="17"/>
  <c r="AB1052" i="17"/>
  <c r="AB1051" i="17"/>
  <c r="AB1050" i="17"/>
  <c r="AB1049" i="17"/>
  <c r="AB1048" i="17"/>
  <c r="AB1047" i="17"/>
  <c r="AB1046" i="17"/>
  <c r="AB1045" i="17"/>
  <c r="AB1044" i="17"/>
  <c r="AB1043" i="17"/>
  <c r="AB1042" i="17"/>
  <c r="AB1041" i="17"/>
  <c r="W1040" i="17"/>
  <c r="V1040" i="17"/>
  <c r="AB1039" i="17"/>
  <c r="AB1040" i="17" s="1"/>
  <c r="W1038" i="17"/>
  <c r="V1038" i="17"/>
  <c r="AB1037" i="17"/>
  <c r="AB1036" i="17"/>
  <c r="AB1035" i="17"/>
  <c r="AB1034" i="17"/>
  <c r="AB1033" i="17"/>
  <c r="AB1032" i="17"/>
  <c r="AB1031" i="17"/>
  <c r="AB1038" i="17" s="1"/>
  <c r="W1030" i="17"/>
  <c r="V1030" i="17"/>
  <c r="AB1029" i="17"/>
  <c r="AB1028" i="17"/>
  <c r="AB1030" i="17" s="1"/>
  <c r="AB1027" i="17"/>
  <c r="W1027" i="17"/>
  <c r="V1027" i="17"/>
  <c r="AB1026" i="17"/>
  <c r="W1025" i="17"/>
  <c r="V1025" i="17"/>
  <c r="AB1024" i="17"/>
  <c r="AB1025" i="17" s="1"/>
  <c r="AB1023" i="17"/>
  <c r="W1023" i="17"/>
  <c r="V1023" i="17"/>
  <c r="AB1022" i="17"/>
  <c r="W1021" i="17"/>
  <c r="V1021" i="17"/>
  <c r="AB1020" i="17"/>
  <c r="AB1021" i="17" s="1"/>
  <c r="AB1019" i="17"/>
  <c r="W1019" i="17"/>
  <c r="V1019" i="17"/>
  <c r="AB1018" i="17"/>
  <c r="AB1017" i="17"/>
  <c r="W1016" i="17"/>
  <c r="V1016" i="17"/>
  <c r="AB1015" i="17"/>
  <c r="AB1014" i="17"/>
  <c r="AB1013" i="17"/>
  <c r="AB1016" i="17" s="1"/>
  <c r="W1012" i="17"/>
  <c r="V1012" i="17"/>
  <c r="AB1011" i="17"/>
  <c r="AB1010" i="17"/>
  <c r="AB1009" i="17"/>
  <c r="AB1008" i="17"/>
  <c r="AB1007" i="17"/>
  <c r="AB1006" i="17"/>
  <c r="AB1005" i="17"/>
  <c r="AB1004" i="17"/>
  <c r="AB1003" i="17"/>
  <c r="AB1002" i="17"/>
  <c r="AB1001" i="17"/>
  <c r="AB1000" i="17"/>
  <c r="W999" i="17"/>
  <c r="V999" i="17"/>
  <c r="AB998" i="17"/>
  <c r="AB997" i="17"/>
  <c r="AB996" i="17"/>
  <c r="AB995" i="17"/>
  <c r="AB994" i="17"/>
  <c r="AB993" i="17"/>
  <c r="AB992" i="17"/>
  <c r="AB991" i="17"/>
  <c r="AB990" i="17"/>
  <c r="AB989" i="17"/>
  <c r="AB988" i="17"/>
  <c r="AB987" i="17"/>
  <c r="AB986" i="17"/>
  <c r="AB985" i="17"/>
  <c r="AB984" i="17"/>
  <c r="W983" i="17"/>
  <c r="V983" i="17"/>
  <c r="AB982" i="17"/>
  <c r="AB983" i="17" s="1"/>
  <c r="AB981" i="17"/>
  <c r="W981" i="17"/>
  <c r="V981" i="17"/>
  <c r="AB980" i="17"/>
  <c r="AB979" i="17"/>
  <c r="AE979" i="17" s="1"/>
  <c r="W979" i="17"/>
  <c r="AD979" i="17" s="1"/>
  <c r="V979" i="17"/>
  <c r="AC979" i="17" s="1"/>
  <c r="AB978" i="17"/>
  <c r="AB977" i="17"/>
  <c r="AB976" i="17"/>
  <c r="AB975" i="17"/>
  <c r="AB974" i="17"/>
  <c r="AE973" i="17"/>
  <c r="AD973" i="17"/>
  <c r="AB973" i="17"/>
  <c r="W973" i="17"/>
  <c r="V973" i="17"/>
  <c r="AC973" i="17" s="1"/>
  <c r="AB972" i="17"/>
  <c r="AB971" i="17"/>
  <c r="AB970" i="17"/>
  <c r="W970" i="17"/>
  <c r="V970" i="17"/>
  <c r="AB969" i="17"/>
  <c r="W968" i="17"/>
  <c r="AD970" i="17" s="1"/>
  <c r="V968" i="17"/>
  <c r="AB967" i="17"/>
  <c r="AB966" i="17"/>
  <c r="AB968" i="17" s="1"/>
  <c r="W965" i="17"/>
  <c r="V965" i="17"/>
  <c r="AB964" i="17"/>
  <c r="AB963" i="17"/>
  <c r="AB962" i="17"/>
  <c r="AB961" i="17"/>
  <c r="AB960" i="17"/>
  <c r="AB959" i="17"/>
  <c r="AB958" i="17"/>
  <c r="AB957" i="17"/>
  <c r="AB956" i="17"/>
  <c r="AB955" i="17"/>
  <c r="AB954" i="17"/>
  <c r="AB953" i="17"/>
  <c r="AB952" i="17"/>
  <c r="AB951" i="17"/>
  <c r="AB950" i="17"/>
  <c r="AB949" i="17"/>
  <c r="AB948" i="17"/>
  <c r="W947" i="17"/>
  <c r="V947" i="17"/>
  <c r="AB946" i="17"/>
  <c r="AB945" i="17"/>
  <c r="AB944" i="17"/>
  <c r="AB943" i="17"/>
  <c r="AB942" i="17"/>
  <c r="AB941" i="17"/>
  <c r="AB940" i="17"/>
  <c r="AB947" i="17" s="1"/>
  <c r="W939" i="17"/>
  <c r="V939" i="17"/>
  <c r="AB938" i="17"/>
  <c r="AB937" i="17"/>
  <c r="AB936" i="17"/>
  <c r="AB935" i="17"/>
  <c r="AB939" i="17" s="1"/>
  <c r="W934" i="17"/>
  <c r="V934" i="17"/>
  <c r="AB933" i="17"/>
  <c r="AB932" i="17"/>
  <c r="AB931" i="17"/>
  <c r="AB930" i="17"/>
  <c r="AB929" i="17"/>
  <c r="AB934" i="17" s="1"/>
  <c r="W928" i="17"/>
  <c r="V928" i="17"/>
  <c r="AB927" i="17"/>
  <c r="AB926" i="17"/>
  <c r="AB925" i="17"/>
  <c r="AB924" i="17"/>
  <c r="AB923" i="17"/>
  <c r="AB922" i="17"/>
  <c r="AB921" i="17"/>
  <c r="AB920" i="17"/>
  <c r="AB919" i="17"/>
  <c r="AB918" i="17"/>
  <c r="AB917" i="17"/>
  <c r="AB916" i="17"/>
  <c r="AB915" i="17"/>
  <c r="AB914" i="17"/>
  <c r="AB913" i="17"/>
  <c r="AB912" i="17"/>
  <c r="AB911" i="17"/>
  <c r="AB910" i="17"/>
  <c r="AB909" i="17"/>
  <c r="AB908" i="17"/>
  <c r="AB907" i="17"/>
  <c r="AB906" i="17"/>
  <c r="AB905" i="17"/>
  <c r="AB904" i="17"/>
  <c r="AB903" i="17"/>
  <c r="AB902" i="17"/>
  <c r="AB901" i="17"/>
  <c r="AB900" i="17"/>
  <c r="AB899" i="17"/>
  <c r="AB898" i="17"/>
  <c r="AB897" i="17"/>
  <c r="AB896" i="17"/>
  <c r="AB895" i="17"/>
  <c r="AB894" i="17"/>
  <c r="AB893" i="17"/>
  <c r="AB892" i="17"/>
  <c r="AB891" i="17"/>
  <c r="AB890" i="17"/>
  <c r="AB889" i="17"/>
  <c r="AB888" i="17"/>
  <c r="AB887" i="17"/>
  <c r="AB886" i="17"/>
  <c r="AB885" i="17"/>
  <c r="AB884" i="17"/>
  <c r="AB883" i="17"/>
  <c r="AB882" i="17"/>
  <c r="AB881" i="17"/>
  <c r="AB880" i="17"/>
  <c r="AB879" i="17"/>
  <c r="AB878" i="17"/>
  <c r="AB877" i="17"/>
  <c r="AB876" i="17"/>
  <c r="AB875" i="17"/>
  <c r="AB874" i="17"/>
  <c r="AB928" i="17" s="1"/>
  <c r="AB873" i="17"/>
  <c r="AB872" i="17"/>
  <c r="AB871" i="17"/>
  <c r="AB870" i="17"/>
  <c r="AB869" i="17"/>
  <c r="AB868" i="17"/>
  <c r="AD867" i="17"/>
  <c r="W867" i="17"/>
  <c r="V867" i="17"/>
  <c r="AB866" i="17"/>
  <c r="AB865" i="17"/>
  <c r="AB864" i="17"/>
  <c r="AB863" i="17"/>
  <c r="AB862" i="17"/>
  <c r="AB861" i="17"/>
  <c r="W861" i="17"/>
  <c r="V861" i="17"/>
  <c r="AB860" i="17"/>
  <c r="AB859" i="17"/>
  <c r="W858" i="17"/>
  <c r="V858" i="17"/>
  <c r="AB857" i="17"/>
  <c r="AB856" i="17"/>
  <c r="AB855" i="17"/>
  <c r="AB854" i="17"/>
  <c r="AB853" i="17"/>
  <c r="AB852" i="17"/>
  <c r="AB851" i="17"/>
  <c r="AB850" i="17"/>
  <c r="AB849" i="17"/>
  <c r="AB848" i="17"/>
  <c r="AB847" i="17"/>
  <c r="AB846" i="17"/>
  <c r="AB845" i="17"/>
  <c r="AB844" i="17"/>
  <c r="AB858" i="17" s="1"/>
  <c r="AB843" i="17"/>
  <c r="AB842" i="17"/>
  <c r="AB841" i="17"/>
  <c r="AB840" i="17"/>
  <c r="AB839" i="17"/>
  <c r="AB838" i="17"/>
  <c r="W837" i="17"/>
  <c r="V837" i="17"/>
  <c r="AB836" i="17"/>
  <c r="AB835" i="17"/>
  <c r="AB834" i="17"/>
  <c r="AB837" i="17" s="1"/>
  <c r="W833" i="17"/>
  <c r="V833" i="17"/>
  <c r="AB832" i="17"/>
  <c r="AB831" i="17"/>
  <c r="AB830" i="17"/>
  <c r="AB829" i="17"/>
  <c r="AB828" i="17"/>
  <c r="AB827" i="17"/>
  <c r="AB826" i="17"/>
  <c r="AB825" i="17"/>
  <c r="AB824" i="17"/>
  <c r="AB823" i="17"/>
  <c r="AB822" i="17"/>
  <c r="AB821" i="17"/>
  <c r="AB820" i="17"/>
  <c r="AB819" i="17"/>
  <c r="W818" i="17"/>
  <c r="V818" i="17"/>
  <c r="AB817" i="17"/>
  <c r="AB816" i="17"/>
  <c r="AB815" i="17"/>
  <c r="AB814" i="17"/>
  <c r="AB813" i="17"/>
  <c r="AB812" i="17"/>
  <c r="AB811" i="17"/>
  <c r="AB810" i="17"/>
  <c r="AB809" i="17"/>
  <c r="AB808" i="17"/>
  <c r="AB807" i="17"/>
  <c r="AB806" i="17"/>
  <c r="AB805" i="17"/>
  <c r="AB804" i="17"/>
  <c r="AB803" i="17"/>
  <c r="AB802" i="17"/>
  <c r="AB801" i="17"/>
  <c r="AB800" i="17"/>
  <c r="AB799" i="17"/>
  <c r="AB798" i="17"/>
  <c r="AB797" i="17"/>
  <c r="AB796" i="17"/>
  <c r="AB818" i="17" s="1"/>
  <c r="AB795" i="17"/>
  <c r="AB794" i="17"/>
  <c r="AB793" i="17"/>
  <c r="AB792" i="17"/>
  <c r="W791" i="17"/>
  <c r="V791" i="17"/>
  <c r="AB790" i="17"/>
  <c r="AB789" i="17"/>
  <c r="AB788" i="17"/>
  <c r="AB787" i="17"/>
  <c r="AB786" i="17"/>
  <c r="AB785" i="17"/>
  <c r="AB784" i="17"/>
  <c r="AB783" i="17"/>
  <c r="AB782" i="17"/>
  <c r="AB781" i="17"/>
  <c r="AB780" i="17"/>
  <c r="AB779" i="17"/>
  <c r="AB778" i="17"/>
  <c r="AB777" i="17"/>
  <c r="AB776" i="17"/>
  <c r="AB775" i="17"/>
  <c r="AB774" i="17"/>
  <c r="AB773" i="17"/>
  <c r="AB772" i="17"/>
  <c r="AB771" i="17"/>
  <c r="AB770" i="17"/>
  <c r="AB769" i="17"/>
  <c r="AB768" i="17"/>
  <c r="AB767" i="17"/>
  <c r="AB766" i="17"/>
  <c r="AB765" i="17"/>
  <c r="AB764" i="17"/>
  <c r="AB763" i="17"/>
  <c r="AB762" i="17"/>
  <c r="AB761" i="17"/>
  <c r="AB760" i="17"/>
  <c r="AB759" i="17"/>
  <c r="AB758" i="17"/>
  <c r="AB757" i="17"/>
  <c r="AB756" i="17"/>
  <c r="AB755" i="17"/>
  <c r="AB754" i="17"/>
  <c r="AB753" i="17"/>
  <c r="AB752" i="17"/>
  <c r="AB751" i="17"/>
  <c r="AB750" i="17"/>
  <c r="AB749" i="17"/>
  <c r="AB748" i="17"/>
  <c r="AB747" i="17"/>
  <c r="AB746" i="17"/>
  <c r="AB745" i="17"/>
  <c r="AB744" i="17"/>
  <c r="AB743" i="17"/>
  <c r="AB742" i="17"/>
  <c r="AB741" i="17"/>
  <c r="AB740" i="17"/>
  <c r="AB739" i="17"/>
  <c r="AB738" i="17"/>
  <c r="AB737" i="17"/>
  <c r="AB736" i="17"/>
  <c r="AB735" i="17"/>
  <c r="AB734" i="17"/>
  <c r="AB791" i="17" s="1"/>
  <c r="W733" i="17"/>
  <c r="V733" i="17"/>
  <c r="AB732" i="17"/>
  <c r="AB731" i="17"/>
  <c r="AB730" i="17"/>
  <c r="AB729" i="17"/>
  <c r="AB728" i="17"/>
  <c r="AB727" i="17"/>
  <c r="AB726" i="17"/>
  <c r="AB725" i="17"/>
  <c r="AB724" i="17"/>
  <c r="AB723" i="17"/>
  <c r="AB722" i="17"/>
  <c r="AB721" i="17"/>
  <c r="AB720" i="17"/>
  <c r="AB719" i="17"/>
  <c r="AB718" i="17"/>
  <c r="AB717" i="17"/>
  <c r="AB716" i="17"/>
  <c r="AB715" i="17"/>
  <c r="AB714" i="17"/>
  <c r="AB713" i="17"/>
  <c r="AB712" i="17"/>
  <c r="AB711" i="17"/>
  <c r="AB710" i="17"/>
  <c r="AB709" i="17"/>
  <c r="AB708" i="17"/>
  <c r="AB707" i="17"/>
  <c r="AB706" i="17"/>
  <c r="AB705" i="17"/>
  <c r="AB704" i="17"/>
  <c r="AB703" i="17"/>
  <c r="AB702" i="17"/>
  <c r="AB701" i="17"/>
  <c r="AB700" i="17"/>
  <c r="AB699" i="17"/>
  <c r="AB698" i="17"/>
  <c r="AB697" i="17"/>
  <c r="AB696" i="17"/>
  <c r="AB695" i="17"/>
  <c r="AB694" i="17"/>
  <c r="AB733" i="17" s="1"/>
  <c r="AB693" i="17"/>
  <c r="AB692" i="17"/>
  <c r="W691" i="17"/>
  <c r="V691" i="17"/>
  <c r="AB690" i="17"/>
  <c r="AB689" i="17"/>
  <c r="AB691" i="17" s="1"/>
  <c r="W688" i="17"/>
  <c r="V688" i="17"/>
  <c r="AB687" i="17"/>
  <c r="AB686" i="17"/>
  <c r="AB685" i="17"/>
  <c r="AB684" i="17"/>
  <c r="AB683" i="17"/>
  <c r="AB682" i="17"/>
  <c r="AB681" i="17"/>
  <c r="AB680" i="17"/>
  <c r="AB679" i="17"/>
  <c r="AB678" i="17"/>
  <c r="AB677" i="17"/>
  <c r="AB676" i="17"/>
  <c r="AB675" i="17"/>
  <c r="AB674" i="17"/>
  <c r="AB673" i="17"/>
  <c r="AB672" i="17"/>
  <c r="AB671" i="17"/>
  <c r="AB670" i="17"/>
  <c r="AB669" i="17"/>
  <c r="AB668" i="17"/>
  <c r="AB667" i="17"/>
  <c r="AB666" i="17"/>
  <c r="AB665" i="17"/>
  <c r="W664" i="17"/>
  <c r="V664" i="17"/>
  <c r="AB663" i="17"/>
  <c r="AB664" i="17" s="1"/>
  <c r="AB662" i="17"/>
  <c r="W662" i="17"/>
  <c r="V662" i="17"/>
  <c r="AB661" i="17"/>
  <c r="AB660" i="17"/>
  <c r="W659" i="17"/>
  <c r="V659" i="17"/>
  <c r="AB658" i="17"/>
  <c r="AB657" i="17"/>
  <c r="AB656" i="17"/>
  <c r="AB655" i="17"/>
  <c r="AB654" i="17"/>
  <c r="AB653" i="17"/>
  <c r="AB652" i="17"/>
  <c r="AB651" i="17"/>
  <c r="AB650" i="17"/>
  <c r="AB649" i="17"/>
  <c r="AB648" i="17"/>
  <c r="AB647" i="17"/>
  <c r="AB646" i="17"/>
  <c r="AB645" i="17"/>
  <c r="AB659" i="17" s="1"/>
  <c r="W644" i="17"/>
  <c r="V644" i="17"/>
  <c r="AB643" i="17"/>
  <c r="AB642" i="17"/>
  <c r="AB644" i="17" s="1"/>
  <c r="AB641" i="17"/>
  <c r="AB640" i="17"/>
  <c r="AB639" i="17"/>
  <c r="W638" i="17"/>
  <c r="V638" i="17"/>
  <c r="AB637" i="17"/>
  <c r="AB638" i="17" s="1"/>
  <c r="AB636" i="17"/>
  <c r="W636" i="17"/>
  <c r="V636" i="17"/>
  <c r="AB635" i="17"/>
  <c r="W634" i="17"/>
  <c r="V634" i="17"/>
  <c r="AB633" i="17"/>
  <c r="AB632" i="17"/>
  <c r="AB634" i="17" s="1"/>
  <c r="AB631" i="17"/>
  <c r="AB630" i="17"/>
  <c r="W629" i="17"/>
  <c r="V629" i="17"/>
  <c r="AB628" i="17"/>
  <c r="AB627" i="17"/>
  <c r="AB626" i="17"/>
  <c r="AB625" i="17"/>
  <c r="AB624" i="17"/>
  <c r="W623" i="17"/>
  <c r="V623" i="17"/>
  <c r="AB622" i="17"/>
  <c r="AB621" i="17"/>
  <c r="AB620" i="17"/>
  <c r="AB619" i="17"/>
  <c r="AB618" i="17"/>
  <c r="AB617" i="17"/>
  <c r="AB616" i="17"/>
  <c r="AB615" i="17"/>
  <c r="AB614" i="17"/>
  <c r="AB613" i="17"/>
  <c r="AB612" i="17"/>
  <c r="AB611" i="17"/>
  <c r="AB610" i="17"/>
  <c r="AB609" i="17"/>
  <c r="AB608" i="17"/>
  <c r="AB607" i="17"/>
  <c r="AB606" i="17"/>
  <c r="AB605" i="17"/>
  <c r="AB604" i="17"/>
  <c r="AB603" i="17"/>
  <c r="AB602" i="17"/>
  <c r="AB601" i="17"/>
  <c r="AB600" i="17"/>
  <c r="AB599" i="17"/>
  <c r="AB598" i="17"/>
  <c r="AB597" i="17"/>
  <c r="AB596" i="17"/>
  <c r="AB595" i="17"/>
  <c r="AB594" i="17"/>
  <c r="AB593" i="17"/>
  <c r="AB592" i="17"/>
  <c r="AB591" i="17"/>
  <c r="AB590" i="17"/>
  <c r="AB589" i="17"/>
  <c r="AB588" i="17"/>
  <c r="AB587" i="17"/>
  <c r="AB586" i="17"/>
  <c r="AB585" i="17"/>
  <c r="AB584" i="17"/>
  <c r="AB583" i="17"/>
  <c r="AB582" i="17"/>
  <c r="AB581" i="17"/>
  <c r="AB580" i="17"/>
  <c r="AB579" i="17"/>
  <c r="AB578" i="17"/>
  <c r="AB577" i="17"/>
  <c r="AB576" i="17"/>
  <c r="AB575" i="17"/>
  <c r="AB574" i="17"/>
  <c r="AB573" i="17"/>
  <c r="AB572" i="17"/>
  <c r="AB571" i="17"/>
  <c r="AB570" i="17"/>
  <c r="AB569" i="17"/>
  <c r="AB568" i="17"/>
  <c r="AB567" i="17"/>
  <c r="AB566" i="17"/>
  <c r="AB565" i="17"/>
  <c r="AB564" i="17"/>
  <c r="AB563" i="17"/>
  <c r="AB562" i="17"/>
  <c r="AB561" i="17"/>
  <c r="AB560" i="17"/>
  <c r="AB559" i="17"/>
  <c r="AB558" i="17"/>
  <c r="AB557" i="17"/>
  <c r="AB556" i="17"/>
  <c r="AB555" i="17"/>
  <c r="AB554" i="17"/>
  <c r="AB553" i="17"/>
  <c r="AB552" i="17"/>
  <c r="AB551" i="17"/>
  <c r="AB550" i="17"/>
  <c r="AB549" i="17"/>
  <c r="AB548" i="17"/>
  <c r="AB547" i="17"/>
  <c r="AB623" i="17" s="1"/>
  <c r="W546" i="17"/>
  <c r="V546" i="17"/>
  <c r="AB545" i="17"/>
  <c r="AB544" i="17"/>
  <c r="AB543" i="17"/>
  <c r="AB542" i="17"/>
  <c r="AB541" i="17"/>
  <c r="AB540" i="17"/>
  <c r="AB539" i="17"/>
  <c r="AB538" i="17"/>
  <c r="AB537" i="17"/>
  <c r="AB546" i="17" s="1"/>
  <c r="W536" i="17"/>
  <c r="V536" i="17"/>
  <c r="AB535" i="17"/>
  <c r="AB534" i="17"/>
  <c r="AB533" i="17"/>
  <c r="AB532" i="17"/>
  <c r="AB531" i="17"/>
  <c r="AB530" i="17"/>
  <c r="AB536" i="17" s="1"/>
  <c r="AB529" i="17"/>
  <c r="W528" i="17"/>
  <c r="V528" i="17"/>
  <c r="AB527" i="17"/>
  <c r="AB526" i="17"/>
  <c r="AB525" i="17"/>
  <c r="AB524" i="17"/>
  <c r="AB523" i="17"/>
  <c r="AB522" i="17"/>
  <c r="AB521" i="17"/>
  <c r="AB520" i="17"/>
  <c r="AB519" i="17"/>
  <c r="AB518" i="17"/>
  <c r="AB517" i="17"/>
  <c r="AB516" i="17"/>
  <c r="AB515" i="17"/>
  <c r="AB514" i="17"/>
  <c r="AB513" i="17"/>
  <c r="AB512" i="17"/>
  <c r="AB511" i="17"/>
  <c r="AB510" i="17"/>
  <c r="AB509" i="17"/>
  <c r="AB508" i="17"/>
  <c r="AB507" i="17"/>
  <c r="AB506" i="17"/>
  <c r="AB505" i="17"/>
  <c r="AB504" i="17"/>
  <c r="AB503" i="17"/>
  <c r="AB502" i="17"/>
  <c r="AB501" i="17"/>
  <c r="AB500" i="17"/>
  <c r="AB499" i="17"/>
  <c r="AB498" i="17"/>
  <c r="AB497" i="17"/>
  <c r="AB496" i="17"/>
  <c r="AB495" i="17"/>
  <c r="AB494" i="17"/>
  <c r="AB493" i="17"/>
  <c r="AB492" i="17"/>
  <c r="AB491" i="17"/>
  <c r="AB490" i="17"/>
  <c r="AB489" i="17"/>
  <c r="AB488" i="17"/>
  <c r="AB487" i="17"/>
  <c r="AB486" i="17"/>
  <c r="AB485" i="17"/>
  <c r="AB484" i="17"/>
  <c r="AB483" i="17"/>
  <c r="AB482" i="17"/>
  <c r="AB481" i="17"/>
  <c r="AB480" i="17"/>
  <c r="AB528" i="17" s="1"/>
  <c r="W479" i="17"/>
  <c r="V479" i="17"/>
  <c r="AB478" i="17"/>
  <c r="AB477" i="17"/>
  <c r="AB476" i="17"/>
  <c r="AB475" i="17"/>
  <c r="AB474" i="17"/>
  <c r="AB473" i="17"/>
  <c r="AB472" i="17"/>
  <c r="AB471" i="17"/>
  <c r="AB470" i="17"/>
  <c r="AB469" i="17"/>
  <c r="AB468" i="17"/>
  <c r="AB467" i="17"/>
  <c r="AB466" i="17"/>
  <c r="AB465" i="17"/>
  <c r="AB464" i="17"/>
  <c r="AB463" i="17"/>
  <c r="AB462" i="17"/>
  <c r="W461" i="17"/>
  <c r="V461" i="17"/>
  <c r="AB460" i="17"/>
  <c r="AB459" i="17"/>
  <c r="AB458" i="17"/>
  <c r="AB457" i="17"/>
  <c r="AB456" i="17"/>
  <c r="AB455" i="17"/>
  <c r="AB454" i="17"/>
  <c r="AB453" i="17"/>
  <c r="AB452" i="17"/>
  <c r="AB451" i="17"/>
  <c r="AB450" i="17"/>
  <c r="AB449" i="17"/>
  <c r="AB448" i="17"/>
  <c r="W447" i="17"/>
  <c r="V447" i="17"/>
  <c r="AB446" i="17"/>
  <c r="AB445" i="17"/>
  <c r="AB444" i="17"/>
  <c r="AB443" i="17"/>
  <c r="AB442" i="17"/>
  <c r="AB447" i="17" s="1"/>
  <c r="W441" i="17"/>
  <c r="V441" i="17"/>
  <c r="AB440" i="17"/>
  <c r="AB439" i="17"/>
  <c r="AB438" i="17"/>
  <c r="AB437" i="17"/>
  <c r="AB436" i="17"/>
  <c r="AB435" i="17"/>
  <c r="AB434" i="17"/>
  <c r="AB433" i="17"/>
  <c r="AB432" i="17"/>
  <c r="AB431" i="17"/>
  <c r="AB430" i="17"/>
  <c r="AB429" i="17"/>
  <c r="W428" i="17"/>
  <c r="V428" i="17"/>
  <c r="AB427" i="17"/>
  <c r="AB426" i="17"/>
  <c r="AB425" i="17"/>
  <c r="AB424" i="17"/>
  <c r="AB423" i="17"/>
  <c r="AB422" i="17"/>
  <c r="AB421" i="17"/>
  <c r="AB420" i="17"/>
  <c r="AB419" i="17"/>
  <c r="AB418" i="17"/>
  <c r="AB417" i="17"/>
  <c r="AB416" i="17"/>
  <c r="AB415" i="17"/>
  <c r="AB414" i="17"/>
  <c r="AB428" i="17" s="1"/>
  <c r="AB413" i="17"/>
  <c r="AB412" i="17"/>
  <c r="AB411" i="17"/>
  <c r="W410" i="17"/>
  <c r="V410" i="17"/>
  <c r="AB409" i="17"/>
  <c r="AB408" i="17"/>
  <c r="AB407" i="17"/>
  <c r="AB406" i="17"/>
  <c r="AB405" i="17"/>
  <c r="AB404" i="17"/>
  <c r="AB403" i="17"/>
  <c r="AB402" i="17"/>
  <c r="AB401" i="17"/>
  <c r="AB400" i="17"/>
  <c r="AB399" i="17"/>
  <c r="AB398" i="17"/>
  <c r="AB410" i="17" s="1"/>
  <c r="W397" i="17"/>
  <c r="V397" i="17"/>
  <c r="AB396" i="17"/>
  <c r="AB395" i="17"/>
  <c r="AB394" i="17"/>
  <c r="AB393" i="17"/>
  <c r="AB392" i="17"/>
  <c r="AB391" i="17"/>
  <c r="AB390" i="17"/>
  <c r="AB389" i="17"/>
  <c r="AB388" i="17"/>
  <c r="AB387" i="17"/>
  <c r="AB386" i="17"/>
  <c r="AB385" i="17"/>
  <c r="AB384" i="17"/>
  <c r="AB383" i="17"/>
  <c r="AB382" i="17"/>
  <c r="AB381" i="17"/>
  <c r="AB380" i="17"/>
  <c r="AB379" i="17"/>
  <c r="AB378" i="17"/>
  <c r="AB377" i="17"/>
  <c r="AB376" i="17"/>
  <c r="AB375" i="17"/>
  <c r="AB374" i="17"/>
  <c r="AB373" i="17"/>
  <c r="AB372" i="17"/>
  <c r="AB371" i="17"/>
  <c r="AB397" i="17" s="1"/>
  <c r="W370" i="17"/>
  <c r="V370" i="17"/>
  <c r="AB369" i="17"/>
  <c r="AB368" i="17"/>
  <c r="AB367" i="17"/>
  <c r="AB366" i="17"/>
  <c r="AB365" i="17"/>
  <c r="AB364" i="17"/>
  <c r="AB363" i="17"/>
  <c r="AB362" i="17"/>
  <c r="AB361" i="17"/>
  <c r="AB360" i="17"/>
  <c r="AB359" i="17"/>
  <c r="AB358" i="17"/>
  <c r="AB357" i="17"/>
  <c r="AB370" i="17" s="1"/>
  <c r="AB356" i="17"/>
  <c r="W356" i="17"/>
  <c r="V356" i="17"/>
  <c r="AB355" i="17"/>
  <c r="W354" i="17"/>
  <c r="V354" i="17"/>
  <c r="AB353" i="17"/>
  <c r="AB352" i="17"/>
  <c r="AB351" i="17"/>
  <c r="AB350" i="17"/>
  <c r="W349" i="17"/>
  <c r="V349" i="17"/>
  <c r="AB348" i="17"/>
  <c r="AB347" i="17"/>
  <c r="AB346" i="17"/>
  <c r="AB345" i="17"/>
  <c r="AB344" i="17"/>
  <c r="AB343" i="17"/>
  <c r="AB342" i="17"/>
  <c r="AB341" i="17"/>
  <c r="AB340" i="17"/>
  <c r="AB339" i="17"/>
  <c r="AB338" i="17"/>
  <c r="AB337" i="17"/>
  <c r="AB336" i="17"/>
  <c r="AB335" i="17"/>
  <c r="AB334" i="17"/>
  <c r="AB333" i="17"/>
  <c r="AB332" i="17"/>
  <c r="AB331" i="17"/>
  <c r="AB330" i="17"/>
  <c r="AB329" i="17"/>
  <c r="AB328" i="17"/>
  <c r="AB327" i="17"/>
  <c r="AB326" i="17"/>
  <c r="AB325" i="17"/>
  <c r="AB324" i="17"/>
  <c r="AB323" i="17"/>
  <c r="AB322" i="17"/>
  <c r="AB321" i="17"/>
  <c r="AB320" i="17"/>
  <c r="AB319" i="17"/>
  <c r="AB318" i="17"/>
  <c r="AB317" i="17"/>
  <c r="AB316" i="17"/>
  <c r="AB315" i="17"/>
  <c r="AB314" i="17"/>
  <c r="AB313" i="17"/>
  <c r="AB312" i="17"/>
  <c r="AB311" i="17"/>
  <c r="AB310" i="17"/>
  <c r="AB309" i="17"/>
  <c r="AB308" i="17"/>
  <c r="AB307" i="17"/>
  <c r="AB306" i="17"/>
  <c r="AB349" i="17" s="1"/>
  <c r="W305" i="17"/>
  <c r="V305" i="17"/>
  <c r="AB304" i="17"/>
  <c r="AB303" i="17"/>
  <c r="AB302" i="17"/>
  <c r="AB301" i="17"/>
  <c r="AB300" i="17"/>
  <c r="AB299" i="17"/>
  <c r="AB298" i="17"/>
  <c r="AB297" i="17"/>
  <c r="AB296" i="17"/>
  <c r="AB295" i="17"/>
  <c r="AB294" i="17"/>
  <c r="AB293" i="17"/>
  <c r="AB292" i="17"/>
  <c r="AB291" i="17"/>
  <c r="AB290" i="17"/>
  <c r="AB289" i="17"/>
  <c r="AB288" i="17"/>
  <c r="AB287" i="17"/>
  <c r="AB286" i="17"/>
  <c r="AB285" i="17"/>
  <c r="AB284" i="17"/>
  <c r="AB283" i="17"/>
  <c r="AB282" i="17"/>
  <c r="AB281" i="17"/>
  <c r="AB280" i="17"/>
  <c r="AB279" i="17"/>
  <c r="AB278" i="17"/>
  <c r="AB277" i="17"/>
  <c r="AB276" i="17"/>
  <c r="AB275" i="17"/>
  <c r="AB274" i="17"/>
  <c r="AB273" i="17"/>
  <c r="AB272" i="17"/>
  <c r="AB271" i="17"/>
  <c r="AB270" i="17"/>
  <c r="AB269" i="17"/>
  <c r="AB268" i="17"/>
  <c r="AB267" i="17"/>
  <c r="AB266" i="17"/>
  <c r="AB265" i="17"/>
  <c r="AB264" i="17"/>
  <c r="AB263" i="17"/>
  <c r="AB262" i="17"/>
  <c r="AB261" i="17"/>
  <c r="AB260" i="17"/>
  <c r="AB259" i="17"/>
  <c r="AB258" i="17"/>
  <c r="AB257" i="17"/>
  <c r="AB256" i="17"/>
  <c r="AB255" i="17"/>
  <c r="AB254" i="17"/>
  <c r="AB253" i="17"/>
  <c r="AB252" i="17"/>
  <c r="AB251" i="17"/>
  <c r="AB250" i="17"/>
  <c r="AB249" i="17"/>
  <c r="AB248" i="17"/>
  <c r="AB247" i="17"/>
  <c r="AB246" i="17"/>
  <c r="AB245" i="17"/>
  <c r="AB244" i="17"/>
  <c r="AB243" i="17"/>
  <c r="AB242" i="17"/>
  <c r="AB241" i="17"/>
  <c r="AB240" i="17"/>
  <c r="AB239" i="17"/>
  <c r="AB238" i="17"/>
  <c r="AB237" i="17"/>
  <c r="AB236" i="17"/>
  <c r="AB235" i="17"/>
  <c r="AB234" i="17"/>
  <c r="AB233" i="17"/>
  <c r="AB232" i="17"/>
  <c r="AB231" i="17"/>
  <c r="AB230" i="17"/>
  <c r="AB229" i="17"/>
  <c r="AB228" i="17"/>
  <c r="AB227" i="17"/>
  <c r="AB226" i="17"/>
  <c r="AB225" i="17"/>
  <c r="AB224" i="17"/>
  <c r="AB223" i="17"/>
  <c r="AB222" i="17"/>
  <c r="AB221" i="17"/>
  <c r="AB220" i="17"/>
  <c r="AB219" i="17"/>
  <c r="AB218" i="17"/>
  <c r="AB217" i="17"/>
  <c r="AB216" i="17"/>
  <c r="AB215" i="17"/>
  <c r="AB214" i="17"/>
  <c r="AB305" i="17" s="1"/>
  <c r="AB213" i="17"/>
  <c r="W213" i="17"/>
  <c r="V213" i="17"/>
  <c r="AB212" i="17"/>
  <c r="W211" i="17"/>
  <c r="V211" i="17"/>
  <c r="AB210" i="17"/>
  <c r="AB209" i="17"/>
  <c r="AB208" i="17"/>
  <c r="AB207" i="17"/>
  <c r="AB206" i="17"/>
  <c r="AB205" i="17"/>
  <c r="AB204" i="17"/>
  <c r="AB203" i="17"/>
  <c r="AB202" i="17"/>
  <c r="AB201" i="17"/>
  <c r="AB200" i="17"/>
  <c r="AB199" i="17"/>
  <c r="AD198" i="17"/>
  <c r="W198" i="17"/>
  <c r="V198" i="17"/>
  <c r="AC198" i="17" s="1"/>
  <c r="AB197" i="17"/>
  <c r="AB196" i="17"/>
  <c r="AB195" i="17"/>
  <c r="AB194" i="17"/>
  <c r="AB193" i="17"/>
  <c r="AB192" i="17"/>
  <c r="AB191" i="17"/>
  <c r="AB190" i="17"/>
  <c r="AB189" i="17"/>
  <c r="AB188" i="17"/>
  <c r="AB187" i="17"/>
  <c r="AB198" i="17" s="1"/>
  <c r="AE198" i="17" s="1"/>
  <c r="W186" i="17"/>
  <c r="AD186" i="17" s="1"/>
  <c r="V186" i="17"/>
  <c r="AC186" i="17" s="1"/>
  <c r="AB185" i="17"/>
  <c r="AB184" i="17"/>
  <c r="AB183" i="17"/>
  <c r="AB182" i="17"/>
  <c r="AB181" i="17"/>
  <c r="AB180" i="17"/>
  <c r="AB179" i="17"/>
  <c r="AB178" i="17"/>
  <c r="AB177" i="17"/>
  <c r="AB176" i="17"/>
  <c r="W176" i="17"/>
  <c r="V176" i="17"/>
  <c r="AB175" i="17"/>
  <c r="AB174" i="17"/>
  <c r="W173" i="17"/>
  <c r="V173" i="17"/>
  <c r="AB172" i="17"/>
  <c r="AB171" i="17"/>
  <c r="AB170" i="17"/>
  <c r="AB169" i="17"/>
  <c r="AB168" i="17"/>
  <c r="AB167" i="17"/>
  <c r="AB173" i="17" s="1"/>
  <c r="AB166" i="17"/>
  <c r="AB165" i="17"/>
  <c r="AB164" i="17"/>
  <c r="AB163" i="17"/>
  <c r="AB162" i="17"/>
  <c r="AC161" i="17"/>
  <c r="AB161" i="17"/>
  <c r="W161" i="17"/>
  <c r="AD161" i="17" s="1"/>
  <c r="V161" i="17"/>
  <c r="AB160" i="17"/>
  <c r="AB159" i="17"/>
  <c r="W158" i="17"/>
  <c r="V158" i="17"/>
  <c r="AB157" i="17"/>
  <c r="AB156" i="17"/>
  <c r="AB155" i="17"/>
  <c r="AB154" i="17"/>
  <c r="AB153" i="17"/>
  <c r="AB152" i="17"/>
  <c r="AB151" i="17"/>
  <c r="AD150" i="17"/>
  <c r="W150" i="17"/>
  <c r="V150" i="17"/>
  <c r="AC150" i="17" s="1"/>
  <c r="AB149" i="17"/>
  <c r="AB148" i="17"/>
  <c r="AB147" i="17"/>
  <c r="AB146" i="17"/>
  <c r="AB145" i="17"/>
  <c r="AB144" i="17"/>
  <c r="AB143" i="17"/>
  <c r="AB150" i="17" s="1"/>
  <c r="AB142" i="17"/>
  <c r="AB141" i="17"/>
  <c r="AB140" i="17"/>
  <c r="W139" i="17"/>
  <c r="V139" i="17"/>
  <c r="AB138" i="17"/>
  <c r="AB137" i="17"/>
  <c r="AB136" i="17"/>
  <c r="AB135" i="17"/>
  <c r="AB134" i="17"/>
  <c r="AB133" i="17"/>
  <c r="AB139" i="17" s="1"/>
  <c r="AB132" i="17"/>
  <c r="AB131" i="17"/>
  <c r="AB130" i="17"/>
  <c r="AB129" i="17"/>
  <c r="AB128" i="17"/>
  <c r="W128" i="17"/>
  <c r="AD128" i="17" s="1"/>
  <c r="V128" i="17"/>
  <c r="AC128" i="17" s="1"/>
  <c r="AB127" i="17"/>
  <c r="AB126" i="17"/>
  <c r="W125" i="17"/>
  <c r="V125" i="17"/>
  <c r="AB124" i="17"/>
  <c r="AB123" i="17"/>
  <c r="W122" i="17"/>
  <c r="V122" i="17"/>
  <c r="AB121" i="17"/>
  <c r="AB120" i="17"/>
  <c r="AB119" i="17"/>
  <c r="AB118" i="17"/>
  <c r="AB117" i="17"/>
  <c r="AB116" i="17"/>
  <c r="AB115" i="17"/>
  <c r="W114" i="17"/>
  <c r="V114" i="17"/>
  <c r="AB113" i="17"/>
  <c r="AB112" i="17"/>
  <c r="AB111" i="17"/>
  <c r="AB114" i="17" s="1"/>
  <c r="W110" i="17"/>
  <c r="V110" i="17"/>
  <c r="AB109" i="17"/>
  <c r="AB110" i="17" s="1"/>
  <c r="AB108" i="17"/>
  <c r="W108" i="17"/>
  <c r="V108" i="17"/>
  <c r="AB107" i="17"/>
  <c r="W106" i="17"/>
  <c r="V106" i="17"/>
  <c r="AB105" i="17"/>
  <c r="AB106" i="17" s="1"/>
  <c r="AB104" i="17"/>
  <c r="W104" i="17"/>
  <c r="AD110" i="17" s="1"/>
  <c r="V104" i="17"/>
  <c r="AB103" i="17"/>
  <c r="AB102" i="17"/>
  <c r="W101" i="17"/>
  <c r="V101" i="17"/>
  <c r="AB100" i="17"/>
  <c r="AB99" i="17"/>
  <c r="AB98" i="17"/>
  <c r="AB97" i="17"/>
  <c r="AB96" i="17"/>
  <c r="AB95" i="17"/>
  <c r="AB94" i="17"/>
  <c r="AB93" i="17"/>
  <c r="AB92" i="17"/>
  <c r="AB91" i="17"/>
  <c r="AB90" i="17"/>
  <c r="AB89" i="17"/>
  <c r="AB88" i="17"/>
  <c r="AB87" i="17"/>
  <c r="AB86" i="17"/>
  <c r="AB85" i="17"/>
  <c r="AB84" i="17"/>
  <c r="W83" i="17"/>
  <c r="V83" i="17"/>
  <c r="AB82" i="17"/>
  <c r="AB81" i="17"/>
  <c r="AB80" i="17"/>
  <c r="AB79" i="17"/>
  <c r="AB78" i="17"/>
  <c r="AB77" i="17"/>
  <c r="W76" i="17"/>
  <c r="AD76" i="17" s="1"/>
  <c r="V76" i="17"/>
  <c r="AB75" i="17"/>
  <c r="AB74" i="17"/>
  <c r="W73" i="17"/>
  <c r="V73" i="17"/>
  <c r="AB72" i="17"/>
  <c r="AB71" i="17"/>
  <c r="AB70" i="17"/>
  <c r="AB69" i="17"/>
  <c r="AB68" i="17"/>
  <c r="AB67" i="17"/>
  <c r="AB66" i="17"/>
  <c r="AB65" i="17"/>
  <c r="W64" i="17"/>
  <c r="V64" i="17"/>
  <c r="AB63" i="17"/>
  <c r="AB62" i="17"/>
  <c r="AB61" i="17"/>
  <c r="AB60" i="17"/>
  <c r="AB64" i="17" s="1"/>
  <c r="AB59" i="17"/>
  <c r="W59" i="17"/>
  <c r="AD59" i="17" s="1"/>
  <c r="V59" i="17"/>
  <c r="AC59" i="17" s="1"/>
  <c r="AB58" i="17"/>
  <c r="AB57" i="17"/>
  <c r="AB56" i="17"/>
  <c r="AB55" i="17"/>
  <c r="W54" i="17"/>
  <c r="V54" i="17"/>
  <c r="AB53" i="17"/>
  <c r="AB52" i="17"/>
  <c r="AB51" i="17"/>
  <c r="AB54" i="17" s="1"/>
  <c r="W50" i="17"/>
  <c r="V50" i="17"/>
  <c r="AB49" i="17"/>
  <c r="AB48" i="17"/>
  <c r="AB50" i="17" s="1"/>
  <c r="W47" i="17"/>
  <c r="V47" i="17"/>
  <c r="AB46" i="17"/>
  <c r="AB45" i="17"/>
  <c r="AB44" i="17"/>
  <c r="AB43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W16" i="17"/>
  <c r="V16" i="17"/>
  <c r="AB15" i="17"/>
  <c r="AB14" i="17"/>
  <c r="AD13" i="17"/>
  <c r="W13" i="17"/>
  <c r="V13" i="17"/>
  <c r="AC13" i="17" s="1"/>
  <c r="AB12" i="17"/>
  <c r="AB11" i="17"/>
  <c r="AB10" i="17"/>
  <c r="AB9" i="17"/>
  <c r="AB8" i="17"/>
  <c r="AB7" i="17"/>
  <c r="W6" i="17"/>
  <c r="V6" i="17"/>
  <c r="AB5" i="17"/>
  <c r="AB4" i="17"/>
  <c r="AB3" i="17"/>
  <c r="AB2" i="17"/>
  <c r="AF1092" i="12"/>
  <c r="AF1096" i="12" s="1"/>
  <c r="AE1092" i="12"/>
  <c r="AD1092" i="12"/>
  <c r="AC1092" i="12"/>
  <c r="AB1092" i="12"/>
  <c r="AA1092" i="12"/>
  <c r="Z1092" i="12"/>
  <c r="Y1092" i="12"/>
  <c r="X1092" i="12"/>
  <c r="W1092" i="12"/>
  <c r="V1092" i="12"/>
  <c r="U1092" i="12"/>
  <c r="T1092" i="12"/>
  <c r="R1092" i="12"/>
  <c r="Q1092" i="12"/>
  <c r="P1092" i="12"/>
  <c r="O1092" i="12"/>
  <c r="N1092" i="12"/>
  <c r="M1092" i="12"/>
  <c r="L1092" i="12"/>
  <c r="K1092" i="12"/>
  <c r="J1092" i="12"/>
  <c r="I1092" i="12"/>
  <c r="H1092" i="12"/>
  <c r="G1092" i="12"/>
  <c r="S1091" i="12"/>
  <c r="AJ1091" i="12" s="1"/>
  <c r="S1090" i="12"/>
  <c r="AJ1090" i="12" s="1"/>
  <c r="S1089" i="12"/>
  <c r="AJ1089" i="12" s="1"/>
  <c r="S1088" i="12"/>
  <c r="AJ1088" i="12" s="1"/>
  <c r="S1087" i="12"/>
  <c r="AJ1087" i="12" s="1"/>
  <c r="AJ1086" i="12"/>
  <c r="S1086" i="12"/>
  <c r="S1085" i="12"/>
  <c r="AJ1085" i="12" s="1"/>
  <c r="S1084" i="12"/>
  <c r="AJ1084" i="12" s="1"/>
  <c r="S1083" i="12"/>
  <c r="AJ1083" i="12" s="1"/>
  <c r="AJ1082" i="12"/>
  <c r="S1082" i="12"/>
  <c r="S1081" i="12"/>
  <c r="AJ1081" i="12" s="1"/>
  <c r="S1080" i="12"/>
  <c r="AJ1080" i="12" s="1"/>
  <c r="S1079" i="12"/>
  <c r="AJ1079" i="12" s="1"/>
  <c r="S1078" i="12"/>
  <c r="AJ1078" i="12" s="1"/>
  <c r="S1077" i="12"/>
  <c r="AJ1077" i="12" s="1"/>
  <c r="S1076" i="12"/>
  <c r="AJ1076" i="12" s="1"/>
  <c r="S1075" i="12"/>
  <c r="AJ1075" i="12" s="1"/>
  <c r="S1074" i="12"/>
  <c r="AJ1074" i="12" s="1"/>
  <c r="S1073" i="12"/>
  <c r="AJ1073" i="12" s="1"/>
  <c r="S1072" i="12"/>
  <c r="AJ1072" i="12" s="1"/>
  <c r="S1071" i="12"/>
  <c r="AJ1071" i="12" s="1"/>
  <c r="S1070" i="12"/>
  <c r="AJ1070" i="12" s="1"/>
  <c r="S1069" i="12"/>
  <c r="AJ1069" i="12" s="1"/>
  <c r="S1068" i="12"/>
  <c r="AJ1068" i="12" s="1"/>
  <c r="S1067" i="12"/>
  <c r="AJ1067" i="12" s="1"/>
  <c r="S1066" i="12"/>
  <c r="AJ1066" i="12" s="1"/>
  <c r="S1065" i="12"/>
  <c r="AJ1065" i="12" s="1"/>
  <c r="S1064" i="12"/>
  <c r="AJ1064" i="12" s="1"/>
  <c r="S1063" i="12"/>
  <c r="AJ1063" i="12" s="1"/>
  <c r="AJ1062" i="12"/>
  <c r="S1062" i="12"/>
  <c r="S1061" i="12"/>
  <c r="AJ1061" i="12" s="1"/>
  <c r="S1060" i="12"/>
  <c r="AJ1060" i="12" s="1"/>
  <c r="S1059" i="12"/>
  <c r="AJ1059" i="12" s="1"/>
  <c r="S1058" i="12"/>
  <c r="AJ1058" i="12" s="1"/>
  <c r="S1057" i="12"/>
  <c r="AJ1057" i="12" s="1"/>
  <c r="S1056" i="12"/>
  <c r="AJ1056" i="12" s="1"/>
  <c r="S1055" i="12"/>
  <c r="AJ1055" i="12" s="1"/>
  <c r="AJ1054" i="12"/>
  <c r="S1054" i="12"/>
  <c r="S1053" i="12"/>
  <c r="AJ1053" i="12" s="1"/>
  <c r="S1052" i="12"/>
  <c r="AJ1052" i="12" s="1"/>
  <c r="S1051" i="12"/>
  <c r="AJ1051" i="12" s="1"/>
  <c r="AJ1050" i="12"/>
  <c r="S1050" i="12"/>
  <c r="S1049" i="12"/>
  <c r="AJ1049" i="12" s="1"/>
  <c r="S1048" i="12"/>
  <c r="AJ1048" i="12" s="1"/>
  <c r="S1047" i="12"/>
  <c r="AJ1047" i="12" s="1"/>
  <c r="S1046" i="12"/>
  <c r="AJ1046" i="12" s="1"/>
  <c r="S1045" i="12"/>
  <c r="AJ1045" i="12" s="1"/>
  <c r="S1044" i="12"/>
  <c r="AJ1044" i="12" s="1"/>
  <c r="S1043" i="12"/>
  <c r="AJ1043" i="12" s="1"/>
  <c r="S1042" i="12"/>
  <c r="AJ1042" i="12" s="1"/>
  <c r="S1041" i="12"/>
  <c r="AJ1041" i="12" s="1"/>
  <c r="S1040" i="12"/>
  <c r="AJ1040" i="12" s="1"/>
  <c r="S1039" i="12"/>
  <c r="AJ1039" i="12" s="1"/>
  <c r="AJ1038" i="12"/>
  <c r="S1038" i="12"/>
  <c r="S1037" i="12"/>
  <c r="AJ1037" i="12" s="1"/>
  <c r="S1036" i="12"/>
  <c r="AJ1036" i="12" s="1"/>
  <c r="S1035" i="12"/>
  <c r="AJ1035" i="12" s="1"/>
  <c r="AJ1034" i="12"/>
  <c r="S1034" i="12"/>
  <c r="S1033" i="12"/>
  <c r="AJ1033" i="12" s="1"/>
  <c r="S1032" i="12"/>
  <c r="AJ1032" i="12" s="1"/>
  <c r="S1031" i="12"/>
  <c r="AJ1031" i="12" s="1"/>
  <c r="AJ1030" i="12"/>
  <c r="S1030" i="12"/>
  <c r="S1029" i="12"/>
  <c r="AJ1029" i="12" s="1"/>
  <c r="S1028" i="12"/>
  <c r="AJ1028" i="12" s="1"/>
  <c r="S1027" i="12"/>
  <c r="AJ1027" i="12" s="1"/>
  <c r="S1026" i="12"/>
  <c r="AJ1026" i="12" s="1"/>
  <c r="S1025" i="12"/>
  <c r="AJ1025" i="12" s="1"/>
  <c r="S1024" i="12"/>
  <c r="AJ1024" i="12" s="1"/>
  <c r="S1023" i="12"/>
  <c r="AJ1023" i="12" s="1"/>
  <c r="AJ1022" i="12"/>
  <c r="S1022" i="12"/>
  <c r="S1021" i="12"/>
  <c r="AJ1021" i="12" s="1"/>
  <c r="S1020" i="12"/>
  <c r="AJ1020" i="12" s="1"/>
  <c r="S1019" i="12"/>
  <c r="AJ1019" i="12" s="1"/>
  <c r="AJ1018" i="12"/>
  <c r="S1018" i="12"/>
  <c r="S1017" i="12"/>
  <c r="AJ1017" i="12" s="1"/>
  <c r="S1016" i="12"/>
  <c r="AJ1016" i="12" s="1"/>
  <c r="S1015" i="12"/>
  <c r="AJ1015" i="12" s="1"/>
  <c r="S1014" i="12"/>
  <c r="AJ1014" i="12" s="1"/>
  <c r="S1013" i="12"/>
  <c r="AJ1013" i="12" s="1"/>
  <c r="S1012" i="12"/>
  <c r="AJ1012" i="12" s="1"/>
  <c r="S1011" i="12"/>
  <c r="AJ1011" i="12" s="1"/>
  <c r="S1010" i="12"/>
  <c r="AJ1010" i="12" s="1"/>
  <c r="S1009" i="12"/>
  <c r="AJ1009" i="12" s="1"/>
  <c r="S1008" i="12"/>
  <c r="AJ1008" i="12" s="1"/>
  <c r="S1007" i="12"/>
  <c r="AJ1007" i="12" s="1"/>
  <c r="S1006" i="12"/>
  <c r="AJ1006" i="12" s="1"/>
  <c r="S1005" i="12"/>
  <c r="AJ1005" i="12" s="1"/>
  <c r="S1004" i="12"/>
  <c r="AJ1004" i="12" s="1"/>
  <c r="S1003" i="12"/>
  <c r="AJ1003" i="12" s="1"/>
  <c r="AJ1002" i="12"/>
  <c r="S1002" i="12"/>
  <c r="S1001" i="12"/>
  <c r="AJ1001" i="12" s="1"/>
  <c r="S1000" i="12"/>
  <c r="AJ1000" i="12" s="1"/>
  <c r="S999" i="12"/>
  <c r="AJ999" i="12" s="1"/>
  <c r="AJ998" i="12"/>
  <c r="S998" i="12"/>
  <c r="S997" i="12"/>
  <c r="AJ997" i="12" s="1"/>
  <c r="AJ996" i="12"/>
  <c r="S996" i="12"/>
  <c r="S995" i="12"/>
  <c r="AJ995" i="12" s="1"/>
  <c r="S994" i="12"/>
  <c r="AJ994" i="12" s="1"/>
  <c r="S993" i="12"/>
  <c r="AJ993" i="12" s="1"/>
  <c r="S992" i="12"/>
  <c r="AJ992" i="12" s="1"/>
  <c r="S991" i="12"/>
  <c r="AJ991" i="12" s="1"/>
  <c r="S990" i="12"/>
  <c r="AJ990" i="12" s="1"/>
  <c r="S989" i="12"/>
  <c r="AJ989" i="12" s="1"/>
  <c r="AJ988" i="12"/>
  <c r="S988" i="12"/>
  <c r="S987" i="12"/>
  <c r="AJ987" i="12" s="1"/>
  <c r="AJ986" i="12"/>
  <c r="S986" i="12"/>
  <c r="S985" i="12"/>
  <c r="AJ985" i="12" s="1"/>
  <c r="S984" i="12"/>
  <c r="AJ984" i="12" s="1"/>
  <c r="S983" i="12"/>
  <c r="AJ983" i="12" s="1"/>
  <c r="AJ982" i="12"/>
  <c r="S982" i="12"/>
  <c r="S981" i="12"/>
  <c r="AJ981" i="12" s="1"/>
  <c r="AJ980" i="12"/>
  <c r="S980" i="12"/>
  <c r="S979" i="12"/>
  <c r="AJ979" i="12" s="1"/>
  <c r="AJ978" i="12"/>
  <c r="S978" i="12"/>
  <c r="S977" i="12"/>
  <c r="AJ977" i="12" s="1"/>
  <c r="S976" i="12"/>
  <c r="AJ976" i="12" s="1"/>
  <c r="S975" i="12"/>
  <c r="AJ975" i="12" s="1"/>
  <c r="S974" i="12"/>
  <c r="AJ974" i="12" s="1"/>
  <c r="S973" i="12"/>
  <c r="AJ973" i="12" s="1"/>
  <c r="AJ972" i="12"/>
  <c r="S972" i="12"/>
  <c r="S971" i="12"/>
  <c r="AJ971" i="12" s="1"/>
  <c r="AJ970" i="12"/>
  <c r="S970" i="12"/>
  <c r="S969" i="12"/>
  <c r="AJ969" i="12" s="1"/>
  <c r="S968" i="12"/>
  <c r="AJ968" i="12" s="1"/>
  <c r="S967" i="12"/>
  <c r="AJ967" i="12" s="1"/>
  <c r="AJ966" i="12"/>
  <c r="S966" i="12"/>
  <c r="S965" i="12"/>
  <c r="AJ965" i="12" s="1"/>
  <c r="AJ964" i="12"/>
  <c r="S964" i="12"/>
  <c r="S963" i="12"/>
  <c r="AJ963" i="12" s="1"/>
  <c r="AJ962" i="12"/>
  <c r="S962" i="12"/>
  <c r="S961" i="12"/>
  <c r="AJ961" i="12" s="1"/>
  <c r="S960" i="12"/>
  <c r="AJ960" i="12" s="1"/>
  <c r="S959" i="12"/>
  <c r="AJ959" i="12" s="1"/>
  <c r="S958" i="12"/>
  <c r="AJ958" i="12" s="1"/>
  <c r="S957" i="12"/>
  <c r="AJ957" i="12" s="1"/>
  <c r="AJ956" i="12"/>
  <c r="S956" i="12"/>
  <c r="S955" i="12"/>
  <c r="AJ955" i="12" s="1"/>
  <c r="AJ954" i="12"/>
  <c r="S954" i="12"/>
  <c r="S953" i="12"/>
  <c r="AJ953" i="12" s="1"/>
  <c r="S952" i="12"/>
  <c r="AJ952" i="12" s="1"/>
  <c r="S951" i="12"/>
  <c r="AJ951" i="12" s="1"/>
  <c r="AJ950" i="12"/>
  <c r="S950" i="12"/>
  <c r="S949" i="12"/>
  <c r="AJ949" i="12" s="1"/>
  <c r="AJ948" i="12"/>
  <c r="S948" i="12"/>
  <c r="S947" i="12"/>
  <c r="AJ947" i="12" s="1"/>
  <c r="S946" i="12"/>
  <c r="AJ946" i="12" s="1"/>
  <c r="S945" i="12"/>
  <c r="AJ945" i="12" s="1"/>
  <c r="S944" i="12"/>
  <c r="AJ944" i="12" s="1"/>
  <c r="S943" i="12"/>
  <c r="AJ943" i="12" s="1"/>
  <c r="S942" i="12"/>
  <c r="AJ942" i="12" s="1"/>
  <c r="S941" i="12"/>
  <c r="AJ941" i="12" s="1"/>
  <c r="AJ940" i="12"/>
  <c r="S940" i="12"/>
  <c r="S939" i="12"/>
  <c r="AJ939" i="12" s="1"/>
  <c r="AJ938" i="12"/>
  <c r="S938" i="12"/>
  <c r="S937" i="12"/>
  <c r="AJ937" i="12" s="1"/>
  <c r="S936" i="12"/>
  <c r="AJ936" i="12" s="1"/>
  <c r="S935" i="12"/>
  <c r="AJ935" i="12" s="1"/>
  <c r="AJ934" i="12"/>
  <c r="S934" i="12"/>
  <c r="S933" i="12"/>
  <c r="AJ933" i="12" s="1"/>
  <c r="AJ932" i="12"/>
  <c r="S932" i="12"/>
  <c r="S931" i="12"/>
  <c r="AJ931" i="12" s="1"/>
  <c r="S930" i="12"/>
  <c r="AJ930" i="12" s="1"/>
  <c r="S929" i="12"/>
  <c r="AJ929" i="12" s="1"/>
  <c r="S928" i="12"/>
  <c r="AJ928" i="12" s="1"/>
  <c r="S927" i="12"/>
  <c r="AJ927" i="12" s="1"/>
  <c r="S926" i="12"/>
  <c r="AJ926" i="12" s="1"/>
  <c r="S925" i="12"/>
  <c r="AJ925" i="12" s="1"/>
  <c r="AJ924" i="12"/>
  <c r="S924" i="12"/>
  <c r="S923" i="12"/>
  <c r="AJ923" i="12" s="1"/>
  <c r="AJ922" i="12"/>
  <c r="S922" i="12"/>
  <c r="S921" i="12"/>
  <c r="AJ921" i="12" s="1"/>
  <c r="S920" i="12"/>
  <c r="AJ920" i="12" s="1"/>
  <c r="S919" i="12"/>
  <c r="AJ919" i="12" s="1"/>
  <c r="AJ918" i="12"/>
  <c r="S918" i="12"/>
  <c r="S917" i="12"/>
  <c r="AJ917" i="12" s="1"/>
  <c r="AJ916" i="12"/>
  <c r="S916" i="12"/>
  <c r="S915" i="12"/>
  <c r="AJ915" i="12" s="1"/>
  <c r="AJ914" i="12"/>
  <c r="S914" i="12"/>
  <c r="S913" i="12"/>
  <c r="AJ913" i="12" s="1"/>
  <c r="S912" i="12"/>
  <c r="AJ912" i="12" s="1"/>
  <c r="S911" i="12"/>
  <c r="AJ911" i="12" s="1"/>
  <c r="S910" i="12"/>
  <c r="AJ910" i="12" s="1"/>
  <c r="S909" i="12"/>
  <c r="AJ909" i="12" s="1"/>
  <c r="AJ908" i="12"/>
  <c r="S908" i="12"/>
  <c r="S907" i="12"/>
  <c r="AJ907" i="12" s="1"/>
  <c r="AJ906" i="12"/>
  <c r="S906" i="12"/>
  <c r="S905" i="12"/>
  <c r="AJ905" i="12" s="1"/>
  <c r="S904" i="12"/>
  <c r="AJ904" i="12" s="1"/>
  <c r="S903" i="12"/>
  <c r="AJ903" i="12" s="1"/>
  <c r="AJ902" i="12"/>
  <c r="S902" i="12"/>
  <c r="S901" i="12"/>
  <c r="AJ901" i="12" s="1"/>
  <c r="AJ900" i="12"/>
  <c r="S900" i="12"/>
  <c r="S899" i="12"/>
  <c r="AJ899" i="12" s="1"/>
  <c r="S898" i="12"/>
  <c r="AJ898" i="12" s="1"/>
  <c r="S897" i="12"/>
  <c r="AJ897" i="12" s="1"/>
  <c r="S896" i="12"/>
  <c r="AJ896" i="12" s="1"/>
  <c r="S895" i="12"/>
  <c r="AJ895" i="12" s="1"/>
  <c r="S894" i="12"/>
  <c r="AJ894" i="12" s="1"/>
  <c r="S893" i="12"/>
  <c r="AJ893" i="12" s="1"/>
  <c r="AJ892" i="12"/>
  <c r="S892" i="12"/>
  <c r="S891" i="12"/>
  <c r="AJ891" i="12" s="1"/>
  <c r="AJ890" i="12"/>
  <c r="S890" i="12"/>
  <c r="S889" i="12"/>
  <c r="AJ889" i="12" s="1"/>
  <c r="S888" i="12"/>
  <c r="AJ888" i="12" s="1"/>
  <c r="S887" i="12"/>
  <c r="AJ887" i="12" s="1"/>
  <c r="AJ886" i="12"/>
  <c r="S886" i="12"/>
  <c r="S885" i="12"/>
  <c r="AJ885" i="12" s="1"/>
  <c r="AJ884" i="12"/>
  <c r="S884" i="12"/>
  <c r="S883" i="12"/>
  <c r="AJ883" i="12" s="1"/>
  <c r="AJ882" i="12"/>
  <c r="S882" i="12"/>
  <c r="S881" i="12"/>
  <c r="AJ881" i="12" s="1"/>
  <c r="S880" i="12"/>
  <c r="AJ880" i="12" s="1"/>
  <c r="S879" i="12"/>
  <c r="AJ879" i="12" s="1"/>
  <c r="S878" i="12"/>
  <c r="AJ878" i="12" s="1"/>
  <c r="S877" i="12"/>
  <c r="AJ877" i="12" s="1"/>
  <c r="AJ876" i="12"/>
  <c r="S876" i="12"/>
  <c r="S875" i="12"/>
  <c r="AJ875" i="12" s="1"/>
  <c r="AJ874" i="12"/>
  <c r="S874" i="12"/>
  <c r="S873" i="12"/>
  <c r="AJ873" i="12" s="1"/>
  <c r="S872" i="12"/>
  <c r="AJ872" i="12" s="1"/>
  <c r="S871" i="12"/>
  <c r="AJ871" i="12" s="1"/>
  <c r="AJ870" i="12"/>
  <c r="S870" i="12"/>
  <c r="S869" i="12"/>
  <c r="AJ869" i="12" s="1"/>
  <c r="AJ868" i="12"/>
  <c r="S868" i="12"/>
  <c r="S867" i="12"/>
  <c r="AJ867" i="12" s="1"/>
  <c r="S866" i="12"/>
  <c r="AJ866" i="12" s="1"/>
  <c r="S865" i="12"/>
  <c r="AJ865" i="12" s="1"/>
  <c r="S864" i="12"/>
  <c r="AJ864" i="12" s="1"/>
  <c r="S863" i="12"/>
  <c r="AJ863" i="12" s="1"/>
  <c r="S862" i="12"/>
  <c r="AJ862" i="12" s="1"/>
  <c r="S861" i="12"/>
  <c r="AJ861" i="12" s="1"/>
  <c r="AJ860" i="12"/>
  <c r="S860" i="12"/>
  <c r="S859" i="12"/>
  <c r="AJ859" i="12" s="1"/>
  <c r="AJ858" i="12"/>
  <c r="S858" i="12"/>
  <c r="S857" i="12"/>
  <c r="AJ857" i="12" s="1"/>
  <c r="S856" i="12"/>
  <c r="AJ856" i="12" s="1"/>
  <c r="S855" i="12"/>
  <c r="AJ855" i="12" s="1"/>
  <c r="AJ854" i="12"/>
  <c r="S854" i="12"/>
  <c r="S853" i="12"/>
  <c r="AJ853" i="12" s="1"/>
  <c r="AJ852" i="12"/>
  <c r="S852" i="12"/>
  <c r="S851" i="12"/>
  <c r="AJ851" i="12" s="1"/>
  <c r="AJ850" i="12"/>
  <c r="S850" i="12"/>
  <c r="S849" i="12"/>
  <c r="AJ849" i="12" s="1"/>
  <c r="S848" i="12"/>
  <c r="AJ848" i="12" s="1"/>
  <c r="S847" i="12"/>
  <c r="AJ847" i="12" s="1"/>
  <c r="S846" i="12"/>
  <c r="AJ846" i="12" s="1"/>
  <c r="S845" i="12"/>
  <c r="AJ845" i="12" s="1"/>
  <c r="AJ844" i="12"/>
  <c r="S844" i="12"/>
  <c r="S843" i="12"/>
  <c r="AJ843" i="12" s="1"/>
  <c r="AJ842" i="12"/>
  <c r="S842" i="12"/>
  <c r="S841" i="12"/>
  <c r="AJ841" i="12" s="1"/>
  <c r="S840" i="12"/>
  <c r="AJ840" i="12" s="1"/>
  <c r="AJ839" i="12"/>
  <c r="S839" i="12"/>
  <c r="S838" i="12"/>
  <c r="AJ838" i="12" s="1"/>
  <c r="AJ837" i="12"/>
  <c r="S837" i="12"/>
  <c r="S836" i="12"/>
  <c r="AJ836" i="12" s="1"/>
  <c r="AJ835" i="12"/>
  <c r="S835" i="12"/>
  <c r="S834" i="12"/>
  <c r="AJ834" i="12" s="1"/>
  <c r="AJ833" i="12"/>
  <c r="S833" i="12"/>
  <c r="S832" i="12"/>
  <c r="AJ832" i="12" s="1"/>
  <c r="AJ831" i="12"/>
  <c r="S831" i="12"/>
  <c r="S830" i="12"/>
  <c r="AJ830" i="12" s="1"/>
  <c r="AJ829" i="12"/>
  <c r="S829" i="12"/>
  <c r="S828" i="12"/>
  <c r="AJ828" i="12" s="1"/>
  <c r="AJ827" i="12"/>
  <c r="S827" i="12"/>
  <c r="S826" i="12"/>
  <c r="AJ826" i="12" s="1"/>
  <c r="AJ825" i="12"/>
  <c r="S825" i="12"/>
  <c r="S824" i="12"/>
  <c r="AJ824" i="12" s="1"/>
  <c r="AJ823" i="12"/>
  <c r="S823" i="12"/>
  <c r="S822" i="12"/>
  <c r="AJ822" i="12" s="1"/>
  <c r="AJ821" i="12"/>
  <c r="S821" i="12"/>
  <c r="S820" i="12"/>
  <c r="AJ820" i="12" s="1"/>
  <c r="AJ819" i="12"/>
  <c r="S819" i="12"/>
  <c r="S818" i="12"/>
  <c r="AJ818" i="12" s="1"/>
  <c r="AJ817" i="12"/>
  <c r="S817" i="12"/>
  <c r="S816" i="12"/>
  <c r="AJ816" i="12" s="1"/>
  <c r="AJ815" i="12"/>
  <c r="S815" i="12"/>
  <c r="S814" i="12"/>
  <c r="AJ814" i="12" s="1"/>
  <c r="AJ813" i="12"/>
  <c r="S813" i="12"/>
  <c r="S812" i="12"/>
  <c r="AJ812" i="12" s="1"/>
  <c r="AJ811" i="12"/>
  <c r="S811" i="12"/>
  <c r="S810" i="12"/>
  <c r="AJ810" i="12" s="1"/>
  <c r="AJ809" i="12"/>
  <c r="S809" i="12"/>
  <c r="S808" i="12"/>
  <c r="AJ808" i="12" s="1"/>
  <c r="AJ807" i="12"/>
  <c r="S807" i="12"/>
  <c r="S806" i="12"/>
  <c r="AJ806" i="12" s="1"/>
  <c r="AJ805" i="12"/>
  <c r="S805" i="12"/>
  <c r="S804" i="12"/>
  <c r="AJ804" i="12" s="1"/>
  <c r="AJ803" i="12"/>
  <c r="S803" i="12"/>
  <c r="S802" i="12"/>
  <c r="AJ802" i="12" s="1"/>
  <c r="AJ801" i="12"/>
  <c r="S801" i="12"/>
  <c r="S800" i="12"/>
  <c r="AJ800" i="12" s="1"/>
  <c r="AJ799" i="12"/>
  <c r="S799" i="12"/>
  <c r="S798" i="12"/>
  <c r="AJ798" i="12" s="1"/>
  <c r="AJ797" i="12"/>
  <c r="S797" i="12"/>
  <c r="S796" i="12"/>
  <c r="AJ796" i="12" s="1"/>
  <c r="AJ795" i="12"/>
  <c r="S795" i="12"/>
  <c r="S794" i="12"/>
  <c r="AJ794" i="12" s="1"/>
  <c r="AJ793" i="12"/>
  <c r="S793" i="12"/>
  <c r="S792" i="12"/>
  <c r="AJ792" i="12" s="1"/>
  <c r="AJ791" i="12"/>
  <c r="S791" i="12"/>
  <c r="S790" i="12"/>
  <c r="AJ790" i="12" s="1"/>
  <c r="AJ789" i="12"/>
  <c r="S789" i="12"/>
  <c r="S788" i="12"/>
  <c r="AJ788" i="12" s="1"/>
  <c r="AJ787" i="12"/>
  <c r="S787" i="12"/>
  <c r="S786" i="12"/>
  <c r="AJ786" i="12" s="1"/>
  <c r="AJ785" i="12"/>
  <c r="S785" i="12"/>
  <c r="S784" i="12"/>
  <c r="AJ784" i="12" s="1"/>
  <c r="AJ783" i="12"/>
  <c r="S783" i="12"/>
  <c r="S782" i="12"/>
  <c r="AJ782" i="12" s="1"/>
  <c r="AJ781" i="12"/>
  <c r="S781" i="12"/>
  <c r="S780" i="12"/>
  <c r="AJ780" i="12" s="1"/>
  <c r="AJ779" i="12"/>
  <c r="S779" i="12"/>
  <c r="S778" i="12"/>
  <c r="AJ778" i="12" s="1"/>
  <c r="AJ777" i="12"/>
  <c r="S777" i="12"/>
  <c r="S776" i="12"/>
  <c r="AJ776" i="12" s="1"/>
  <c r="AJ775" i="12"/>
  <c r="S775" i="12"/>
  <c r="S774" i="12"/>
  <c r="AJ774" i="12" s="1"/>
  <c r="AJ773" i="12"/>
  <c r="S773" i="12"/>
  <c r="S772" i="12"/>
  <c r="AJ772" i="12" s="1"/>
  <c r="AJ771" i="12"/>
  <c r="S771" i="12"/>
  <c r="S770" i="12"/>
  <c r="AJ770" i="12" s="1"/>
  <c r="AJ769" i="12"/>
  <c r="S769" i="12"/>
  <c r="S768" i="12"/>
  <c r="AJ768" i="12" s="1"/>
  <c r="AJ767" i="12"/>
  <c r="S767" i="12"/>
  <c r="S766" i="12"/>
  <c r="AJ766" i="12" s="1"/>
  <c r="AJ765" i="12"/>
  <c r="S765" i="12"/>
  <c r="S764" i="12"/>
  <c r="AJ764" i="12" s="1"/>
  <c r="AJ763" i="12"/>
  <c r="S763" i="12"/>
  <c r="S762" i="12"/>
  <c r="AJ762" i="12" s="1"/>
  <c r="AJ761" i="12"/>
  <c r="S761" i="12"/>
  <c r="S760" i="12"/>
  <c r="AJ760" i="12" s="1"/>
  <c r="AJ759" i="12"/>
  <c r="S759" i="12"/>
  <c r="S758" i="12"/>
  <c r="AJ758" i="12" s="1"/>
  <c r="AJ757" i="12"/>
  <c r="S757" i="12"/>
  <c r="S756" i="12"/>
  <c r="AJ756" i="12" s="1"/>
  <c r="AJ755" i="12"/>
  <c r="S755" i="12"/>
  <c r="S754" i="12"/>
  <c r="AJ754" i="12" s="1"/>
  <c r="AJ753" i="12"/>
  <c r="S753" i="12"/>
  <c r="S752" i="12"/>
  <c r="AJ752" i="12" s="1"/>
  <c r="AJ751" i="12"/>
  <c r="S751" i="12"/>
  <c r="S750" i="12"/>
  <c r="AJ750" i="12" s="1"/>
  <c r="AJ749" i="12"/>
  <c r="S749" i="12"/>
  <c r="S748" i="12"/>
  <c r="AJ748" i="12" s="1"/>
  <c r="AJ747" i="12"/>
  <c r="S747" i="12"/>
  <c r="S746" i="12"/>
  <c r="AJ746" i="12" s="1"/>
  <c r="AJ745" i="12"/>
  <c r="S745" i="12"/>
  <c r="S744" i="12"/>
  <c r="AJ744" i="12" s="1"/>
  <c r="AJ743" i="12"/>
  <c r="S743" i="12"/>
  <c r="S742" i="12"/>
  <c r="AJ742" i="12" s="1"/>
  <c r="AJ741" i="12"/>
  <c r="S741" i="12"/>
  <c r="S740" i="12"/>
  <c r="AJ740" i="12" s="1"/>
  <c r="AJ739" i="12"/>
  <c r="S739" i="12"/>
  <c r="S738" i="12"/>
  <c r="AJ738" i="12" s="1"/>
  <c r="AJ737" i="12"/>
  <c r="S737" i="12"/>
  <c r="S736" i="12"/>
  <c r="AJ736" i="12" s="1"/>
  <c r="AJ735" i="12"/>
  <c r="S735" i="12"/>
  <c r="S734" i="12"/>
  <c r="AJ734" i="12" s="1"/>
  <c r="AJ733" i="12"/>
  <c r="S733" i="12"/>
  <c r="S732" i="12"/>
  <c r="AJ732" i="12" s="1"/>
  <c r="AJ731" i="12"/>
  <c r="S731" i="12"/>
  <c r="S730" i="12"/>
  <c r="AJ730" i="12" s="1"/>
  <c r="AJ729" i="12"/>
  <c r="S729" i="12"/>
  <c r="S728" i="12"/>
  <c r="AJ728" i="12" s="1"/>
  <c r="AJ727" i="12"/>
  <c r="S727" i="12"/>
  <c r="S726" i="12"/>
  <c r="AJ726" i="12" s="1"/>
  <c r="AJ725" i="12"/>
  <c r="S725" i="12"/>
  <c r="S724" i="12"/>
  <c r="AJ724" i="12" s="1"/>
  <c r="AJ723" i="12"/>
  <c r="S723" i="12"/>
  <c r="S722" i="12"/>
  <c r="AJ722" i="12" s="1"/>
  <c r="AJ721" i="12"/>
  <c r="S721" i="12"/>
  <c r="S720" i="12"/>
  <c r="AJ720" i="12" s="1"/>
  <c r="AJ719" i="12"/>
  <c r="S719" i="12"/>
  <c r="S718" i="12"/>
  <c r="AJ718" i="12" s="1"/>
  <c r="AJ717" i="12"/>
  <c r="S717" i="12"/>
  <c r="S716" i="12"/>
  <c r="AJ716" i="12" s="1"/>
  <c r="AJ715" i="12"/>
  <c r="S715" i="12"/>
  <c r="S714" i="12"/>
  <c r="AJ714" i="12" s="1"/>
  <c r="AJ713" i="12"/>
  <c r="S713" i="12"/>
  <c r="S712" i="12"/>
  <c r="AJ712" i="12" s="1"/>
  <c r="AJ711" i="12"/>
  <c r="S711" i="12"/>
  <c r="S710" i="12"/>
  <c r="AJ710" i="12" s="1"/>
  <c r="AJ709" i="12"/>
  <c r="S709" i="12"/>
  <c r="S708" i="12"/>
  <c r="AJ708" i="12" s="1"/>
  <c r="AJ707" i="12"/>
  <c r="S707" i="12"/>
  <c r="S706" i="12"/>
  <c r="AJ706" i="12" s="1"/>
  <c r="AJ705" i="12"/>
  <c r="S705" i="12"/>
  <c r="S704" i="12"/>
  <c r="AJ704" i="12" s="1"/>
  <c r="AJ703" i="12"/>
  <c r="S703" i="12"/>
  <c r="S702" i="12"/>
  <c r="AJ702" i="12" s="1"/>
  <c r="AJ701" i="12"/>
  <c r="S701" i="12"/>
  <c r="S700" i="12"/>
  <c r="AJ700" i="12" s="1"/>
  <c r="AJ699" i="12"/>
  <c r="S699" i="12"/>
  <c r="S698" i="12"/>
  <c r="AJ698" i="12" s="1"/>
  <c r="AJ697" i="12"/>
  <c r="S697" i="12"/>
  <c r="S696" i="12"/>
  <c r="AJ696" i="12" s="1"/>
  <c r="AJ695" i="12"/>
  <c r="S695" i="12"/>
  <c r="S694" i="12"/>
  <c r="AJ694" i="12" s="1"/>
  <c r="AJ693" i="12"/>
  <c r="S693" i="12"/>
  <c r="S692" i="12"/>
  <c r="AJ692" i="12" s="1"/>
  <c r="AJ691" i="12"/>
  <c r="S691" i="12"/>
  <c r="S690" i="12"/>
  <c r="AJ690" i="12" s="1"/>
  <c r="AJ689" i="12"/>
  <c r="S689" i="12"/>
  <c r="S688" i="12"/>
  <c r="AJ688" i="12" s="1"/>
  <c r="AJ687" i="12"/>
  <c r="S687" i="12"/>
  <c r="S686" i="12"/>
  <c r="AJ686" i="12" s="1"/>
  <c r="AJ685" i="12"/>
  <c r="S685" i="12"/>
  <c r="S684" i="12"/>
  <c r="AJ684" i="12" s="1"/>
  <c r="AJ683" i="12"/>
  <c r="S683" i="12"/>
  <c r="S682" i="12"/>
  <c r="AJ682" i="12" s="1"/>
  <c r="AJ681" i="12"/>
  <c r="S681" i="12"/>
  <c r="S680" i="12"/>
  <c r="AJ680" i="12" s="1"/>
  <c r="AJ679" i="12"/>
  <c r="S679" i="12"/>
  <c r="S678" i="12"/>
  <c r="AJ678" i="12" s="1"/>
  <c r="AJ677" i="12"/>
  <c r="S677" i="12"/>
  <c r="S676" i="12"/>
  <c r="AJ676" i="12" s="1"/>
  <c r="AJ675" i="12"/>
  <c r="S675" i="12"/>
  <c r="S674" i="12"/>
  <c r="AJ674" i="12" s="1"/>
  <c r="AJ673" i="12"/>
  <c r="S673" i="12"/>
  <c r="S672" i="12"/>
  <c r="AJ672" i="12" s="1"/>
  <c r="AJ671" i="12"/>
  <c r="S671" i="12"/>
  <c r="S670" i="12"/>
  <c r="AJ670" i="12" s="1"/>
  <c r="AJ669" i="12"/>
  <c r="S669" i="12"/>
  <c r="AF667" i="12"/>
  <c r="AE667" i="12"/>
  <c r="AD667" i="12"/>
  <c r="AC667" i="12"/>
  <c r="AB667" i="12"/>
  <c r="AA667" i="12"/>
  <c r="Z667" i="12"/>
  <c r="Y667" i="12"/>
  <c r="X667" i="12"/>
  <c r="W667" i="12"/>
  <c r="V667" i="12"/>
  <c r="U667" i="12"/>
  <c r="T667" i="12"/>
  <c r="S667" i="12"/>
  <c r="R667" i="12"/>
  <c r="Q667" i="12"/>
  <c r="P667" i="12"/>
  <c r="O667" i="12"/>
  <c r="N667" i="12"/>
  <c r="M667" i="12"/>
  <c r="L667" i="12"/>
  <c r="K667" i="12"/>
  <c r="J667" i="12"/>
  <c r="I667" i="12"/>
  <c r="H667" i="12"/>
  <c r="G667" i="12"/>
  <c r="AF661" i="12"/>
  <c r="S106" i="13" s="1"/>
  <c r="AE661" i="12"/>
  <c r="AD661" i="12"/>
  <c r="AC661" i="12"/>
  <c r="AB661" i="12"/>
  <c r="AA661" i="12"/>
  <c r="Z661" i="12"/>
  <c r="Y661" i="12"/>
  <c r="X661" i="12"/>
  <c r="W661" i="12"/>
  <c r="V661" i="12"/>
  <c r="U661" i="12"/>
  <c r="T661" i="12"/>
  <c r="S661" i="12"/>
  <c r="R661" i="12"/>
  <c r="Q661" i="12"/>
  <c r="P661" i="12"/>
  <c r="O661" i="12"/>
  <c r="N661" i="12"/>
  <c r="M661" i="12"/>
  <c r="L661" i="12"/>
  <c r="K661" i="12"/>
  <c r="J661" i="12"/>
  <c r="I661" i="12"/>
  <c r="H661" i="12"/>
  <c r="G661" i="12"/>
  <c r="AF656" i="12"/>
  <c r="AE656" i="12"/>
  <c r="AD656" i="12"/>
  <c r="AC656" i="12"/>
  <c r="AB656" i="12"/>
  <c r="AA656" i="12"/>
  <c r="Z656" i="12"/>
  <c r="Y656" i="12"/>
  <c r="X656" i="12"/>
  <c r="W656" i="12"/>
  <c r="V656" i="12"/>
  <c r="U656" i="12"/>
  <c r="T656" i="12"/>
  <c r="S656" i="12"/>
  <c r="K100" i="13" s="1"/>
  <c r="R656" i="12"/>
  <c r="Q656" i="12"/>
  <c r="P656" i="12"/>
  <c r="O656" i="12"/>
  <c r="N656" i="12"/>
  <c r="M656" i="12"/>
  <c r="L656" i="12"/>
  <c r="K656" i="12"/>
  <c r="J656" i="12"/>
  <c r="I656" i="12"/>
  <c r="H656" i="12"/>
  <c r="G656" i="12"/>
  <c r="AF652" i="12"/>
  <c r="AE652" i="12"/>
  <c r="AD652" i="12"/>
  <c r="AC652" i="12"/>
  <c r="AB652" i="12"/>
  <c r="AA652" i="12"/>
  <c r="Z652" i="12"/>
  <c r="Y652" i="12"/>
  <c r="X652" i="12"/>
  <c r="W652" i="12"/>
  <c r="V652" i="12"/>
  <c r="U652" i="12"/>
  <c r="T652" i="12"/>
  <c r="S652" i="12"/>
  <c r="R652" i="12"/>
  <c r="Q652" i="12"/>
  <c r="P652" i="12"/>
  <c r="O652" i="12"/>
  <c r="N652" i="12"/>
  <c r="M652" i="12"/>
  <c r="L652" i="12"/>
  <c r="K652" i="12"/>
  <c r="J652" i="12"/>
  <c r="I652" i="12"/>
  <c r="H652" i="12"/>
  <c r="G652" i="12"/>
  <c r="AF639" i="12"/>
  <c r="AE639" i="12"/>
  <c r="AD639" i="12"/>
  <c r="AC639" i="12"/>
  <c r="AB639" i="12"/>
  <c r="AA639" i="12"/>
  <c r="Z639" i="12"/>
  <c r="Y639" i="12"/>
  <c r="X639" i="12"/>
  <c r="W639" i="12"/>
  <c r="V639" i="12"/>
  <c r="U639" i="12"/>
  <c r="T639" i="12"/>
  <c r="S639" i="12"/>
  <c r="R639" i="12"/>
  <c r="Q639" i="12"/>
  <c r="P639" i="12"/>
  <c r="O639" i="12"/>
  <c r="N639" i="12"/>
  <c r="M639" i="12"/>
  <c r="L639" i="12"/>
  <c r="K639" i="12"/>
  <c r="J639" i="12"/>
  <c r="I639" i="12"/>
  <c r="H639" i="12"/>
  <c r="G639" i="12"/>
  <c r="J98" i="13" s="1"/>
  <c r="AF631" i="12"/>
  <c r="AE631" i="12"/>
  <c r="AD631" i="12"/>
  <c r="AC631" i="12"/>
  <c r="AB631" i="12"/>
  <c r="AA631" i="12"/>
  <c r="Z631" i="12"/>
  <c r="Y631" i="12"/>
  <c r="X631" i="12"/>
  <c r="W631" i="12"/>
  <c r="V631" i="12"/>
  <c r="U631" i="12"/>
  <c r="T631" i="12"/>
  <c r="S631" i="12"/>
  <c r="R631" i="12"/>
  <c r="Q631" i="12"/>
  <c r="P631" i="12"/>
  <c r="O631" i="12"/>
  <c r="N631" i="12"/>
  <c r="M631" i="12"/>
  <c r="L631" i="12"/>
  <c r="K631" i="12"/>
  <c r="J631" i="12"/>
  <c r="I631" i="12"/>
  <c r="H631" i="12"/>
  <c r="G631" i="12"/>
  <c r="AF628" i="12"/>
  <c r="AE628" i="12"/>
  <c r="AD628" i="12"/>
  <c r="AC628" i="12"/>
  <c r="AB628" i="12"/>
  <c r="AA628" i="12"/>
  <c r="Z628" i="12"/>
  <c r="Y628" i="12"/>
  <c r="X628" i="12"/>
  <c r="W628" i="12"/>
  <c r="V628" i="12"/>
  <c r="U628" i="12"/>
  <c r="T628" i="12"/>
  <c r="S628" i="12"/>
  <c r="R628" i="12"/>
  <c r="Q628" i="12"/>
  <c r="P628" i="12"/>
  <c r="O628" i="12"/>
  <c r="N628" i="12"/>
  <c r="M628" i="12"/>
  <c r="L628" i="12"/>
  <c r="K628" i="12"/>
  <c r="J628" i="12"/>
  <c r="I628" i="12"/>
  <c r="H628" i="12"/>
  <c r="G628" i="12"/>
  <c r="AF622" i="12"/>
  <c r="AE622" i="12"/>
  <c r="AD622" i="12"/>
  <c r="AC622" i="12"/>
  <c r="AB622" i="12"/>
  <c r="AA622" i="12"/>
  <c r="Z622" i="12"/>
  <c r="Y622" i="12"/>
  <c r="X622" i="12"/>
  <c r="W622" i="12"/>
  <c r="V622" i="12"/>
  <c r="U622" i="12"/>
  <c r="T622" i="12"/>
  <c r="S622" i="12"/>
  <c r="R622" i="12"/>
  <c r="Q622" i="12"/>
  <c r="P622" i="12"/>
  <c r="O622" i="12"/>
  <c r="N622" i="12"/>
  <c r="M622" i="12"/>
  <c r="L622" i="12"/>
  <c r="K622" i="12"/>
  <c r="J622" i="12"/>
  <c r="I622" i="12"/>
  <c r="H622" i="12"/>
  <c r="G622" i="12"/>
  <c r="AF578" i="12"/>
  <c r="AE578" i="12"/>
  <c r="AD578" i="12"/>
  <c r="AC578" i="12"/>
  <c r="AB578" i="12"/>
  <c r="AA578" i="12"/>
  <c r="Z578" i="12"/>
  <c r="Y578" i="12"/>
  <c r="X578" i="12"/>
  <c r="W578" i="12"/>
  <c r="V578" i="12"/>
  <c r="U578" i="12"/>
  <c r="T578" i="12"/>
  <c r="R578" i="12"/>
  <c r="Q578" i="12"/>
  <c r="P578" i="12"/>
  <c r="O578" i="12"/>
  <c r="N578" i="12"/>
  <c r="M578" i="12"/>
  <c r="L578" i="12"/>
  <c r="K578" i="12"/>
  <c r="J578" i="12"/>
  <c r="I578" i="12"/>
  <c r="H578" i="12"/>
  <c r="G578" i="12"/>
  <c r="J93" i="13" s="1"/>
  <c r="S577" i="12"/>
  <c r="S576" i="12"/>
  <c r="S575" i="12"/>
  <c r="S574" i="12"/>
  <c r="S578" i="12" s="1"/>
  <c r="K93" i="13" s="1"/>
  <c r="S573" i="12"/>
  <c r="S572" i="12"/>
  <c r="AF570" i="12"/>
  <c r="AE570" i="12"/>
  <c r="AD570" i="12"/>
  <c r="AC570" i="12"/>
  <c r="AB570" i="12"/>
  <c r="AA570" i="12"/>
  <c r="Z570" i="12"/>
  <c r="Y570" i="12"/>
  <c r="X570" i="12"/>
  <c r="W570" i="12"/>
  <c r="V570" i="12"/>
  <c r="U570" i="12"/>
  <c r="T570" i="12"/>
  <c r="R570" i="12"/>
  <c r="Q570" i="12"/>
  <c r="P570" i="12"/>
  <c r="O570" i="12"/>
  <c r="N570" i="12"/>
  <c r="M570" i="12"/>
  <c r="L570" i="12"/>
  <c r="K570" i="12"/>
  <c r="J570" i="12"/>
  <c r="I570" i="12"/>
  <c r="H570" i="12"/>
  <c r="G570" i="12"/>
  <c r="J92" i="13" s="1"/>
  <c r="S567" i="12"/>
  <c r="S570" i="12" s="1"/>
  <c r="AE565" i="12"/>
  <c r="AD565" i="12"/>
  <c r="AC565" i="12"/>
  <c r="AB565" i="12"/>
  <c r="AA565" i="12"/>
  <c r="Z565" i="12"/>
  <c r="Y565" i="12"/>
  <c r="X565" i="12"/>
  <c r="W565" i="12"/>
  <c r="V565" i="12"/>
  <c r="U565" i="12"/>
  <c r="T565" i="12"/>
  <c r="S565" i="12"/>
  <c r="R565" i="12"/>
  <c r="Q565" i="12"/>
  <c r="P565" i="12"/>
  <c r="O565" i="12"/>
  <c r="N565" i="12"/>
  <c r="M565" i="12"/>
  <c r="L565" i="12"/>
  <c r="K565" i="12"/>
  <c r="J565" i="12"/>
  <c r="I565" i="12"/>
  <c r="H565" i="12"/>
  <c r="G565" i="12"/>
  <c r="AF550" i="12"/>
  <c r="AE550" i="12"/>
  <c r="AD550" i="12"/>
  <c r="AC550" i="12"/>
  <c r="AB550" i="12"/>
  <c r="AA550" i="12"/>
  <c r="Z550" i="12"/>
  <c r="Y550" i="12"/>
  <c r="X550" i="12"/>
  <c r="W550" i="12"/>
  <c r="V550" i="12"/>
  <c r="U550" i="12"/>
  <c r="T550" i="12"/>
  <c r="S550" i="12"/>
  <c r="K88" i="13" s="1"/>
  <c r="R550" i="12"/>
  <c r="Q550" i="12"/>
  <c r="P550" i="12"/>
  <c r="O550" i="12"/>
  <c r="N550" i="12"/>
  <c r="M550" i="12"/>
  <c r="L550" i="12"/>
  <c r="K550" i="12"/>
  <c r="J550" i="12"/>
  <c r="I550" i="12"/>
  <c r="H550" i="12"/>
  <c r="G550" i="12"/>
  <c r="AF545" i="12"/>
  <c r="AE545" i="12"/>
  <c r="AD545" i="12"/>
  <c r="AC545" i="12"/>
  <c r="AB545" i="12"/>
  <c r="AA545" i="12"/>
  <c r="Z545" i="12"/>
  <c r="Y545" i="12"/>
  <c r="X545" i="12"/>
  <c r="W545" i="12"/>
  <c r="V545" i="12"/>
  <c r="U545" i="12"/>
  <c r="T545" i="12"/>
  <c r="S545" i="12"/>
  <c r="R545" i="12"/>
  <c r="Q545" i="12"/>
  <c r="P545" i="12"/>
  <c r="O545" i="12"/>
  <c r="N545" i="12"/>
  <c r="M545" i="12"/>
  <c r="L545" i="12"/>
  <c r="K545" i="12"/>
  <c r="J545" i="12"/>
  <c r="I545" i="12"/>
  <c r="H545" i="12"/>
  <c r="G545" i="12"/>
  <c r="AF524" i="12"/>
  <c r="AE524" i="12"/>
  <c r="AD524" i="12"/>
  <c r="AC524" i="12"/>
  <c r="AB524" i="12"/>
  <c r="AA524" i="12"/>
  <c r="Z524" i="12"/>
  <c r="Y524" i="12"/>
  <c r="X524" i="12"/>
  <c r="W524" i="12"/>
  <c r="V524" i="12"/>
  <c r="U524" i="12"/>
  <c r="T524" i="12"/>
  <c r="S524" i="12"/>
  <c r="R524" i="12"/>
  <c r="Q524" i="12"/>
  <c r="P524" i="12"/>
  <c r="O524" i="12"/>
  <c r="N524" i="12"/>
  <c r="M524" i="12"/>
  <c r="L524" i="12"/>
  <c r="K524" i="12"/>
  <c r="J524" i="12"/>
  <c r="I524" i="12"/>
  <c r="H524" i="12"/>
  <c r="G524" i="12"/>
  <c r="J64" i="13" s="1"/>
  <c r="AF502" i="12"/>
  <c r="AE502" i="12"/>
  <c r="AD502" i="12"/>
  <c r="AC502" i="12"/>
  <c r="AB502" i="12"/>
  <c r="AA502" i="12"/>
  <c r="Z502" i="12"/>
  <c r="Y502" i="12"/>
  <c r="X502" i="12"/>
  <c r="W502" i="12"/>
  <c r="V502" i="12"/>
  <c r="U502" i="12"/>
  <c r="T502" i="12"/>
  <c r="S502" i="12"/>
  <c r="R502" i="12"/>
  <c r="Q502" i="12"/>
  <c r="P502" i="12"/>
  <c r="O502" i="12"/>
  <c r="N502" i="12"/>
  <c r="M502" i="12"/>
  <c r="L502" i="12"/>
  <c r="K502" i="12"/>
  <c r="J502" i="12"/>
  <c r="I502" i="12"/>
  <c r="H502" i="12"/>
  <c r="G502" i="12"/>
  <c r="AF481" i="12"/>
  <c r="AE481" i="12"/>
  <c r="AD481" i="12"/>
  <c r="AC481" i="12"/>
  <c r="AB481" i="12"/>
  <c r="AA481" i="12"/>
  <c r="Z481" i="12"/>
  <c r="Y481" i="12"/>
  <c r="X481" i="12"/>
  <c r="W481" i="12"/>
  <c r="V481" i="12"/>
  <c r="U481" i="12"/>
  <c r="T481" i="12"/>
  <c r="S481" i="12"/>
  <c r="K62" i="13" s="1"/>
  <c r="R481" i="12"/>
  <c r="Q481" i="12"/>
  <c r="P481" i="12"/>
  <c r="O481" i="12"/>
  <c r="N481" i="12"/>
  <c r="M481" i="12"/>
  <c r="L481" i="12"/>
  <c r="K481" i="12"/>
  <c r="J481" i="12"/>
  <c r="I481" i="12"/>
  <c r="H481" i="12"/>
  <c r="G481" i="12"/>
  <c r="AF477" i="12"/>
  <c r="AE477" i="12"/>
  <c r="AD477" i="12"/>
  <c r="AC477" i="12"/>
  <c r="AB477" i="12"/>
  <c r="AA477" i="12"/>
  <c r="Z477" i="12"/>
  <c r="Y477" i="12"/>
  <c r="X477" i="12"/>
  <c r="W477" i="12"/>
  <c r="V477" i="12"/>
  <c r="U477" i="12"/>
  <c r="T477" i="12"/>
  <c r="S477" i="12"/>
  <c r="R477" i="12"/>
  <c r="Q477" i="12"/>
  <c r="P477" i="12"/>
  <c r="O477" i="12"/>
  <c r="N477" i="12"/>
  <c r="M477" i="12"/>
  <c r="L477" i="12"/>
  <c r="K477" i="12"/>
  <c r="J477" i="12"/>
  <c r="I477" i="12"/>
  <c r="H477" i="12"/>
  <c r="G477" i="12"/>
  <c r="AF467" i="12"/>
  <c r="AE467" i="12"/>
  <c r="AD467" i="12"/>
  <c r="AC467" i="12"/>
  <c r="AB467" i="12"/>
  <c r="AA467" i="12"/>
  <c r="Z467" i="12"/>
  <c r="Y467" i="12"/>
  <c r="X467" i="12"/>
  <c r="W467" i="12"/>
  <c r="V467" i="12"/>
  <c r="U467" i="12"/>
  <c r="T467" i="12"/>
  <c r="S467" i="12"/>
  <c r="R467" i="12"/>
  <c r="Q467" i="12"/>
  <c r="P467" i="12"/>
  <c r="O467" i="12"/>
  <c r="N467" i="12"/>
  <c r="M467" i="12"/>
  <c r="L467" i="12"/>
  <c r="K467" i="12"/>
  <c r="J467" i="12"/>
  <c r="I467" i="12"/>
  <c r="H467" i="12"/>
  <c r="G467" i="12"/>
  <c r="AF464" i="12"/>
  <c r="S59" i="13" s="1"/>
  <c r="M59" i="13" s="1"/>
  <c r="AE464" i="12"/>
  <c r="AD464" i="12"/>
  <c r="AC464" i="12"/>
  <c r="AB464" i="12"/>
  <c r="AA464" i="12"/>
  <c r="Z464" i="12"/>
  <c r="Y464" i="12"/>
  <c r="X464" i="12"/>
  <c r="W464" i="12"/>
  <c r="V464" i="12"/>
  <c r="U464" i="12"/>
  <c r="T464" i="12"/>
  <c r="S464" i="12"/>
  <c r="R464" i="12"/>
  <c r="Q464" i="12"/>
  <c r="P464" i="12"/>
  <c r="O464" i="12"/>
  <c r="N464" i="12"/>
  <c r="M464" i="12"/>
  <c r="L464" i="12"/>
  <c r="K464" i="12"/>
  <c r="J464" i="12"/>
  <c r="I464" i="12"/>
  <c r="H464" i="12"/>
  <c r="G464" i="12"/>
  <c r="AF460" i="12"/>
  <c r="AE460" i="12"/>
  <c r="AD460" i="12"/>
  <c r="AC460" i="12"/>
  <c r="AB460" i="12"/>
  <c r="AA460" i="12"/>
  <c r="Z460" i="12"/>
  <c r="Y460" i="12"/>
  <c r="X460" i="12"/>
  <c r="W460" i="12"/>
  <c r="V460" i="12"/>
  <c r="U460" i="12"/>
  <c r="T460" i="12"/>
  <c r="S460" i="12"/>
  <c r="K58" i="13" s="1"/>
  <c r="R460" i="12"/>
  <c r="Q460" i="12"/>
  <c r="P460" i="12"/>
  <c r="O460" i="12"/>
  <c r="N460" i="12"/>
  <c r="M460" i="12"/>
  <c r="L460" i="12"/>
  <c r="K460" i="12"/>
  <c r="J460" i="12"/>
  <c r="I460" i="12"/>
  <c r="H460" i="12"/>
  <c r="G460" i="12"/>
  <c r="AF446" i="12"/>
  <c r="AE446" i="12"/>
  <c r="AD446" i="12"/>
  <c r="AC446" i="12"/>
  <c r="AB446" i="12"/>
  <c r="AA446" i="12"/>
  <c r="Z446" i="12"/>
  <c r="Y446" i="12"/>
  <c r="X446" i="12"/>
  <c r="W446" i="12"/>
  <c r="V446" i="12"/>
  <c r="U446" i="12"/>
  <c r="T446" i="12"/>
  <c r="S446" i="12"/>
  <c r="R446" i="12"/>
  <c r="Q446" i="12"/>
  <c r="P446" i="12"/>
  <c r="O446" i="12"/>
  <c r="N446" i="12"/>
  <c r="M446" i="12"/>
  <c r="L446" i="12"/>
  <c r="K446" i="12"/>
  <c r="J446" i="12"/>
  <c r="I446" i="12"/>
  <c r="H446" i="12"/>
  <c r="G446" i="12"/>
  <c r="AF441" i="12"/>
  <c r="AE441" i="12"/>
  <c r="AD441" i="12"/>
  <c r="AC441" i="12"/>
  <c r="AB441" i="12"/>
  <c r="AA441" i="12"/>
  <c r="Z441" i="12"/>
  <c r="Y441" i="12"/>
  <c r="X441" i="12"/>
  <c r="W441" i="12"/>
  <c r="V441" i="12"/>
  <c r="U441" i="12"/>
  <c r="T441" i="12"/>
  <c r="S441" i="12"/>
  <c r="R441" i="12"/>
  <c r="Q441" i="12"/>
  <c r="P441" i="12"/>
  <c r="O441" i="12"/>
  <c r="N441" i="12"/>
  <c r="M441" i="12"/>
  <c r="L441" i="12"/>
  <c r="K441" i="12"/>
  <c r="J441" i="12"/>
  <c r="I441" i="12"/>
  <c r="H441" i="12"/>
  <c r="G441" i="12"/>
  <c r="J56" i="13" s="1"/>
  <c r="AF438" i="12"/>
  <c r="S55" i="13" s="1"/>
  <c r="AE438" i="12"/>
  <c r="AD438" i="12"/>
  <c r="AC438" i="12"/>
  <c r="AB438" i="12"/>
  <c r="AA438" i="12"/>
  <c r="Z438" i="12"/>
  <c r="Y438" i="12"/>
  <c r="X438" i="12"/>
  <c r="W438" i="12"/>
  <c r="V438" i="12"/>
  <c r="U438" i="12"/>
  <c r="T438" i="12"/>
  <c r="S438" i="12"/>
  <c r="R438" i="12"/>
  <c r="Q438" i="12"/>
  <c r="P438" i="12"/>
  <c r="O438" i="12"/>
  <c r="N438" i="12"/>
  <c r="M438" i="12"/>
  <c r="L438" i="12"/>
  <c r="K438" i="12"/>
  <c r="J438" i="12"/>
  <c r="I438" i="12"/>
  <c r="H438" i="12"/>
  <c r="G438" i="12"/>
  <c r="AF434" i="12"/>
  <c r="AE434" i="12"/>
  <c r="AD434" i="12"/>
  <c r="AC434" i="12"/>
  <c r="AB434" i="12"/>
  <c r="AA434" i="12"/>
  <c r="Z434" i="12"/>
  <c r="Y434" i="12"/>
  <c r="X434" i="12"/>
  <c r="W434" i="12"/>
  <c r="V434" i="12"/>
  <c r="U434" i="12"/>
  <c r="T434" i="12"/>
  <c r="S434" i="12"/>
  <c r="K54" i="13" s="1"/>
  <c r="R434" i="12"/>
  <c r="Q434" i="12"/>
  <c r="P434" i="12"/>
  <c r="O434" i="12"/>
  <c r="N434" i="12"/>
  <c r="M434" i="12"/>
  <c r="L434" i="12"/>
  <c r="K434" i="12"/>
  <c r="J434" i="12"/>
  <c r="I434" i="12"/>
  <c r="H434" i="12"/>
  <c r="G434" i="12"/>
  <c r="AF431" i="12"/>
  <c r="AE431" i="12"/>
  <c r="AD431" i="12"/>
  <c r="AC431" i="12"/>
  <c r="AB431" i="12"/>
  <c r="AA431" i="12"/>
  <c r="Z431" i="12"/>
  <c r="Y431" i="12"/>
  <c r="X431" i="12"/>
  <c r="W431" i="12"/>
  <c r="V431" i="12"/>
  <c r="U431" i="12"/>
  <c r="T431" i="12"/>
  <c r="S431" i="12"/>
  <c r="R431" i="12"/>
  <c r="Q431" i="12"/>
  <c r="P431" i="12"/>
  <c r="O431" i="12"/>
  <c r="N431" i="12"/>
  <c r="M431" i="12"/>
  <c r="L431" i="12"/>
  <c r="K431" i="12"/>
  <c r="J431" i="12"/>
  <c r="I431" i="12"/>
  <c r="H431" i="12"/>
  <c r="G431" i="12"/>
  <c r="AF424" i="12"/>
  <c r="AE424" i="12"/>
  <c r="AD424" i="12"/>
  <c r="AC424" i="12"/>
  <c r="AB424" i="12"/>
  <c r="AA424" i="12"/>
  <c r="Z424" i="12"/>
  <c r="Y424" i="12"/>
  <c r="X424" i="12"/>
  <c r="W424" i="12"/>
  <c r="V424" i="12"/>
  <c r="U424" i="12"/>
  <c r="T424" i="12"/>
  <c r="S424" i="12"/>
  <c r="R424" i="12"/>
  <c r="Q424" i="12"/>
  <c r="P424" i="12"/>
  <c r="O424" i="12"/>
  <c r="N424" i="12"/>
  <c r="M424" i="12"/>
  <c r="L424" i="12"/>
  <c r="K424" i="12"/>
  <c r="J424" i="12"/>
  <c r="I424" i="12"/>
  <c r="H424" i="12"/>
  <c r="G424" i="12"/>
  <c r="J49" i="13" s="1"/>
  <c r="AF419" i="12"/>
  <c r="AE419" i="12"/>
  <c r="AD419" i="12"/>
  <c r="AC419" i="12"/>
  <c r="AB419" i="12"/>
  <c r="AA419" i="12"/>
  <c r="Z419" i="12"/>
  <c r="Y419" i="12"/>
  <c r="X419" i="12"/>
  <c r="W419" i="12"/>
  <c r="V419" i="12"/>
  <c r="U419" i="12"/>
  <c r="T419" i="12"/>
  <c r="S419" i="12"/>
  <c r="R419" i="12"/>
  <c r="Q419" i="12"/>
  <c r="P419" i="12"/>
  <c r="O419" i="12"/>
  <c r="N419" i="12"/>
  <c r="M419" i="12"/>
  <c r="L419" i="12"/>
  <c r="K419" i="12"/>
  <c r="J419" i="12"/>
  <c r="I419" i="12"/>
  <c r="H419" i="12"/>
  <c r="G419" i="12"/>
  <c r="AF412" i="12"/>
  <c r="AE412" i="12"/>
  <c r="AD412" i="12"/>
  <c r="AC412" i="12"/>
  <c r="AB412" i="12"/>
  <c r="AA412" i="12"/>
  <c r="Z412" i="12"/>
  <c r="Y412" i="12"/>
  <c r="X412" i="12"/>
  <c r="W412" i="12"/>
  <c r="V412" i="12"/>
  <c r="U412" i="12"/>
  <c r="T412" i="12"/>
  <c r="S412" i="12"/>
  <c r="K47" i="13" s="1"/>
  <c r="R412" i="12"/>
  <c r="Q412" i="12"/>
  <c r="P412" i="12"/>
  <c r="O412" i="12"/>
  <c r="N412" i="12"/>
  <c r="M412" i="12"/>
  <c r="L412" i="12"/>
  <c r="K412" i="12"/>
  <c r="J412" i="12"/>
  <c r="I412" i="12"/>
  <c r="H412" i="12"/>
  <c r="G412" i="12"/>
  <c r="AF380" i="12"/>
  <c r="AE380" i="12"/>
  <c r="AD380" i="12"/>
  <c r="AC380" i="12"/>
  <c r="AB380" i="12"/>
  <c r="AA380" i="12"/>
  <c r="Z380" i="12"/>
  <c r="Y380" i="12"/>
  <c r="X380" i="12"/>
  <c r="W380" i="12"/>
  <c r="V380" i="12"/>
  <c r="U380" i="12"/>
  <c r="T380" i="12"/>
  <c r="S380" i="12"/>
  <c r="R380" i="12"/>
  <c r="Q380" i="12"/>
  <c r="P380" i="12"/>
  <c r="O380" i="12"/>
  <c r="N380" i="12"/>
  <c r="M380" i="12"/>
  <c r="L380" i="12"/>
  <c r="K380" i="12"/>
  <c r="J380" i="12"/>
  <c r="I380" i="12"/>
  <c r="H380" i="12"/>
  <c r="G380" i="12"/>
  <c r="AF365" i="12"/>
  <c r="AE365" i="12"/>
  <c r="AD365" i="12"/>
  <c r="AC365" i="12"/>
  <c r="AB365" i="12"/>
  <c r="AA365" i="12"/>
  <c r="Z365" i="12"/>
  <c r="Y365" i="12"/>
  <c r="X365" i="12"/>
  <c r="W365" i="12"/>
  <c r="V365" i="12"/>
  <c r="U365" i="12"/>
  <c r="T365" i="12"/>
  <c r="S365" i="12"/>
  <c r="R365" i="12"/>
  <c r="Q365" i="12"/>
  <c r="P365" i="12"/>
  <c r="O365" i="12"/>
  <c r="N365" i="12"/>
  <c r="M365" i="12"/>
  <c r="L365" i="12"/>
  <c r="K365" i="12"/>
  <c r="J365" i="12"/>
  <c r="I365" i="12"/>
  <c r="H365" i="12"/>
  <c r="G365" i="12"/>
  <c r="J45" i="13" s="1"/>
  <c r="AF354" i="12"/>
  <c r="S44" i="13" s="1"/>
  <c r="AE354" i="12"/>
  <c r="AD354" i="12"/>
  <c r="AC354" i="12"/>
  <c r="AB354" i="12"/>
  <c r="AA354" i="12"/>
  <c r="Z354" i="12"/>
  <c r="Y354" i="12"/>
  <c r="X354" i="12"/>
  <c r="W354" i="12"/>
  <c r="V354" i="12"/>
  <c r="U354" i="12"/>
  <c r="T354" i="12"/>
  <c r="S354" i="12"/>
  <c r="R354" i="12"/>
  <c r="Q354" i="12"/>
  <c r="P354" i="12"/>
  <c r="O354" i="12"/>
  <c r="N354" i="12"/>
  <c r="M354" i="12"/>
  <c r="L354" i="12"/>
  <c r="K354" i="12"/>
  <c r="J354" i="12"/>
  <c r="I354" i="12"/>
  <c r="H354" i="12"/>
  <c r="G354" i="12"/>
  <c r="AF348" i="12"/>
  <c r="AE348" i="12"/>
  <c r="AD348" i="12"/>
  <c r="AC348" i="12"/>
  <c r="AB348" i="12"/>
  <c r="AA348" i="12"/>
  <c r="Z348" i="12"/>
  <c r="Y348" i="12"/>
  <c r="X348" i="12"/>
  <c r="W348" i="12"/>
  <c r="V348" i="12"/>
  <c r="U348" i="12"/>
  <c r="T348" i="12"/>
  <c r="S348" i="12"/>
  <c r="K43" i="13" s="1"/>
  <c r="R348" i="12"/>
  <c r="Q348" i="12"/>
  <c r="P348" i="12"/>
  <c r="O348" i="12"/>
  <c r="N348" i="12"/>
  <c r="M348" i="12"/>
  <c r="L348" i="12"/>
  <c r="K348" i="12"/>
  <c r="J348" i="12"/>
  <c r="I348" i="12"/>
  <c r="H348" i="12"/>
  <c r="G348" i="12"/>
  <c r="AF337" i="12"/>
  <c r="AE337" i="12"/>
  <c r="AD337" i="12"/>
  <c r="AC337" i="12"/>
  <c r="AB337" i="12"/>
  <c r="AA337" i="12"/>
  <c r="Z337" i="12"/>
  <c r="Y337" i="12"/>
  <c r="X337" i="12"/>
  <c r="W337" i="12"/>
  <c r="V337" i="12"/>
  <c r="U337" i="12"/>
  <c r="T337" i="12"/>
  <c r="S337" i="12"/>
  <c r="R337" i="12"/>
  <c r="Q337" i="12"/>
  <c r="P337" i="12"/>
  <c r="O337" i="12"/>
  <c r="N337" i="12"/>
  <c r="M337" i="12"/>
  <c r="L337" i="12"/>
  <c r="K337" i="12"/>
  <c r="J337" i="12"/>
  <c r="I337" i="12"/>
  <c r="H337" i="12"/>
  <c r="G337" i="12"/>
  <c r="AF322" i="12"/>
  <c r="AE322" i="12"/>
  <c r="AD322" i="12"/>
  <c r="AC322" i="12"/>
  <c r="AB322" i="12"/>
  <c r="AA322" i="12"/>
  <c r="Z322" i="12"/>
  <c r="Y322" i="12"/>
  <c r="X322" i="12"/>
  <c r="W322" i="12"/>
  <c r="V322" i="12"/>
  <c r="U322" i="12"/>
  <c r="T322" i="12"/>
  <c r="S322" i="12"/>
  <c r="R322" i="12"/>
  <c r="Q322" i="12"/>
  <c r="P322" i="12"/>
  <c r="O322" i="12"/>
  <c r="N322" i="12"/>
  <c r="M322" i="12"/>
  <c r="L322" i="12"/>
  <c r="K322" i="12"/>
  <c r="J322" i="12"/>
  <c r="I322" i="12"/>
  <c r="H322" i="12"/>
  <c r="G322" i="12"/>
  <c r="J41" i="13" s="1"/>
  <c r="AF310" i="12"/>
  <c r="AE310" i="12"/>
  <c r="AD310" i="12"/>
  <c r="AC310" i="12"/>
  <c r="AB310" i="12"/>
  <c r="AA310" i="12"/>
  <c r="Z310" i="12"/>
  <c r="Y310" i="12"/>
  <c r="X310" i="12"/>
  <c r="W310" i="12"/>
  <c r="V310" i="12"/>
  <c r="U310" i="12"/>
  <c r="T310" i="12"/>
  <c r="S310" i="12"/>
  <c r="R310" i="12"/>
  <c r="Q310" i="12"/>
  <c r="P310" i="12"/>
  <c r="O310" i="12"/>
  <c r="N310" i="12"/>
  <c r="M310" i="12"/>
  <c r="L310" i="12"/>
  <c r="K310" i="12"/>
  <c r="J310" i="12"/>
  <c r="I310" i="12"/>
  <c r="H310" i="12"/>
  <c r="G310" i="12"/>
  <c r="AF292" i="12"/>
  <c r="AE292" i="12"/>
  <c r="AD292" i="12"/>
  <c r="AC292" i="12"/>
  <c r="AB292" i="12"/>
  <c r="AA292" i="12"/>
  <c r="Z292" i="12"/>
  <c r="Y292" i="12"/>
  <c r="X292" i="12"/>
  <c r="W292" i="12"/>
  <c r="V292" i="12"/>
  <c r="U292" i="12"/>
  <c r="T292" i="12"/>
  <c r="S292" i="12"/>
  <c r="K39" i="13" s="1"/>
  <c r="R292" i="12"/>
  <c r="Q292" i="12"/>
  <c r="P292" i="12"/>
  <c r="O292" i="12"/>
  <c r="N292" i="12"/>
  <c r="M292" i="12"/>
  <c r="L292" i="12"/>
  <c r="K292" i="12"/>
  <c r="J292" i="12"/>
  <c r="I292" i="12"/>
  <c r="H292" i="12"/>
  <c r="G292" i="12"/>
  <c r="AF281" i="12"/>
  <c r="AE281" i="12"/>
  <c r="AD281" i="12"/>
  <c r="AC281" i="12"/>
  <c r="AB281" i="12"/>
  <c r="AA281" i="12"/>
  <c r="Z281" i="12"/>
  <c r="Y281" i="12"/>
  <c r="X281" i="12"/>
  <c r="W281" i="12"/>
  <c r="V281" i="12"/>
  <c r="U281" i="12"/>
  <c r="T281" i="12"/>
  <c r="S281" i="12"/>
  <c r="R281" i="12"/>
  <c r="Q281" i="12"/>
  <c r="P281" i="12"/>
  <c r="O281" i="12"/>
  <c r="N281" i="12"/>
  <c r="M281" i="12"/>
  <c r="L281" i="12"/>
  <c r="K281" i="12"/>
  <c r="J281" i="12"/>
  <c r="I281" i="12"/>
  <c r="H281" i="12"/>
  <c r="G281" i="12"/>
  <c r="AF278" i="12"/>
  <c r="AE278" i="12"/>
  <c r="AD278" i="12"/>
  <c r="AC278" i="12"/>
  <c r="AB278" i="12"/>
  <c r="AA278" i="12"/>
  <c r="Z278" i="12"/>
  <c r="Y278" i="12"/>
  <c r="X278" i="12"/>
  <c r="W278" i="12"/>
  <c r="V278" i="12"/>
  <c r="U278" i="12"/>
  <c r="T278" i="12"/>
  <c r="S278" i="12"/>
  <c r="R278" i="12"/>
  <c r="Q278" i="12"/>
  <c r="P278" i="12"/>
  <c r="O278" i="12"/>
  <c r="N278" i="12"/>
  <c r="M278" i="12"/>
  <c r="L278" i="12"/>
  <c r="K278" i="12"/>
  <c r="J278" i="12"/>
  <c r="I278" i="12"/>
  <c r="H278" i="12"/>
  <c r="G278" i="12"/>
  <c r="J37" i="13" s="1"/>
  <c r="AF273" i="12"/>
  <c r="S35" i="13" s="1"/>
  <c r="AE273" i="12"/>
  <c r="AD273" i="12"/>
  <c r="AC273" i="12"/>
  <c r="AB273" i="12"/>
  <c r="AA273" i="12"/>
  <c r="Z273" i="12"/>
  <c r="Y273" i="12"/>
  <c r="X273" i="12"/>
  <c r="W273" i="12"/>
  <c r="V273" i="12"/>
  <c r="U273" i="12"/>
  <c r="T273" i="12"/>
  <c r="S273" i="12"/>
  <c r="R273" i="12"/>
  <c r="Q273" i="12"/>
  <c r="P273" i="12"/>
  <c r="O273" i="12"/>
  <c r="N273" i="12"/>
  <c r="M273" i="12"/>
  <c r="L273" i="12"/>
  <c r="K273" i="12"/>
  <c r="J273" i="12"/>
  <c r="I273" i="12"/>
  <c r="H273" i="12"/>
  <c r="G273" i="12"/>
  <c r="AF243" i="12"/>
  <c r="AE243" i="12"/>
  <c r="AD243" i="12"/>
  <c r="AC243" i="12"/>
  <c r="AB243" i="12"/>
  <c r="AA243" i="12"/>
  <c r="Z243" i="12"/>
  <c r="Y243" i="12"/>
  <c r="X243" i="12"/>
  <c r="W243" i="12"/>
  <c r="V243" i="12"/>
  <c r="U243" i="12"/>
  <c r="T243" i="12"/>
  <c r="S243" i="12"/>
  <c r="K34" i="13" s="1"/>
  <c r="R243" i="12"/>
  <c r="Q243" i="12"/>
  <c r="P243" i="12"/>
  <c r="O243" i="12"/>
  <c r="N243" i="12"/>
  <c r="M243" i="12"/>
  <c r="L243" i="12"/>
  <c r="K243" i="12"/>
  <c r="J243" i="12"/>
  <c r="I243" i="12"/>
  <c r="H243" i="12"/>
  <c r="G243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J31" i="13" s="1"/>
  <c r="AF162" i="12"/>
  <c r="S30" i="13" s="1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K28" i="13" s="1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J26" i="13" s="1"/>
  <c r="AF131" i="12"/>
  <c r="S25" i="13" s="1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K24" i="13" s="1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J22" i="13" s="1"/>
  <c r="AF102" i="12"/>
  <c r="S21" i="13" s="1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K18" i="13" s="1"/>
  <c r="R95" i="12"/>
  <c r="Q95" i="12"/>
  <c r="P95" i="12"/>
  <c r="O95" i="12"/>
  <c r="N95" i="12"/>
  <c r="M95" i="12"/>
  <c r="L95" i="12"/>
  <c r="K95" i="12"/>
  <c r="J95" i="12"/>
  <c r="I95" i="12"/>
  <c r="H95" i="12"/>
  <c r="G95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J15" i="13" s="1"/>
  <c r="AF73" i="12"/>
  <c r="S14" i="13" s="1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K13" i="13" s="1"/>
  <c r="R65" i="12"/>
  <c r="Q65" i="12"/>
  <c r="P65" i="12"/>
  <c r="O65" i="12"/>
  <c r="N65" i="12"/>
  <c r="M65" i="12"/>
  <c r="L65" i="12"/>
  <c r="K65" i="12"/>
  <c r="J65" i="12"/>
  <c r="I65" i="12"/>
  <c r="H65" i="12"/>
  <c r="G65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J11" i="13" s="1"/>
  <c r="AF48" i="12"/>
  <c r="S8" i="13" s="1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K7" i="13" s="1"/>
  <c r="R42" i="12"/>
  <c r="Q42" i="12"/>
  <c r="P42" i="12"/>
  <c r="O42" i="12"/>
  <c r="N42" i="12"/>
  <c r="M42" i="12"/>
  <c r="L42" i="12"/>
  <c r="K42" i="12"/>
  <c r="J42" i="12"/>
  <c r="I42" i="12"/>
  <c r="H42" i="12"/>
  <c r="G42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J5" i="13" s="1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K3" i="13" s="1"/>
  <c r="R5" i="12"/>
  <c r="Q5" i="12"/>
  <c r="P5" i="12"/>
  <c r="O5" i="12"/>
  <c r="N5" i="12"/>
  <c r="M5" i="12"/>
  <c r="L5" i="12"/>
  <c r="K5" i="12"/>
  <c r="J5" i="12"/>
  <c r="I5" i="12"/>
  <c r="H5" i="12"/>
  <c r="G5" i="12"/>
  <c r="I113" i="13"/>
  <c r="M111" i="13"/>
  <c r="T111" i="13" s="1"/>
  <c r="S110" i="13"/>
  <c r="J110" i="13"/>
  <c r="T109" i="13"/>
  <c r="M109" i="13"/>
  <c r="T108" i="13"/>
  <c r="M108" i="13"/>
  <c r="S107" i="13"/>
  <c r="M107" i="13"/>
  <c r="T107" i="13" s="1"/>
  <c r="K107" i="13"/>
  <c r="J107" i="13"/>
  <c r="K106" i="13"/>
  <c r="J106" i="13"/>
  <c r="M105" i="13"/>
  <c r="T105" i="13" s="1"/>
  <c r="T104" i="13"/>
  <c r="M104" i="13"/>
  <c r="T103" i="13"/>
  <c r="M103" i="13"/>
  <c r="T102" i="13"/>
  <c r="M102" i="13"/>
  <c r="M101" i="13"/>
  <c r="T101" i="13" s="1"/>
  <c r="S100" i="13"/>
  <c r="M100" i="13" s="1"/>
  <c r="T100" i="13" s="1"/>
  <c r="J100" i="13"/>
  <c r="S99" i="13"/>
  <c r="M99" i="13"/>
  <c r="K99" i="13"/>
  <c r="J99" i="13"/>
  <c r="S98" i="13"/>
  <c r="T98" i="13" s="1"/>
  <c r="M98" i="13"/>
  <c r="K98" i="13"/>
  <c r="T97" i="13"/>
  <c r="S97" i="13"/>
  <c r="M97" i="13" s="1"/>
  <c r="K97" i="13"/>
  <c r="J97" i="13"/>
  <c r="S96" i="13"/>
  <c r="M96" i="13"/>
  <c r="T96" i="13" s="1"/>
  <c r="K96" i="13"/>
  <c r="J96" i="13"/>
  <c r="T95" i="13"/>
  <c r="M95" i="13"/>
  <c r="S94" i="13"/>
  <c r="K94" i="13"/>
  <c r="J94" i="13"/>
  <c r="S93" i="13"/>
  <c r="M93" i="13" s="1"/>
  <c r="T93" i="13" s="1"/>
  <c r="S92" i="13"/>
  <c r="M92" i="13"/>
  <c r="K92" i="13"/>
  <c r="S91" i="13"/>
  <c r="T91" i="13" s="1"/>
  <c r="M91" i="13"/>
  <c r="K91" i="13"/>
  <c r="J91" i="13"/>
  <c r="M90" i="13"/>
  <c r="T90" i="13" s="1"/>
  <c r="T89" i="13"/>
  <c r="M89" i="13"/>
  <c r="S88" i="13"/>
  <c r="J88" i="13"/>
  <c r="T87" i="13"/>
  <c r="M87" i="13"/>
  <c r="S86" i="13"/>
  <c r="T86" i="13" s="1"/>
  <c r="M86" i="13"/>
  <c r="K86" i="13"/>
  <c r="J86" i="13"/>
  <c r="T85" i="13"/>
  <c r="M85" i="13"/>
  <c r="T84" i="13"/>
  <c r="M84" i="13"/>
  <c r="M83" i="13"/>
  <c r="T83" i="13" s="1"/>
  <c r="M82" i="13"/>
  <c r="T82" i="13" s="1"/>
  <c r="T81" i="13"/>
  <c r="M81" i="13"/>
  <c r="T80" i="13"/>
  <c r="M80" i="13"/>
  <c r="M79" i="13"/>
  <c r="T79" i="13" s="1"/>
  <c r="M78" i="13"/>
  <c r="T78" i="13" s="1"/>
  <c r="M77" i="13"/>
  <c r="T77" i="13" s="1"/>
  <c r="T76" i="13"/>
  <c r="M76" i="13"/>
  <c r="M75" i="13"/>
  <c r="T75" i="13" s="1"/>
  <c r="M74" i="13"/>
  <c r="T74" i="13" s="1"/>
  <c r="T73" i="13"/>
  <c r="M73" i="13"/>
  <c r="T72" i="13"/>
  <c r="M72" i="13"/>
  <c r="M71" i="13"/>
  <c r="T71" i="13" s="1"/>
  <c r="M70" i="13"/>
  <c r="T70" i="13" s="1"/>
  <c r="T69" i="13"/>
  <c r="M69" i="13"/>
  <c r="T68" i="13"/>
  <c r="M68" i="13"/>
  <c r="M67" i="13"/>
  <c r="T67" i="13" s="1"/>
  <c r="M66" i="13"/>
  <c r="T66" i="13" s="1"/>
  <c r="T65" i="13"/>
  <c r="M65" i="13"/>
  <c r="S64" i="13"/>
  <c r="K64" i="13"/>
  <c r="S63" i="13"/>
  <c r="M63" i="13" s="1"/>
  <c r="K63" i="13"/>
  <c r="J63" i="13"/>
  <c r="S62" i="13"/>
  <c r="J62" i="13"/>
  <c r="T61" i="13"/>
  <c r="S61" i="13"/>
  <c r="M61" i="13"/>
  <c r="S60" i="13"/>
  <c r="K60" i="13"/>
  <c r="J60" i="13"/>
  <c r="T59" i="13"/>
  <c r="K59" i="13"/>
  <c r="J59" i="13"/>
  <c r="S58" i="13"/>
  <c r="T58" i="13" s="1"/>
  <c r="M58" i="13"/>
  <c r="J58" i="13"/>
  <c r="T57" i="13"/>
  <c r="S57" i="13"/>
  <c r="M57" i="13"/>
  <c r="K57" i="13"/>
  <c r="J57" i="13"/>
  <c r="S56" i="13"/>
  <c r="M56" i="13" s="1"/>
  <c r="K56" i="13"/>
  <c r="K55" i="13"/>
  <c r="J55" i="13"/>
  <c r="S54" i="13"/>
  <c r="J54" i="13"/>
  <c r="S53" i="13"/>
  <c r="M53" i="13" s="1"/>
  <c r="K53" i="13"/>
  <c r="J53" i="13"/>
  <c r="M52" i="13"/>
  <c r="T52" i="13" s="1"/>
  <c r="M51" i="13"/>
  <c r="T51" i="13" s="1"/>
  <c r="M50" i="13"/>
  <c r="T50" i="13" s="1"/>
  <c r="S49" i="13"/>
  <c r="K49" i="13"/>
  <c r="S48" i="13"/>
  <c r="M48" i="13"/>
  <c r="K48" i="13"/>
  <c r="J48" i="13"/>
  <c r="S47" i="13"/>
  <c r="M47" i="13"/>
  <c r="T47" i="13" s="1"/>
  <c r="J47" i="13"/>
  <c r="T46" i="13"/>
  <c r="S46" i="13"/>
  <c r="M46" i="13"/>
  <c r="K46" i="13"/>
  <c r="J46" i="13"/>
  <c r="S45" i="13"/>
  <c r="M45" i="13"/>
  <c r="K45" i="13"/>
  <c r="K44" i="13"/>
  <c r="J44" i="13"/>
  <c r="S43" i="13"/>
  <c r="M43" i="13" s="1"/>
  <c r="J43" i="13"/>
  <c r="S42" i="13"/>
  <c r="T42" i="13" s="1"/>
  <c r="M42" i="13"/>
  <c r="K42" i="13"/>
  <c r="J42" i="13"/>
  <c r="S41" i="13"/>
  <c r="K41" i="13"/>
  <c r="S40" i="13"/>
  <c r="M40" i="13"/>
  <c r="K40" i="13"/>
  <c r="J40" i="13"/>
  <c r="S39" i="13"/>
  <c r="T39" i="13" s="1"/>
  <c r="M39" i="13"/>
  <c r="J39" i="13"/>
  <c r="T38" i="13"/>
  <c r="M38" i="13"/>
  <c r="S37" i="13"/>
  <c r="M37" i="13" s="1"/>
  <c r="T37" i="13" s="1"/>
  <c r="K37" i="13"/>
  <c r="T36" i="13"/>
  <c r="M36" i="13"/>
  <c r="K35" i="13"/>
  <c r="J35" i="13"/>
  <c r="S34" i="13"/>
  <c r="M34" i="13"/>
  <c r="J34" i="13"/>
  <c r="M33" i="13"/>
  <c r="T33" i="13" s="1"/>
  <c r="S32" i="13"/>
  <c r="T32" i="13" s="1"/>
  <c r="M32" i="13"/>
  <c r="K32" i="13"/>
  <c r="J32" i="13"/>
  <c r="S31" i="13"/>
  <c r="M31" i="13" s="1"/>
  <c r="T31" i="13" s="1"/>
  <c r="K31" i="13"/>
  <c r="K30" i="13"/>
  <c r="J30" i="13"/>
  <c r="M29" i="13"/>
  <c r="T29" i="13" s="1"/>
  <c r="S28" i="13"/>
  <c r="M28" i="13"/>
  <c r="J28" i="13"/>
  <c r="S27" i="13"/>
  <c r="T27" i="13" s="1"/>
  <c r="M27" i="13"/>
  <c r="K27" i="13"/>
  <c r="J27" i="13"/>
  <c r="T26" i="13"/>
  <c r="S26" i="13"/>
  <c r="M26" i="13"/>
  <c r="K26" i="13"/>
  <c r="M25" i="13"/>
  <c r="K25" i="13"/>
  <c r="J25" i="13"/>
  <c r="S24" i="13"/>
  <c r="M24" i="13" s="1"/>
  <c r="T24" i="13" s="1"/>
  <c r="J24" i="13"/>
  <c r="S23" i="13"/>
  <c r="M23" i="13" s="1"/>
  <c r="K23" i="13"/>
  <c r="J23" i="13"/>
  <c r="S22" i="13"/>
  <c r="M22" i="13"/>
  <c r="K22" i="13"/>
  <c r="K21" i="13"/>
  <c r="J21" i="13"/>
  <c r="M20" i="13"/>
  <c r="T20" i="13" s="1"/>
  <c r="T19" i="13"/>
  <c r="M19" i="13"/>
  <c r="T18" i="13"/>
  <c r="S18" i="13"/>
  <c r="M18" i="13"/>
  <c r="J18" i="13"/>
  <c r="S17" i="13"/>
  <c r="K17" i="13"/>
  <c r="J17" i="13"/>
  <c r="M16" i="13"/>
  <c r="T16" i="13" s="1"/>
  <c r="S15" i="13"/>
  <c r="M15" i="13"/>
  <c r="T15" i="13" s="1"/>
  <c r="K15" i="13"/>
  <c r="K14" i="13"/>
  <c r="J14" i="13"/>
  <c r="T13" i="13"/>
  <c r="S13" i="13"/>
  <c r="M13" i="13"/>
  <c r="J13" i="13"/>
  <c r="S12" i="13"/>
  <c r="M12" i="13"/>
  <c r="K12" i="13"/>
  <c r="J12" i="13"/>
  <c r="T11" i="13"/>
  <c r="S11" i="13"/>
  <c r="M11" i="13"/>
  <c r="K11" i="13"/>
  <c r="M10" i="13"/>
  <c r="T10" i="13" s="1"/>
  <c r="M9" i="13"/>
  <c r="T9" i="13" s="1"/>
  <c r="K8" i="13"/>
  <c r="J8" i="13"/>
  <c r="T7" i="13"/>
  <c r="S7" i="13"/>
  <c r="M7" i="13"/>
  <c r="J7" i="13"/>
  <c r="S6" i="13"/>
  <c r="K6" i="13"/>
  <c r="J6" i="13"/>
  <c r="S5" i="13"/>
  <c r="M5" i="13" s="1"/>
  <c r="T5" i="13" s="1"/>
  <c r="K5" i="13"/>
  <c r="S4" i="13"/>
  <c r="K4" i="13"/>
  <c r="J4" i="13"/>
  <c r="S3" i="13"/>
  <c r="M3" i="13"/>
  <c r="J3" i="13"/>
  <c r="T2" i="13"/>
  <c r="C5" i="11"/>
  <c r="C7" i="11" s="1"/>
  <c r="C17" i="11" s="1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E374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H343" i="8"/>
  <c r="H352" i="8" s="1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E118" i="8"/>
  <c r="E115" i="8"/>
  <c r="E55" i="8"/>
  <c r="E54" i="8"/>
  <c r="E25" i="8"/>
  <c r="E13" i="8"/>
  <c r="Q56" i="10"/>
  <c r="Q54" i="10"/>
  <c r="A34" i="10"/>
  <c r="C18" i="10"/>
  <c r="D17" i="10"/>
  <c r="D16" i="10"/>
  <c r="D15" i="10"/>
  <c r="D14" i="10"/>
  <c r="D13" i="10"/>
  <c r="D12" i="10"/>
  <c r="D11" i="10"/>
  <c r="N28" i="14"/>
  <c r="M28" i="14"/>
  <c r="Q27" i="14"/>
  <c r="N27" i="14"/>
  <c r="M27" i="14"/>
  <c r="N30" i="14" s="1"/>
  <c r="L27" i="14"/>
  <c r="K27" i="14"/>
  <c r="C12" i="14"/>
  <c r="D11" i="14"/>
  <c r="D12" i="14" s="1"/>
  <c r="C11" i="14"/>
  <c r="E10" i="14"/>
  <c r="D10" i="14"/>
  <c r="C10" i="14"/>
  <c r="E6" i="14"/>
  <c r="E5" i="14"/>
  <c r="E4" i="14"/>
  <c r="E3" i="14"/>
  <c r="E2" i="14"/>
  <c r="K17" i="15"/>
  <c r="L15" i="15"/>
  <c r="K15" i="15"/>
  <c r="J15" i="15"/>
  <c r="I15" i="15"/>
  <c r="H15" i="15"/>
  <c r="G15" i="15"/>
  <c r="Q12" i="15"/>
  <c r="P12" i="15"/>
  <c r="N12" i="15"/>
  <c r="M12" i="15"/>
  <c r="Q11" i="15"/>
  <c r="P11" i="15"/>
  <c r="M11" i="15"/>
  <c r="N11" i="15" s="1"/>
  <c r="Q10" i="15"/>
  <c r="P10" i="15"/>
  <c r="N10" i="15"/>
  <c r="M10" i="15"/>
  <c r="Q9" i="15"/>
  <c r="P9" i="15"/>
  <c r="M9" i="15"/>
  <c r="N9" i="15" s="1"/>
  <c r="Q8" i="15"/>
  <c r="P8" i="15"/>
  <c r="N8" i="15"/>
  <c r="M8" i="15"/>
  <c r="Q7" i="15"/>
  <c r="P7" i="15"/>
  <c r="M7" i="15"/>
  <c r="N7" i="15" s="1"/>
  <c r="Q6" i="15"/>
  <c r="P6" i="15"/>
  <c r="N6" i="15"/>
  <c r="M6" i="15"/>
  <c r="Q5" i="15"/>
  <c r="P5" i="15"/>
  <c r="M5" i="15"/>
  <c r="N5" i="15" s="1"/>
  <c r="B5" i="15"/>
  <c r="Q4" i="15"/>
  <c r="Q15" i="15" s="1"/>
  <c r="P4" i="15"/>
  <c r="O4" i="15"/>
  <c r="O15" i="15" s="1"/>
  <c r="N4" i="15"/>
  <c r="M4" i="15"/>
  <c r="B4" i="15"/>
  <c r="Q3" i="15"/>
  <c r="P3" i="15"/>
  <c r="P15" i="15" s="1"/>
  <c r="M3" i="15"/>
  <c r="F59" i="16"/>
  <c r="F52" i="16"/>
  <c r="E52" i="16"/>
  <c r="B46" i="16"/>
  <c r="B50" i="16" s="1"/>
  <c r="B55" i="16" s="1"/>
  <c r="F44" i="16"/>
  <c r="E44" i="16"/>
  <c r="B40" i="16"/>
  <c r="B42" i="16" s="1"/>
  <c r="B36" i="16"/>
  <c r="B32" i="16"/>
  <c r="F22" i="16"/>
  <c r="B20" i="16"/>
  <c r="B25" i="16" s="1"/>
  <c r="C19" i="16"/>
  <c r="E19" i="16" s="1"/>
  <c r="E18" i="16"/>
  <c r="C16" i="16"/>
  <c r="E16" i="16" s="1"/>
  <c r="B10" i="16"/>
  <c r="D635" i="18"/>
  <c r="D634" i="18"/>
  <c r="K633" i="18"/>
  <c r="D633" i="18"/>
  <c r="K632" i="18"/>
  <c r="D632" i="18"/>
  <c r="K631" i="18"/>
  <c r="D631" i="18"/>
  <c r="D630" i="18"/>
  <c r="K629" i="18"/>
  <c r="D629" i="18"/>
  <c r="K628" i="18"/>
  <c r="D628" i="18"/>
  <c r="K627" i="18"/>
  <c r="D627" i="18"/>
  <c r="K626" i="18"/>
  <c r="D626" i="18"/>
  <c r="K625" i="18"/>
  <c r="D625" i="18"/>
  <c r="K624" i="18"/>
  <c r="D624" i="18"/>
  <c r="K623" i="18"/>
  <c r="D623" i="18"/>
  <c r="K622" i="18"/>
  <c r="D622" i="18"/>
  <c r="K621" i="18"/>
  <c r="D621" i="18"/>
  <c r="K620" i="18"/>
  <c r="D620" i="18"/>
  <c r="K619" i="18"/>
  <c r="D619" i="18"/>
  <c r="K618" i="18"/>
  <c r="D618" i="18"/>
  <c r="K617" i="18"/>
  <c r="D617" i="18"/>
  <c r="K616" i="18"/>
  <c r="D616" i="18"/>
  <c r="K615" i="18"/>
  <c r="D615" i="18"/>
  <c r="K614" i="18"/>
  <c r="D614" i="18"/>
  <c r="K613" i="18"/>
  <c r="D613" i="18"/>
  <c r="K612" i="18"/>
  <c r="D612" i="18"/>
  <c r="K611" i="18"/>
  <c r="D611" i="18"/>
  <c r="K610" i="18"/>
  <c r="D610" i="18"/>
  <c r="K609" i="18"/>
  <c r="D609" i="18"/>
  <c r="K608" i="18"/>
  <c r="D608" i="18"/>
  <c r="K607" i="18"/>
  <c r="D607" i="18"/>
  <c r="K606" i="18"/>
  <c r="D606" i="18"/>
  <c r="K605" i="18"/>
  <c r="D605" i="18"/>
  <c r="K604" i="18"/>
  <c r="D604" i="18"/>
  <c r="K603" i="18"/>
  <c r="D603" i="18"/>
  <c r="K602" i="18"/>
  <c r="D602" i="18"/>
  <c r="K601" i="18"/>
  <c r="D601" i="18"/>
  <c r="K600" i="18"/>
  <c r="D600" i="18"/>
  <c r="K599" i="18"/>
  <c r="D599" i="18"/>
  <c r="K598" i="18"/>
  <c r="D598" i="18"/>
  <c r="K597" i="18"/>
  <c r="D597" i="18"/>
  <c r="K596" i="18"/>
  <c r="D596" i="18"/>
  <c r="K595" i="18"/>
  <c r="D595" i="18"/>
  <c r="K594" i="18"/>
  <c r="D594" i="18"/>
  <c r="K593" i="18"/>
  <c r="D593" i="18"/>
  <c r="K592" i="18"/>
  <c r="D592" i="18"/>
  <c r="K591" i="18"/>
  <c r="D591" i="18"/>
  <c r="K590" i="18"/>
  <c r="D590" i="18"/>
  <c r="K589" i="18"/>
  <c r="D589" i="18"/>
  <c r="K588" i="18"/>
  <c r="D588" i="18"/>
  <c r="K587" i="18"/>
  <c r="D587" i="18"/>
  <c r="K586" i="18"/>
  <c r="D586" i="18"/>
  <c r="K585" i="18"/>
  <c r="D585" i="18"/>
  <c r="K584" i="18"/>
  <c r="D584" i="18"/>
  <c r="K583" i="18"/>
  <c r="D583" i="18"/>
  <c r="K582" i="18"/>
  <c r="D582" i="18"/>
  <c r="K581" i="18"/>
  <c r="D581" i="18"/>
  <c r="K580" i="18"/>
  <c r="D580" i="18"/>
  <c r="K579" i="18"/>
  <c r="D579" i="18"/>
  <c r="K578" i="18"/>
  <c r="D578" i="18"/>
  <c r="K577" i="18"/>
  <c r="D577" i="18"/>
  <c r="K576" i="18"/>
  <c r="D576" i="18"/>
  <c r="K575" i="18"/>
  <c r="D575" i="18"/>
  <c r="K574" i="18"/>
  <c r="D574" i="18"/>
  <c r="K573" i="18"/>
  <c r="D573" i="18"/>
  <c r="K572" i="18"/>
  <c r="D572" i="18"/>
  <c r="K571" i="18"/>
  <c r="D571" i="18"/>
  <c r="K570" i="18"/>
  <c r="D570" i="18"/>
  <c r="K569" i="18"/>
  <c r="D569" i="18"/>
  <c r="K568" i="18"/>
  <c r="D568" i="18"/>
  <c r="K567" i="18"/>
  <c r="D567" i="18"/>
  <c r="K566" i="18"/>
  <c r="D566" i="18"/>
  <c r="K565" i="18"/>
  <c r="D565" i="18"/>
  <c r="K564" i="18"/>
  <c r="D564" i="18"/>
  <c r="K563" i="18"/>
  <c r="D563" i="18"/>
  <c r="K562" i="18"/>
  <c r="D562" i="18"/>
  <c r="K561" i="18"/>
  <c r="D561" i="18"/>
  <c r="K560" i="18"/>
  <c r="D560" i="18"/>
  <c r="K559" i="18"/>
  <c r="D559" i="18"/>
  <c r="K558" i="18"/>
  <c r="D558" i="18"/>
  <c r="K557" i="18"/>
  <c r="D557" i="18"/>
  <c r="K556" i="18"/>
  <c r="D556" i="18"/>
  <c r="K555" i="18"/>
  <c r="D555" i="18"/>
  <c r="K554" i="18"/>
  <c r="D554" i="18"/>
  <c r="K553" i="18"/>
  <c r="D553" i="18"/>
  <c r="K552" i="18"/>
  <c r="D552" i="18"/>
  <c r="K551" i="18"/>
  <c r="D551" i="18"/>
  <c r="K550" i="18"/>
  <c r="D550" i="18"/>
  <c r="K549" i="18"/>
  <c r="D549" i="18"/>
  <c r="K548" i="18"/>
  <c r="D548" i="18"/>
  <c r="K547" i="18"/>
  <c r="D547" i="18"/>
  <c r="K546" i="18"/>
  <c r="D546" i="18"/>
  <c r="K545" i="18"/>
  <c r="D545" i="18"/>
  <c r="K544" i="18"/>
  <c r="D544" i="18"/>
  <c r="K543" i="18"/>
  <c r="D543" i="18"/>
  <c r="K542" i="18"/>
  <c r="D542" i="18"/>
  <c r="K541" i="18"/>
  <c r="D541" i="18"/>
  <c r="K540" i="18"/>
  <c r="D540" i="18"/>
  <c r="K539" i="18"/>
  <c r="D539" i="18"/>
  <c r="K538" i="18"/>
  <c r="D538" i="18"/>
  <c r="K537" i="18"/>
  <c r="D537" i="18"/>
  <c r="K536" i="18"/>
  <c r="D536" i="18"/>
  <c r="K535" i="18"/>
  <c r="D535" i="18"/>
  <c r="K534" i="18"/>
  <c r="D534" i="18"/>
  <c r="K533" i="18"/>
  <c r="D533" i="18"/>
  <c r="K532" i="18"/>
  <c r="D532" i="18"/>
  <c r="K531" i="18"/>
  <c r="D531" i="18"/>
  <c r="K530" i="18"/>
  <c r="D530" i="18"/>
  <c r="K529" i="18"/>
  <c r="D529" i="18"/>
  <c r="K528" i="18"/>
  <c r="D528" i="18"/>
  <c r="K527" i="18"/>
  <c r="D527" i="18"/>
  <c r="K526" i="18"/>
  <c r="D526" i="18"/>
  <c r="K525" i="18"/>
  <c r="D525" i="18"/>
  <c r="K524" i="18"/>
  <c r="D524" i="18"/>
  <c r="K523" i="18"/>
  <c r="D523" i="18"/>
  <c r="K522" i="18"/>
  <c r="D522" i="18"/>
  <c r="K521" i="18"/>
  <c r="D521" i="18"/>
  <c r="K520" i="18"/>
  <c r="D520" i="18"/>
  <c r="K519" i="18"/>
  <c r="D519" i="18"/>
  <c r="K518" i="18"/>
  <c r="D518" i="18"/>
  <c r="K517" i="18"/>
  <c r="D517" i="18"/>
  <c r="K516" i="18"/>
  <c r="D516" i="18"/>
  <c r="K515" i="18"/>
  <c r="D515" i="18"/>
  <c r="K514" i="18"/>
  <c r="D514" i="18"/>
  <c r="K513" i="18"/>
  <c r="D513" i="18"/>
  <c r="K512" i="18"/>
  <c r="D512" i="18"/>
  <c r="K511" i="18"/>
  <c r="D511" i="18"/>
  <c r="K510" i="18"/>
  <c r="D510" i="18"/>
  <c r="K509" i="18"/>
  <c r="D509" i="18"/>
  <c r="K508" i="18"/>
  <c r="D508" i="18"/>
  <c r="K507" i="18"/>
  <c r="D507" i="18"/>
  <c r="K506" i="18"/>
  <c r="D506" i="18"/>
  <c r="K505" i="18"/>
  <c r="D505" i="18"/>
  <c r="K504" i="18"/>
  <c r="D504" i="18"/>
  <c r="K503" i="18"/>
  <c r="D503" i="18"/>
  <c r="K502" i="18"/>
  <c r="D502" i="18"/>
  <c r="K501" i="18"/>
  <c r="D501" i="18"/>
  <c r="K500" i="18"/>
  <c r="D500" i="18"/>
  <c r="K499" i="18"/>
  <c r="D499" i="18"/>
  <c r="K498" i="18"/>
  <c r="D498" i="18"/>
  <c r="K497" i="18"/>
  <c r="D497" i="18"/>
  <c r="K496" i="18"/>
  <c r="D496" i="18"/>
  <c r="K495" i="18"/>
  <c r="D495" i="18"/>
  <c r="K494" i="18"/>
  <c r="D494" i="18"/>
  <c r="K493" i="18"/>
  <c r="D493" i="18"/>
  <c r="K492" i="18"/>
  <c r="D492" i="18"/>
  <c r="K491" i="18"/>
  <c r="D491" i="18"/>
  <c r="K490" i="18"/>
  <c r="D490" i="18"/>
  <c r="K489" i="18"/>
  <c r="D489" i="18"/>
  <c r="K488" i="18"/>
  <c r="D488" i="18"/>
  <c r="K487" i="18"/>
  <c r="D487" i="18"/>
  <c r="K486" i="18"/>
  <c r="D486" i="18"/>
  <c r="K485" i="18"/>
  <c r="D485" i="18"/>
  <c r="K484" i="18"/>
  <c r="D484" i="18"/>
  <c r="K483" i="18"/>
  <c r="D483" i="18"/>
  <c r="K482" i="18"/>
  <c r="D482" i="18"/>
  <c r="K481" i="18"/>
  <c r="D481" i="18"/>
  <c r="K480" i="18"/>
  <c r="D480" i="18"/>
  <c r="K479" i="18"/>
  <c r="D479" i="18"/>
  <c r="K478" i="18"/>
  <c r="D478" i="18"/>
  <c r="K477" i="18"/>
  <c r="D477" i="18"/>
  <c r="K476" i="18"/>
  <c r="D476" i="18"/>
  <c r="K475" i="18"/>
  <c r="D475" i="18"/>
  <c r="K474" i="18"/>
  <c r="D474" i="18"/>
  <c r="K473" i="18"/>
  <c r="D473" i="18"/>
  <c r="K472" i="18"/>
  <c r="D472" i="18"/>
  <c r="K471" i="18"/>
  <c r="D471" i="18"/>
  <c r="K470" i="18"/>
  <c r="D470" i="18"/>
  <c r="K469" i="18"/>
  <c r="D469" i="18"/>
  <c r="K468" i="18"/>
  <c r="D468" i="18"/>
  <c r="K467" i="18"/>
  <c r="D467" i="18"/>
  <c r="K466" i="18"/>
  <c r="D466" i="18"/>
  <c r="K465" i="18"/>
  <c r="D465" i="18"/>
  <c r="K464" i="18"/>
  <c r="D464" i="18"/>
  <c r="K463" i="18"/>
  <c r="D463" i="18"/>
  <c r="K462" i="18"/>
  <c r="D462" i="18"/>
  <c r="K461" i="18"/>
  <c r="D461" i="18"/>
  <c r="K460" i="18"/>
  <c r="D460" i="18"/>
  <c r="K459" i="18"/>
  <c r="D459" i="18"/>
  <c r="K458" i="18"/>
  <c r="D458" i="18"/>
  <c r="K457" i="18"/>
  <c r="D457" i="18"/>
  <c r="K456" i="18"/>
  <c r="D456" i="18"/>
  <c r="K455" i="18"/>
  <c r="D455" i="18"/>
  <c r="K454" i="18"/>
  <c r="D454" i="18"/>
  <c r="K453" i="18"/>
  <c r="D453" i="18"/>
  <c r="K452" i="18"/>
  <c r="D452" i="18"/>
  <c r="K451" i="18"/>
  <c r="D451" i="18"/>
  <c r="K450" i="18"/>
  <c r="D450" i="18"/>
  <c r="K449" i="18"/>
  <c r="D449" i="18"/>
  <c r="K448" i="18"/>
  <c r="D448" i="18"/>
  <c r="K447" i="18"/>
  <c r="D447" i="18"/>
  <c r="K446" i="18"/>
  <c r="D446" i="18"/>
  <c r="K445" i="18"/>
  <c r="D445" i="18"/>
  <c r="K444" i="18"/>
  <c r="D444" i="18"/>
  <c r="K443" i="18"/>
  <c r="D443" i="18"/>
  <c r="K442" i="18"/>
  <c r="D442" i="18"/>
  <c r="K441" i="18"/>
  <c r="D441" i="18"/>
  <c r="K440" i="18"/>
  <c r="D440" i="18"/>
  <c r="K439" i="18"/>
  <c r="D439" i="18"/>
  <c r="K438" i="18"/>
  <c r="D438" i="18"/>
  <c r="K437" i="18"/>
  <c r="D437" i="18"/>
  <c r="K436" i="18"/>
  <c r="D436" i="18"/>
  <c r="K435" i="18"/>
  <c r="D435" i="18"/>
  <c r="K434" i="18"/>
  <c r="D434" i="18"/>
  <c r="K433" i="18"/>
  <c r="D433" i="18"/>
  <c r="K432" i="18"/>
  <c r="D432" i="18"/>
  <c r="K431" i="18"/>
  <c r="D431" i="18"/>
  <c r="K430" i="18"/>
  <c r="D430" i="18"/>
  <c r="K429" i="18"/>
  <c r="D429" i="18"/>
  <c r="K428" i="18"/>
  <c r="D428" i="18"/>
  <c r="K427" i="18"/>
  <c r="D427" i="18"/>
  <c r="K426" i="18"/>
  <c r="D426" i="18"/>
  <c r="K425" i="18"/>
  <c r="D425" i="18"/>
  <c r="K424" i="18"/>
  <c r="D424" i="18"/>
  <c r="K423" i="18"/>
  <c r="D423" i="18"/>
  <c r="K422" i="18"/>
  <c r="D422" i="18"/>
  <c r="K421" i="18"/>
  <c r="D421" i="18"/>
  <c r="K420" i="18"/>
  <c r="D420" i="18"/>
  <c r="K419" i="18"/>
  <c r="D419" i="18"/>
  <c r="K418" i="18"/>
  <c r="D418" i="18"/>
  <c r="K417" i="18"/>
  <c r="D417" i="18"/>
  <c r="K416" i="18"/>
  <c r="D416" i="18"/>
  <c r="K415" i="18"/>
  <c r="D415" i="18"/>
  <c r="K414" i="18"/>
  <c r="D414" i="18"/>
  <c r="K413" i="18"/>
  <c r="D413" i="18"/>
  <c r="K412" i="18"/>
  <c r="D412" i="18"/>
  <c r="K411" i="18"/>
  <c r="D411" i="18"/>
  <c r="K410" i="18"/>
  <c r="D410" i="18"/>
  <c r="K409" i="18"/>
  <c r="D409" i="18"/>
  <c r="K408" i="18"/>
  <c r="D408" i="18"/>
  <c r="K407" i="18"/>
  <c r="D407" i="18"/>
  <c r="K406" i="18"/>
  <c r="D406" i="18"/>
  <c r="K405" i="18"/>
  <c r="D405" i="18"/>
  <c r="K404" i="18"/>
  <c r="D404" i="18"/>
  <c r="K403" i="18"/>
  <c r="D403" i="18"/>
  <c r="K402" i="18"/>
  <c r="D402" i="18"/>
  <c r="K401" i="18"/>
  <c r="D401" i="18"/>
  <c r="K400" i="18"/>
  <c r="D400" i="18"/>
  <c r="K399" i="18"/>
  <c r="D399" i="18"/>
  <c r="K398" i="18"/>
  <c r="D398" i="18"/>
  <c r="K397" i="18"/>
  <c r="D397" i="18"/>
  <c r="K396" i="18"/>
  <c r="D396" i="18"/>
  <c r="K395" i="18"/>
  <c r="D395" i="18"/>
  <c r="K394" i="18"/>
  <c r="D394" i="18"/>
  <c r="K393" i="18"/>
  <c r="D393" i="18"/>
  <c r="K392" i="18"/>
  <c r="D392" i="18"/>
  <c r="K391" i="18"/>
  <c r="D391" i="18"/>
  <c r="K390" i="18"/>
  <c r="D390" i="18"/>
  <c r="K389" i="18"/>
  <c r="D389" i="18"/>
  <c r="K388" i="18"/>
  <c r="D388" i="18"/>
  <c r="K387" i="18"/>
  <c r="D387" i="18"/>
  <c r="K386" i="18"/>
  <c r="D386" i="18"/>
  <c r="K385" i="18"/>
  <c r="D385" i="18"/>
  <c r="K384" i="18"/>
  <c r="D384" i="18"/>
  <c r="K383" i="18"/>
  <c r="D383" i="18"/>
  <c r="K382" i="18"/>
  <c r="D382" i="18"/>
  <c r="K381" i="18"/>
  <c r="D381" i="18"/>
  <c r="K380" i="18"/>
  <c r="D380" i="18"/>
  <c r="K379" i="18"/>
  <c r="D379" i="18"/>
  <c r="K378" i="18"/>
  <c r="D378" i="18"/>
  <c r="K377" i="18"/>
  <c r="D377" i="18"/>
  <c r="K376" i="18"/>
  <c r="D376" i="18"/>
  <c r="K375" i="18"/>
  <c r="D375" i="18"/>
  <c r="K374" i="18"/>
  <c r="D374" i="18"/>
  <c r="K373" i="18"/>
  <c r="D373" i="18"/>
  <c r="K372" i="18"/>
  <c r="D372" i="18"/>
  <c r="K371" i="18"/>
  <c r="D371" i="18"/>
  <c r="K370" i="18"/>
  <c r="D370" i="18"/>
  <c r="K369" i="18"/>
  <c r="D369" i="18"/>
  <c r="K368" i="18"/>
  <c r="D368" i="18"/>
  <c r="K367" i="18"/>
  <c r="D367" i="18"/>
  <c r="K366" i="18"/>
  <c r="D366" i="18"/>
  <c r="K365" i="18"/>
  <c r="D365" i="18"/>
  <c r="K364" i="18"/>
  <c r="D364" i="18"/>
  <c r="K363" i="18"/>
  <c r="D363" i="18"/>
  <c r="K362" i="18"/>
  <c r="D362" i="18"/>
  <c r="K361" i="18"/>
  <c r="D361" i="18"/>
  <c r="K360" i="18"/>
  <c r="D360" i="18"/>
  <c r="K359" i="18"/>
  <c r="D359" i="18"/>
  <c r="K358" i="18"/>
  <c r="D358" i="18"/>
  <c r="K357" i="18"/>
  <c r="D357" i="18"/>
  <c r="K356" i="18"/>
  <c r="D356" i="18"/>
  <c r="K355" i="18"/>
  <c r="D355" i="18"/>
  <c r="K354" i="18"/>
  <c r="D354" i="18"/>
  <c r="K353" i="18"/>
  <c r="D353" i="18"/>
  <c r="K352" i="18"/>
  <c r="D352" i="18"/>
  <c r="K351" i="18"/>
  <c r="D351" i="18"/>
  <c r="K350" i="18"/>
  <c r="D350" i="18"/>
  <c r="K349" i="18"/>
  <c r="D349" i="18"/>
  <c r="K348" i="18"/>
  <c r="D348" i="18"/>
  <c r="K347" i="18"/>
  <c r="D347" i="18"/>
  <c r="K346" i="18"/>
  <c r="D346" i="18"/>
  <c r="K345" i="18"/>
  <c r="D345" i="18"/>
  <c r="K344" i="18"/>
  <c r="D344" i="18"/>
  <c r="K343" i="18"/>
  <c r="D343" i="18"/>
  <c r="K342" i="18"/>
  <c r="D342" i="18"/>
  <c r="K341" i="18"/>
  <c r="D341" i="18"/>
  <c r="K340" i="18"/>
  <c r="D340" i="18"/>
  <c r="K339" i="18"/>
  <c r="D339" i="18"/>
  <c r="K338" i="18"/>
  <c r="D338" i="18"/>
  <c r="K337" i="18"/>
  <c r="D337" i="18"/>
  <c r="K336" i="18"/>
  <c r="D336" i="18"/>
  <c r="K335" i="18"/>
  <c r="D335" i="18"/>
  <c r="K334" i="18"/>
  <c r="D334" i="18"/>
  <c r="K333" i="18"/>
  <c r="D333" i="18"/>
  <c r="K332" i="18"/>
  <c r="D332" i="18"/>
  <c r="K331" i="18"/>
  <c r="D331" i="18"/>
  <c r="K330" i="18"/>
  <c r="D330" i="18"/>
  <c r="K329" i="18"/>
  <c r="D329" i="18"/>
  <c r="K328" i="18"/>
  <c r="D328" i="18"/>
  <c r="K327" i="18"/>
  <c r="D327" i="18"/>
  <c r="K326" i="18"/>
  <c r="D326" i="18"/>
  <c r="K325" i="18"/>
  <c r="D325" i="18"/>
  <c r="K324" i="18"/>
  <c r="D324" i="18"/>
  <c r="K323" i="18"/>
  <c r="D323" i="18"/>
  <c r="K322" i="18"/>
  <c r="D322" i="18"/>
  <c r="K321" i="18"/>
  <c r="D321" i="18"/>
  <c r="K320" i="18"/>
  <c r="D320" i="18"/>
  <c r="K319" i="18"/>
  <c r="D319" i="18"/>
  <c r="K318" i="18"/>
  <c r="D318" i="18"/>
  <c r="K317" i="18"/>
  <c r="D317" i="18"/>
  <c r="K316" i="18"/>
  <c r="D316" i="18"/>
  <c r="K315" i="18"/>
  <c r="D315" i="18"/>
  <c r="K314" i="18"/>
  <c r="D314" i="18"/>
  <c r="K313" i="18"/>
  <c r="D313" i="18"/>
  <c r="K312" i="18"/>
  <c r="D312" i="18"/>
  <c r="K311" i="18"/>
  <c r="D311" i="18"/>
  <c r="K310" i="18"/>
  <c r="D310" i="18"/>
  <c r="K309" i="18"/>
  <c r="D309" i="18"/>
  <c r="K308" i="18"/>
  <c r="D308" i="18"/>
  <c r="K307" i="18"/>
  <c r="D307" i="18"/>
  <c r="K306" i="18"/>
  <c r="D306" i="18"/>
  <c r="K305" i="18"/>
  <c r="D305" i="18"/>
  <c r="K304" i="18"/>
  <c r="D304" i="18"/>
  <c r="K303" i="18"/>
  <c r="D303" i="18"/>
  <c r="K302" i="18"/>
  <c r="D302" i="18"/>
  <c r="K301" i="18"/>
  <c r="D301" i="18"/>
  <c r="K300" i="18"/>
  <c r="D300" i="18"/>
  <c r="K299" i="18"/>
  <c r="D299" i="18"/>
  <c r="K298" i="18"/>
  <c r="D298" i="18"/>
  <c r="K297" i="18"/>
  <c r="D297" i="18"/>
  <c r="K296" i="18"/>
  <c r="D296" i="18"/>
  <c r="K295" i="18"/>
  <c r="D295" i="18"/>
  <c r="K294" i="18"/>
  <c r="D294" i="18"/>
  <c r="K293" i="18"/>
  <c r="D293" i="18"/>
  <c r="K292" i="18"/>
  <c r="D292" i="18"/>
  <c r="K291" i="18"/>
  <c r="D291" i="18"/>
  <c r="K290" i="18"/>
  <c r="D290" i="18"/>
  <c r="K289" i="18"/>
  <c r="D289" i="18"/>
  <c r="K288" i="18"/>
  <c r="D288" i="18"/>
  <c r="K287" i="18"/>
  <c r="D287" i="18"/>
  <c r="K286" i="18"/>
  <c r="D286" i="18"/>
  <c r="K285" i="18"/>
  <c r="D285" i="18"/>
  <c r="K284" i="18"/>
  <c r="D284" i="18"/>
  <c r="K283" i="18"/>
  <c r="D283" i="18"/>
  <c r="K282" i="18"/>
  <c r="D282" i="18"/>
  <c r="K281" i="18"/>
  <c r="D281" i="18"/>
  <c r="K280" i="18"/>
  <c r="D280" i="18"/>
  <c r="K279" i="18"/>
  <c r="D279" i="18"/>
  <c r="K278" i="18"/>
  <c r="D278" i="18"/>
  <c r="K277" i="18"/>
  <c r="D277" i="18"/>
  <c r="K276" i="18"/>
  <c r="D276" i="18"/>
  <c r="K275" i="18"/>
  <c r="D275" i="18"/>
  <c r="K274" i="18"/>
  <c r="D274" i="18"/>
  <c r="K273" i="18"/>
  <c r="D273" i="18"/>
  <c r="K272" i="18"/>
  <c r="D272" i="18"/>
  <c r="K271" i="18"/>
  <c r="D271" i="18"/>
  <c r="K270" i="18"/>
  <c r="D270" i="18"/>
  <c r="K269" i="18"/>
  <c r="D269" i="18"/>
  <c r="K268" i="18"/>
  <c r="D268" i="18"/>
  <c r="K267" i="18"/>
  <c r="D267" i="18"/>
  <c r="K266" i="18"/>
  <c r="D266" i="18"/>
  <c r="K265" i="18"/>
  <c r="D265" i="18"/>
  <c r="K264" i="18"/>
  <c r="D264" i="18"/>
  <c r="K263" i="18"/>
  <c r="D263" i="18"/>
  <c r="K262" i="18"/>
  <c r="D262" i="18"/>
  <c r="K261" i="18"/>
  <c r="D261" i="18"/>
  <c r="K260" i="18"/>
  <c r="D260" i="18"/>
  <c r="K259" i="18"/>
  <c r="D259" i="18"/>
  <c r="K258" i="18"/>
  <c r="D258" i="18"/>
  <c r="K257" i="18"/>
  <c r="D257" i="18"/>
  <c r="K256" i="18"/>
  <c r="D256" i="18"/>
  <c r="K255" i="18"/>
  <c r="D255" i="18"/>
  <c r="K254" i="18"/>
  <c r="D254" i="18"/>
  <c r="K253" i="18"/>
  <c r="D253" i="18"/>
  <c r="K252" i="18"/>
  <c r="D252" i="18"/>
  <c r="K251" i="18"/>
  <c r="D251" i="18"/>
  <c r="K250" i="18"/>
  <c r="D250" i="18"/>
  <c r="K249" i="18"/>
  <c r="D249" i="18"/>
  <c r="K248" i="18"/>
  <c r="D248" i="18"/>
  <c r="K247" i="18"/>
  <c r="D247" i="18"/>
  <c r="K246" i="18"/>
  <c r="D246" i="18"/>
  <c r="K245" i="18"/>
  <c r="D245" i="18"/>
  <c r="K244" i="18"/>
  <c r="D244" i="18"/>
  <c r="K243" i="18"/>
  <c r="D243" i="18"/>
  <c r="K242" i="18"/>
  <c r="D242" i="18"/>
  <c r="K241" i="18"/>
  <c r="D241" i="18"/>
  <c r="K240" i="18"/>
  <c r="D240" i="18"/>
  <c r="K239" i="18"/>
  <c r="D239" i="18"/>
  <c r="K238" i="18"/>
  <c r="D238" i="18"/>
  <c r="K237" i="18"/>
  <c r="D237" i="18"/>
  <c r="K236" i="18"/>
  <c r="D236" i="18"/>
  <c r="K235" i="18"/>
  <c r="D235" i="18"/>
  <c r="K234" i="18"/>
  <c r="D234" i="18"/>
  <c r="K233" i="18"/>
  <c r="D233" i="18"/>
  <c r="K232" i="18"/>
  <c r="D232" i="18"/>
  <c r="K231" i="18"/>
  <c r="D231" i="18"/>
  <c r="K230" i="18"/>
  <c r="D230" i="18"/>
  <c r="K229" i="18"/>
  <c r="D229" i="18"/>
  <c r="K228" i="18"/>
  <c r="D228" i="18"/>
  <c r="K227" i="18"/>
  <c r="D227" i="18"/>
  <c r="K226" i="18"/>
  <c r="D226" i="18"/>
  <c r="K225" i="18"/>
  <c r="D225" i="18"/>
  <c r="K224" i="18"/>
  <c r="D224" i="18"/>
  <c r="K223" i="18"/>
  <c r="D223" i="18"/>
  <c r="K222" i="18"/>
  <c r="D222" i="18"/>
  <c r="K221" i="18"/>
  <c r="D221" i="18"/>
  <c r="K220" i="18"/>
  <c r="D220" i="18"/>
  <c r="K219" i="18"/>
  <c r="D219" i="18"/>
  <c r="K218" i="18"/>
  <c r="D218" i="18"/>
  <c r="K217" i="18"/>
  <c r="D217" i="18"/>
  <c r="K216" i="18"/>
  <c r="D216" i="18"/>
  <c r="K215" i="18"/>
  <c r="D215" i="18"/>
  <c r="K214" i="18"/>
  <c r="D214" i="18"/>
  <c r="K213" i="18"/>
  <c r="D213" i="18"/>
  <c r="K212" i="18"/>
  <c r="D212" i="18"/>
  <c r="K211" i="18"/>
  <c r="D211" i="18"/>
  <c r="K210" i="18"/>
  <c r="D210" i="18"/>
  <c r="K209" i="18"/>
  <c r="D209" i="18"/>
  <c r="K208" i="18"/>
  <c r="D208" i="18"/>
  <c r="K207" i="18"/>
  <c r="D207" i="18"/>
  <c r="K206" i="18"/>
  <c r="D206" i="18"/>
  <c r="K205" i="18"/>
  <c r="D205" i="18"/>
  <c r="K204" i="18"/>
  <c r="D204" i="18"/>
  <c r="K203" i="18"/>
  <c r="D203" i="18"/>
  <c r="K202" i="18"/>
  <c r="D202" i="18"/>
  <c r="K201" i="18"/>
  <c r="D201" i="18"/>
  <c r="K200" i="18"/>
  <c r="D200" i="18"/>
  <c r="K199" i="18"/>
  <c r="D199" i="18"/>
  <c r="K198" i="18"/>
  <c r="D198" i="18"/>
  <c r="K197" i="18"/>
  <c r="D197" i="18"/>
  <c r="K196" i="18"/>
  <c r="D196" i="18"/>
  <c r="K195" i="18"/>
  <c r="D195" i="18"/>
  <c r="K194" i="18"/>
  <c r="D194" i="18"/>
  <c r="K193" i="18"/>
  <c r="D193" i="18"/>
  <c r="K192" i="18"/>
  <c r="D192" i="18"/>
  <c r="K191" i="18"/>
  <c r="D191" i="18"/>
  <c r="K190" i="18"/>
  <c r="D190" i="18"/>
  <c r="K189" i="18"/>
  <c r="D189" i="18"/>
  <c r="K188" i="18"/>
  <c r="D188" i="18"/>
  <c r="K187" i="18"/>
  <c r="D187" i="18"/>
  <c r="K186" i="18"/>
  <c r="D186" i="18"/>
  <c r="K185" i="18"/>
  <c r="D185" i="18"/>
  <c r="K184" i="18"/>
  <c r="D184" i="18"/>
  <c r="K183" i="18"/>
  <c r="D183" i="18"/>
  <c r="K182" i="18"/>
  <c r="D182" i="18"/>
  <c r="K181" i="18"/>
  <c r="D181" i="18"/>
  <c r="K180" i="18"/>
  <c r="D180" i="18"/>
  <c r="K179" i="18"/>
  <c r="D179" i="18"/>
  <c r="K178" i="18"/>
  <c r="D178" i="18"/>
  <c r="K177" i="18"/>
  <c r="D177" i="18"/>
  <c r="K176" i="18"/>
  <c r="D176" i="18"/>
  <c r="K175" i="18"/>
  <c r="D175" i="18"/>
  <c r="K174" i="18"/>
  <c r="D174" i="18"/>
  <c r="K173" i="18"/>
  <c r="D173" i="18"/>
  <c r="K172" i="18"/>
  <c r="D172" i="18"/>
  <c r="K171" i="18"/>
  <c r="D171" i="18"/>
  <c r="K170" i="18"/>
  <c r="D170" i="18"/>
  <c r="K169" i="18"/>
  <c r="D169" i="18"/>
  <c r="K168" i="18"/>
  <c r="D168" i="18"/>
  <c r="K167" i="18"/>
  <c r="D167" i="18"/>
  <c r="K166" i="18"/>
  <c r="D166" i="18"/>
  <c r="K165" i="18"/>
  <c r="D165" i="18"/>
  <c r="K164" i="18"/>
  <c r="D164" i="18"/>
  <c r="K163" i="18"/>
  <c r="D163" i="18"/>
  <c r="K162" i="18"/>
  <c r="D162" i="18"/>
  <c r="K161" i="18"/>
  <c r="D161" i="18"/>
  <c r="K160" i="18"/>
  <c r="D160" i="18"/>
  <c r="K159" i="18"/>
  <c r="D159" i="18"/>
  <c r="K158" i="18"/>
  <c r="D158" i="18"/>
  <c r="K157" i="18"/>
  <c r="D157" i="18"/>
  <c r="K156" i="18"/>
  <c r="D156" i="18"/>
  <c r="K155" i="18"/>
  <c r="D155" i="18"/>
  <c r="K154" i="18"/>
  <c r="D154" i="18"/>
  <c r="K153" i="18"/>
  <c r="D153" i="18"/>
  <c r="K152" i="18"/>
  <c r="D152" i="18"/>
  <c r="K151" i="18"/>
  <c r="D151" i="18"/>
  <c r="K150" i="18"/>
  <c r="D150" i="18"/>
  <c r="K149" i="18"/>
  <c r="D149" i="18"/>
  <c r="K148" i="18"/>
  <c r="D148" i="18"/>
  <c r="K147" i="18"/>
  <c r="D147" i="18"/>
  <c r="K146" i="18"/>
  <c r="D146" i="18"/>
  <c r="K145" i="18"/>
  <c r="D145" i="18"/>
  <c r="K144" i="18"/>
  <c r="D144" i="18"/>
  <c r="K143" i="18"/>
  <c r="D143" i="18"/>
  <c r="K142" i="18"/>
  <c r="D142" i="18"/>
  <c r="K141" i="18"/>
  <c r="D141" i="18"/>
  <c r="K140" i="18"/>
  <c r="D140" i="18"/>
  <c r="K139" i="18"/>
  <c r="D139" i="18"/>
  <c r="K138" i="18"/>
  <c r="D138" i="18"/>
  <c r="K137" i="18"/>
  <c r="D137" i="18"/>
  <c r="K136" i="18"/>
  <c r="D136" i="18"/>
  <c r="K135" i="18"/>
  <c r="D135" i="18"/>
  <c r="K134" i="18"/>
  <c r="D134" i="18"/>
  <c r="K133" i="18"/>
  <c r="D133" i="18"/>
  <c r="K132" i="18"/>
  <c r="D132" i="18"/>
  <c r="K131" i="18"/>
  <c r="D131" i="18"/>
  <c r="K130" i="18"/>
  <c r="D130" i="18"/>
  <c r="K129" i="18"/>
  <c r="D129" i="18"/>
  <c r="K128" i="18"/>
  <c r="D128" i="18"/>
  <c r="K127" i="18"/>
  <c r="D127" i="18"/>
  <c r="K126" i="18"/>
  <c r="D126" i="18"/>
  <c r="K125" i="18"/>
  <c r="D125" i="18"/>
  <c r="K124" i="18"/>
  <c r="D124" i="18"/>
  <c r="K123" i="18"/>
  <c r="D123" i="18"/>
  <c r="K122" i="18"/>
  <c r="D122" i="18"/>
  <c r="K121" i="18"/>
  <c r="D121" i="18"/>
  <c r="K120" i="18"/>
  <c r="D120" i="18"/>
  <c r="K119" i="18"/>
  <c r="D119" i="18"/>
  <c r="K118" i="18"/>
  <c r="D118" i="18"/>
  <c r="K117" i="18"/>
  <c r="D117" i="18"/>
  <c r="K116" i="18"/>
  <c r="D116" i="18"/>
  <c r="K115" i="18"/>
  <c r="D115" i="18"/>
  <c r="K114" i="18"/>
  <c r="D114" i="18"/>
  <c r="K113" i="18"/>
  <c r="D113" i="18"/>
  <c r="K112" i="18"/>
  <c r="D112" i="18"/>
  <c r="K111" i="18"/>
  <c r="D111" i="18"/>
  <c r="K110" i="18"/>
  <c r="D110" i="18"/>
  <c r="K109" i="18"/>
  <c r="D109" i="18"/>
  <c r="K108" i="18"/>
  <c r="D108" i="18"/>
  <c r="K107" i="18"/>
  <c r="D107" i="18"/>
  <c r="K106" i="18"/>
  <c r="D106" i="18"/>
  <c r="D105" i="18"/>
  <c r="K104" i="18"/>
  <c r="D104" i="18"/>
  <c r="K103" i="18"/>
  <c r="D103" i="18"/>
  <c r="K102" i="18"/>
  <c r="D102" i="18"/>
  <c r="K101" i="18"/>
  <c r="D101" i="18"/>
  <c r="K100" i="18"/>
  <c r="D100" i="18"/>
  <c r="K99" i="18"/>
  <c r="D99" i="18"/>
  <c r="K98" i="18"/>
  <c r="D98" i="18"/>
  <c r="K97" i="18"/>
  <c r="D97" i="18"/>
  <c r="K96" i="18"/>
  <c r="D96" i="18"/>
  <c r="K95" i="18"/>
  <c r="D95" i="18"/>
  <c r="K94" i="18"/>
  <c r="D94" i="18"/>
  <c r="K93" i="18"/>
  <c r="D93" i="18"/>
  <c r="K92" i="18"/>
  <c r="D92" i="18"/>
  <c r="K91" i="18"/>
  <c r="D91" i="18"/>
  <c r="K90" i="18"/>
  <c r="D90" i="18"/>
  <c r="K89" i="18"/>
  <c r="D89" i="18"/>
  <c r="K88" i="18"/>
  <c r="D88" i="18"/>
  <c r="K87" i="18"/>
  <c r="D87" i="18"/>
  <c r="K86" i="18"/>
  <c r="D86" i="18"/>
  <c r="K85" i="18"/>
  <c r="D85" i="18"/>
  <c r="K84" i="18"/>
  <c r="D84" i="18"/>
  <c r="K83" i="18"/>
  <c r="D83" i="18"/>
  <c r="K82" i="18"/>
  <c r="D82" i="18"/>
  <c r="K81" i="18"/>
  <c r="D81" i="18"/>
  <c r="K80" i="18"/>
  <c r="D80" i="18"/>
  <c r="K79" i="18"/>
  <c r="D79" i="18"/>
  <c r="K78" i="18"/>
  <c r="D78" i="18"/>
  <c r="K77" i="18"/>
  <c r="D77" i="18"/>
  <c r="K76" i="18"/>
  <c r="D76" i="18"/>
  <c r="K75" i="18"/>
  <c r="D75" i="18"/>
  <c r="K74" i="18"/>
  <c r="D74" i="18"/>
  <c r="K73" i="18"/>
  <c r="D73" i="18"/>
  <c r="K72" i="18"/>
  <c r="D72" i="18"/>
  <c r="K71" i="18"/>
  <c r="D71" i="18"/>
  <c r="K70" i="18"/>
  <c r="D70" i="18"/>
  <c r="K69" i="18"/>
  <c r="D69" i="18"/>
  <c r="K68" i="18"/>
  <c r="D68" i="18"/>
  <c r="K67" i="18"/>
  <c r="D67" i="18"/>
  <c r="K66" i="18"/>
  <c r="D66" i="18"/>
  <c r="K65" i="18"/>
  <c r="D65" i="18"/>
  <c r="K64" i="18"/>
  <c r="D64" i="18"/>
  <c r="K63" i="18"/>
  <c r="D63" i="18"/>
  <c r="K62" i="18"/>
  <c r="D62" i="18"/>
  <c r="K61" i="18"/>
  <c r="D61" i="18"/>
  <c r="K60" i="18"/>
  <c r="D60" i="18"/>
  <c r="K59" i="18"/>
  <c r="D59" i="18"/>
  <c r="K58" i="18"/>
  <c r="D58" i="18"/>
  <c r="K57" i="18"/>
  <c r="D57" i="18"/>
  <c r="K56" i="18"/>
  <c r="D56" i="18"/>
  <c r="K55" i="18"/>
  <c r="D55" i="18"/>
  <c r="K54" i="18"/>
  <c r="D54" i="18"/>
  <c r="K53" i="18"/>
  <c r="D53" i="18"/>
  <c r="K52" i="18"/>
  <c r="D52" i="18"/>
  <c r="K51" i="18"/>
  <c r="J51" i="18"/>
  <c r="D51" i="18"/>
  <c r="K50" i="18"/>
  <c r="D50" i="18"/>
  <c r="K49" i="18"/>
  <c r="D49" i="18"/>
  <c r="K48" i="18"/>
  <c r="D48" i="18"/>
  <c r="K47" i="18"/>
  <c r="D47" i="18"/>
  <c r="K46" i="18"/>
  <c r="D46" i="18"/>
  <c r="K45" i="18"/>
  <c r="D45" i="18"/>
  <c r="K44" i="18"/>
  <c r="D44" i="18"/>
  <c r="K43" i="18"/>
  <c r="D43" i="18"/>
  <c r="K42" i="18"/>
  <c r="D42" i="18"/>
  <c r="K41" i="18"/>
  <c r="D41" i="18"/>
  <c r="K40" i="18"/>
  <c r="D40" i="18"/>
  <c r="K39" i="18"/>
  <c r="D39" i="18"/>
  <c r="K38" i="18"/>
  <c r="D38" i="18"/>
  <c r="K37" i="18"/>
  <c r="D37" i="18"/>
  <c r="K36" i="18"/>
  <c r="D36" i="18"/>
  <c r="K35" i="18"/>
  <c r="D35" i="18"/>
  <c r="K34" i="18"/>
  <c r="D34" i="18"/>
  <c r="K33" i="18"/>
  <c r="D33" i="18"/>
  <c r="K32" i="18"/>
  <c r="D32" i="18"/>
  <c r="K31" i="18"/>
  <c r="D31" i="18"/>
  <c r="K30" i="18"/>
  <c r="D30" i="18"/>
  <c r="K29" i="18"/>
  <c r="D29" i="18"/>
  <c r="K28" i="18"/>
  <c r="D28" i="18"/>
  <c r="K27" i="18"/>
  <c r="D27" i="18"/>
  <c r="K26" i="18"/>
  <c r="D26" i="18"/>
  <c r="K25" i="18"/>
  <c r="D25" i="18"/>
  <c r="K24" i="18"/>
  <c r="D24" i="18"/>
  <c r="K23" i="18"/>
  <c r="D23" i="18"/>
  <c r="K22" i="18"/>
  <c r="D22" i="18"/>
  <c r="K21" i="18"/>
  <c r="D21" i="18"/>
  <c r="K20" i="18"/>
  <c r="D20" i="18"/>
  <c r="K19" i="18"/>
  <c r="D19" i="18"/>
  <c r="K18" i="18"/>
  <c r="D18" i="18"/>
  <c r="J17" i="18"/>
  <c r="K17" i="18" s="1"/>
  <c r="D17" i="18"/>
  <c r="J16" i="18"/>
  <c r="K16" i="18" s="1"/>
  <c r="D16" i="18"/>
  <c r="K15" i="18"/>
  <c r="D15" i="18"/>
  <c r="K14" i="18"/>
  <c r="D14" i="18"/>
  <c r="K13" i="18"/>
  <c r="D13" i="18"/>
  <c r="K12" i="18"/>
  <c r="D12" i="18"/>
  <c r="K11" i="18"/>
  <c r="D11" i="18"/>
  <c r="K10" i="18"/>
  <c r="D10" i="18"/>
  <c r="K9" i="18"/>
  <c r="D9" i="18"/>
  <c r="K8" i="18"/>
  <c r="D8" i="18"/>
  <c r="K7" i="18"/>
  <c r="D7" i="18"/>
  <c r="K6" i="18"/>
  <c r="D6" i="18"/>
  <c r="K5" i="18"/>
  <c r="D5" i="18"/>
  <c r="D4" i="18"/>
  <c r="K3" i="18"/>
  <c r="D3" i="18"/>
  <c r="K2" i="18"/>
  <c r="D2" i="18"/>
  <c r="I37" i="7"/>
  <c r="H37" i="7"/>
  <c r="G37" i="7"/>
  <c r="E37" i="7"/>
  <c r="E34" i="7" s="1"/>
  <c r="L35" i="7"/>
  <c r="I34" i="7"/>
  <c r="F34" i="7"/>
  <c r="L33" i="7"/>
  <c r="K33" i="7"/>
  <c r="I33" i="7"/>
  <c r="H33" i="7"/>
  <c r="G33" i="7"/>
  <c r="F33" i="7"/>
  <c r="E33" i="7"/>
  <c r="D33" i="7"/>
  <c r="L32" i="7"/>
  <c r="K32" i="7"/>
  <c r="K35" i="7" s="1"/>
  <c r="I32" i="7"/>
  <c r="H32" i="7"/>
  <c r="H35" i="7" s="1"/>
  <c r="G32" i="7"/>
  <c r="G35" i="7" s="1"/>
  <c r="F32" i="7"/>
  <c r="F35" i="7" s="1"/>
  <c r="E32" i="7"/>
  <c r="E35" i="7" s="1"/>
  <c r="D32" i="7"/>
  <c r="D35" i="7" s="1"/>
  <c r="I29" i="7"/>
  <c r="H29" i="7"/>
  <c r="G29" i="7"/>
  <c r="E29" i="7"/>
  <c r="I28" i="7"/>
  <c r="H28" i="7"/>
  <c r="G28" i="7"/>
  <c r="E28" i="7"/>
  <c r="L27" i="7"/>
  <c r="K27" i="7"/>
  <c r="I27" i="7"/>
  <c r="H27" i="7"/>
  <c r="G27" i="7"/>
  <c r="E27" i="7"/>
  <c r="D27" i="7"/>
  <c r="F27" i="7" s="1"/>
  <c r="I26" i="7"/>
  <c r="H26" i="7"/>
  <c r="G26" i="7"/>
  <c r="E26" i="7"/>
  <c r="L25" i="7"/>
  <c r="K25" i="7"/>
  <c r="I25" i="7"/>
  <c r="H25" i="7"/>
  <c r="G25" i="7"/>
  <c r="E25" i="7"/>
  <c r="D25" i="7"/>
  <c r="D30" i="7" s="1"/>
  <c r="I24" i="7"/>
  <c r="H24" i="7"/>
  <c r="G24" i="7"/>
  <c r="E24" i="7"/>
  <c r="I23" i="7"/>
  <c r="I30" i="7" s="1"/>
  <c r="H23" i="7"/>
  <c r="H30" i="7" s="1"/>
  <c r="I20" i="7"/>
  <c r="H20" i="7"/>
  <c r="G20" i="7"/>
  <c r="E20" i="7"/>
  <c r="I19" i="7"/>
  <c r="H19" i="7"/>
  <c r="G19" i="7"/>
  <c r="F19" i="7"/>
  <c r="E19" i="7"/>
  <c r="L18" i="7"/>
  <c r="K18" i="7"/>
  <c r="I18" i="7"/>
  <c r="H18" i="7"/>
  <c r="G18" i="7"/>
  <c r="F18" i="7"/>
  <c r="E18" i="7"/>
  <c r="D18" i="7"/>
  <c r="L17" i="7"/>
  <c r="K17" i="7"/>
  <c r="I17" i="7"/>
  <c r="H17" i="7"/>
  <c r="G17" i="7"/>
  <c r="E17" i="7"/>
  <c r="D17" i="7"/>
  <c r="D21" i="7" s="1"/>
  <c r="I16" i="7"/>
  <c r="H16" i="7"/>
  <c r="G16" i="7"/>
  <c r="E16" i="7"/>
  <c r="I15" i="7"/>
  <c r="H15" i="7"/>
  <c r="G15" i="7"/>
  <c r="F15" i="7"/>
  <c r="E15" i="7"/>
  <c r="I14" i="7"/>
  <c r="H14" i="7"/>
  <c r="E14" i="7"/>
  <c r="I13" i="7"/>
  <c r="H13" i="7"/>
  <c r="E13" i="7"/>
  <c r="E21" i="7" s="1"/>
  <c r="I10" i="7"/>
  <c r="H10" i="7"/>
  <c r="H11" i="7" s="1"/>
  <c r="G10" i="7"/>
  <c r="E10" i="7"/>
  <c r="H9" i="7"/>
  <c r="I8" i="7"/>
  <c r="H8" i="7"/>
  <c r="G8" i="7"/>
  <c r="E8" i="7"/>
  <c r="D8" i="7"/>
  <c r="R755" i="1"/>
  <c r="Q755" i="1"/>
  <c r="M755" i="1"/>
  <c r="L755" i="1"/>
  <c r="K755" i="1"/>
  <c r="J755" i="1"/>
  <c r="H755" i="1"/>
  <c r="G755" i="1"/>
  <c r="G756" i="1" s="1"/>
  <c r="V754" i="1"/>
  <c r="U754" i="1"/>
  <c r="T754" i="1"/>
  <c r="S754" i="1"/>
  <c r="V753" i="1"/>
  <c r="T753" i="1"/>
  <c r="P753" i="1"/>
  <c r="S753" i="1" s="1"/>
  <c r="U753" i="1" s="1"/>
  <c r="X752" i="1"/>
  <c r="W752" i="1"/>
  <c r="P752" i="1"/>
  <c r="T752" i="1" s="1"/>
  <c r="O752" i="1"/>
  <c r="T751" i="1"/>
  <c r="S751" i="1"/>
  <c r="P751" i="1"/>
  <c r="I751" i="1"/>
  <c r="P750" i="1"/>
  <c r="T750" i="1" s="1"/>
  <c r="J750" i="1"/>
  <c r="I750" i="1"/>
  <c r="T748" i="1"/>
  <c r="S748" i="1"/>
  <c r="V747" i="1"/>
  <c r="U747" i="1"/>
  <c r="T747" i="1"/>
  <c r="S747" i="1"/>
  <c r="V746" i="1"/>
  <c r="T746" i="1"/>
  <c r="S746" i="1"/>
  <c r="U746" i="1" s="1"/>
  <c r="O746" i="1"/>
  <c r="O755" i="1" s="1"/>
  <c r="V745" i="1"/>
  <c r="U745" i="1"/>
  <c r="T745" i="1"/>
  <c r="S745" i="1"/>
  <c r="U744" i="1"/>
  <c r="T744" i="1"/>
  <c r="S744" i="1"/>
  <c r="V744" i="1" s="1"/>
  <c r="V743" i="1"/>
  <c r="U743" i="1"/>
  <c r="T743" i="1"/>
  <c r="S743" i="1"/>
  <c r="U742" i="1"/>
  <c r="T742" i="1"/>
  <c r="S742" i="1"/>
  <c r="V742" i="1" s="1"/>
  <c r="S740" i="1"/>
  <c r="R740" i="1"/>
  <c r="Q740" i="1"/>
  <c r="P740" i="1"/>
  <c r="O740" i="1"/>
  <c r="M740" i="1"/>
  <c r="L740" i="1"/>
  <c r="K740" i="1"/>
  <c r="J740" i="1"/>
  <c r="I740" i="1"/>
  <c r="H740" i="1"/>
  <c r="G740" i="1"/>
  <c r="U739" i="1"/>
  <c r="T739" i="1"/>
  <c r="S739" i="1"/>
  <c r="V739" i="1" s="1"/>
  <c r="T738" i="1"/>
  <c r="S738" i="1"/>
  <c r="V738" i="1" s="1"/>
  <c r="T737" i="1"/>
  <c r="T740" i="1" s="1"/>
  <c r="S737" i="1"/>
  <c r="P737" i="1"/>
  <c r="L29" i="7" s="1"/>
  <c r="N737" i="1"/>
  <c r="R735" i="1"/>
  <c r="Q735" i="1"/>
  <c r="O735" i="1"/>
  <c r="N735" i="1"/>
  <c r="M735" i="1"/>
  <c r="L735" i="1"/>
  <c r="K735" i="1"/>
  <c r="J735" i="1"/>
  <c r="I735" i="1"/>
  <c r="H735" i="1"/>
  <c r="G735" i="1"/>
  <c r="V734" i="1"/>
  <c r="T734" i="1"/>
  <c r="S734" i="1"/>
  <c r="U734" i="1" s="1"/>
  <c r="V733" i="1"/>
  <c r="U733" i="1"/>
  <c r="T733" i="1"/>
  <c r="S732" i="1"/>
  <c r="N731" i="1"/>
  <c r="K28" i="7" s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V728" i="1"/>
  <c r="U728" i="1"/>
  <c r="T728" i="1"/>
  <c r="V727" i="1"/>
  <c r="V729" i="1" s="1"/>
  <c r="U727" i="1"/>
  <c r="U729" i="1" s="1"/>
  <c r="T727" i="1"/>
  <c r="T729" i="1" s="1"/>
  <c r="S727" i="1"/>
  <c r="R725" i="1"/>
  <c r="Q725" i="1"/>
  <c r="O725" i="1"/>
  <c r="M725" i="1"/>
  <c r="L725" i="1"/>
  <c r="K725" i="1"/>
  <c r="J725" i="1"/>
  <c r="I725" i="1"/>
  <c r="H725" i="1"/>
  <c r="G725" i="1"/>
  <c r="V724" i="1"/>
  <c r="T724" i="1"/>
  <c r="S724" i="1"/>
  <c r="U724" i="1" s="1"/>
  <c r="V723" i="1"/>
  <c r="T723" i="1"/>
  <c r="S723" i="1"/>
  <c r="U723" i="1" s="1"/>
  <c r="V722" i="1"/>
  <c r="T722" i="1"/>
  <c r="S722" i="1"/>
  <c r="U722" i="1" s="1"/>
  <c r="T721" i="1"/>
  <c r="S721" i="1"/>
  <c r="V720" i="1"/>
  <c r="T720" i="1"/>
  <c r="S720" i="1"/>
  <c r="U720" i="1" s="1"/>
  <c r="U719" i="1"/>
  <c r="T719" i="1"/>
  <c r="S719" i="1"/>
  <c r="V719" i="1" s="1"/>
  <c r="T718" i="1"/>
  <c r="P718" i="1"/>
  <c r="S718" i="1" s="1"/>
  <c r="O718" i="1"/>
  <c r="V717" i="1"/>
  <c r="U717" i="1"/>
  <c r="T717" i="1"/>
  <c r="S717" i="1"/>
  <c r="V716" i="1"/>
  <c r="U716" i="1"/>
  <c r="T716" i="1"/>
  <c r="S716" i="1"/>
  <c r="V715" i="1"/>
  <c r="U715" i="1"/>
  <c r="T715" i="1"/>
  <c r="S715" i="1"/>
  <c r="V714" i="1"/>
  <c r="U714" i="1"/>
  <c r="T714" i="1"/>
  <c r="S714" i="1"/>
  <c r="V713" i="1"/>
  <c r="U713" i="1"/>
  <c r="T713" i="1"/>
  <c r="S713" i="1"/>
  <c r="V712" i="1"/>
  <c r="U712" i="1"/>
  <c r="T712" i="1"/>
  <c r="S712" i="1"/>
  <c r="V711" i="1"/>
  <c r="U711" i="1"/>
  <c r="T711" i="1"/>
  <c r="S711" i="1"/>
  <c r="V710" i="1"/>
  <c r="U710" i="1"/>
  <c r="T710" i="1"/>
  <c r="S710" i="1"/>
  <c r="V709" i="1"/>
  <c r="U709" i="1"/>
  <c r="T709" i="1"/>
  <c r="S709" i="1"/>
  <c r="V708" i="1"/>
  <c r="U708" i="1"/>
  <c r="T708" i="1"/>
  <c r="S708" i="1"/>
  <c r="V707" i="1"/>
  <c r="U707" i="1"/>
  <c r="T707" i="1"/>
  <c r="S707" i="1"/>
  <c r="V706" i="1"/>
  <c r="U706" i="1"/>
  <c r="T706" i="1"/>
  <c r="S706" i="1"/>
  <c r="V705" i="1"/>
  <c r="U705" i="1"/>
  <c r="T705" i="1"/>
  <c r="S705" i="1"/>
  <c r="V704" i="1"/>
  <c r="U704" i="1"/>
  <c r="T704" i="1"/>
  <c r="S704" i="1"/>
  <c r="V703" i="1"/>
  <c r="U703" i="1"/>
  <c r="T703" i="1"/>
  <c r="S703" i="1"/>
  <c r="V702" i="1"/>
  <c r="U702" i="1"/>
  <c r="T702" i="1"/>
  <c r="S702" i="1"/>
  <c r="V701" i="1"/>
  <c r="U701" i="1"/>
  <c r="T701" i="1"/>
  <c r="S701" i="1"/>
  <c r="V700" i="1"/>
  <c r="U700" i="1"/>
  <c r="T700" i="1"/>
  <c r="S700" i="1"/>
  <c r="V699" i="1"/>
  <c r="U699" i="1"/>
  <c r="T699" i="1"/>
  <c r="S699" i="1"/>
  <c r="V698" i="1"/>
  <c r="U698" i="1"/>
  <c r="T698" i="1"/>
  <c r="S698" i="1"/>
  <c r="V697" i="1"/>
  <c r="U697" i="1"/>
  <c r="T697" i="1"/>
  <c r="S697" i="1"/>
  <c r="V696" i="1"/>
  <c r="U696" i="1"/>
  <c r="T696" i="1"/>
  <c r="S696" i="1"/>
  <c r="V695" i="1"/>
  <c r="U695" i="1"/>
  <c r="T695" i="1"/>
  <c r="S695" i="1"/>
  <c r="V694" i="1"/>
  <c r="U694" i="1"/>
  <c r="T694" i="1"/>
  <c r="S694" i="1"/>
  <c r="V693" i="1"/>
  <c r="U693" i="1"/>
  <c r="T693" i="1"/>
  <c r="S693" i="1"/>
  <c r="V692" i="1"/>
  <c r="U692" i="1"/>
  <c r="T692" i="1"/>
  <c r="S692" i="1"/>
  <c r="V691" i="1"/>
  <c r="U691" i="1"/>
  <c r="T691" i="1"/>
  <c r="S691" i="1"/>
  <c r="V690" i="1"/>
  <c r="U690" i="1"/>
  <c r="T690" i="1"/>
  <c r="S690" i="1"/>
  <c r="V689" i="1"/>
  <c r="U689" i="1"/>
  <c r="T689" i="1"/>
  <c r="S689" i="1"/>
  <c r="V688" i="1"/>
  <c r="U688" i="1"/>
  <c r="T688" i="1"/>
  <c r="S688" i="1"/>
  <c r="V687" i="1"/>
  <c r="U687" i="1"/>
  <c r="T687" i="1"/>
  <c r="S687" i="1"/>
  <c r="V686" i="1"/>
  <c r="U686" i="1"/>
  <c r="T686" i="1"/>
  <c r="S686" i="1"/>
  <c r="V685" i="1"/>
  <c r="U685" i="1"/>
  <c r="T685" i="1"/>
  <c r="S685" i="1"/>
  <c r="V684" i="1"/>
  <c r="U684" i="1"/>
  <c r="T684" i="1"/>
  <c r="S684" i="1"/>
  <c r="V683" i="1"/>
  <c r="U683" i="1"/>
  <c r="T683" i="1"/>
  <c r="S683" i="1"/>
  <c r="V682" i="1"/>
  <c r="U682" i="1"/>
  <c r="T682" i="1"/>
  <c r="S682" i="1"/>
  <c r="V681" i="1"/>
  <c r="U681" i="1"/>
  <c r="T681" i="1"/>
  <c r="S681" i="1"/>
  <c r="V680" i="1"/>
  <c r="T680" i="1"/>
  <c r="P680" i="1"/>
  <c r="S680" i="1" s="1"/>
  <c r="U680" i="1" s="1"/>
  <c r="N680" i="1"/>
  <c r="V679" i="1"/>
  <c r="T679" i="1"/>
  <c r="S679" i="1"/>
  <c r="U679" i="1" s="1"/>
  <c r="V678" i="1"/>
  <c r="T678" i="1"/>
  <c r="S678" i="1"/>
  <c r="U678" i="1" s="1"/>
  <c r="V677" i="1"/>
  <c r="T677" i="1"/>
  <c r="S677" i="1"/>
  <c r="U677" i="1" s="1"/>
  <c r="P676" i="1"/>
  <c r="S676" i="1" s="1"/>
  <c r="N676" i="1"/>
  <c r="V675" i="1"/>
  <c r="U675" i="1"/>
  <c r="T675" i="1"/>
  <c r="S675" i="1"/>
  <c r="V674" i="1"/>
  <c r="U674" i="1"/>
  <c r="T674" i="1"/>
  <c r="S674" i="1"/>
  <c r="V673" i="1"/>
  <c r="U673" i="1"/>
  <c r="T673" i="1"/>
  <c r="S673" i="1"/>
  <c r="T672" i="1"/>
  <c r="P672" i="1"/>
  <c r="S672" i="1" s="1"/>
  <c r="N672" i="1"/>
  <c r="V671" i="1"/>
  <c r="U671" i="1"/>
  <c r="T671" i="1"/>
  <c r="S671" i="1"/>
  <c r="T670" i="1"/>
  <c r="S670" i="1"/>
  <c r="U669" i="1"/>
  <c r="T669" i="1"/>
  <c r="S669" i="1"/>
  <c r="V669" i="1" s="1"/>
  <c r="V668" i="1"/>
  <c r="T668" i="1"/>
  <c r="S668" i="1"/>
  <c r="U668" i="1" s="1"/>
  <c r="V667" i="1"/>
  <c r="T667" i="1"/>
  <c r="S667" i="1"/>
  <c r="U667" i="1" s="1"/>
  <c r="V666" i="1"/>
  <c r="T666" i="1"/>
  <c r="S666" i="1"/>
  <c r="U666" i="1" s="1"/>
  <c r="U665" i="1"/>
  <c r="T665" i="1"/>
  <c r="S665" i="1"/>
  <c r="V665" i="1" s="1"/>
  <c r="V664" i="1"/>
  <c r="T664" i="1"/>
  <c r="S664" i="1"/>
  <c r="U664" i="1" s="1"/>
  <c r="T663" i="1"/>
  <c r="S663" i="1"/>
  <c r="V662" i="1"/>
  <c r="T662" i="1"/>
  <c r="S662" i="1"/>
  <c r="U662" i="1" s="1"/>
  <c r="V661" i="1"/>
  <c r="T661" i="1"/>
  <c r="S661" i="1"/>
  <c r="U661" i="1" s="1"/>
  <c r="T660" i="1"/>
  <c r="S660" i="1"/>
  <c r="T659" i="1"/>
  <c r="S659" i="1"/>
  <c r="V659" i="1" s="1"/>
  <c r="T658" i="1"/>
  <c r="S658" i="1"/>
  <c r="V657" i="1"/>
  <c r="U657" i="1"/>
  <c r="T657" i="1"/>
  <c r="S657" i="1"/>
  <c r="T656" i="1"/>
  <c r="S656" i="1"/>
  <c r="U656" i="1" s="1"/>
  <c r="T655" i="1"/>
  <c r="S655" i="1"/>
  <c r="T654" i="1"/>
  <c r="S654" i="1"/>
  <c r="U653" i="1"/>
  <c r="T653" i="1"/>
  <c r="S653" i="1"/>
  <c r="V653" i="1" s="1"/>
  <c r="T652" i="1"/>
  <c r="S652" i="1"/>
  <c r="V651" i="1"/>
  <c r="T651" i="1"/>
  <c r="S651" i="1"/>
  <c r="U651" i="1" s="1"/>
  <c r="V650" i="1"/>
  <c r="T650" i="1"/>
  <c r="S650" i="1"/>
  <c r="U650" i="1" s="1"/>
  <c r="T649" i="1"/>
  <c r="S649" i="1"/>
  <c r="V649" i="1" s="1"/>
  <c r="V648" i="1"/>
  <c r="T648" i="1"/>
  <c r="S648" i="1"/>
  <c r="U648" i="1" s="1"/>
  <c r="T647" i="1"/>
  <c r="S647" i="1"/>
  <c r="T646" i="1"/>
  <c r="S646" i="1"/>
  <c r="V645" i="1"/>
  <c r="T645" i="1"/>
  <c r="S645" i="1"/>
  <c r="U645" i="1" s="1"/>
  <c r="V644" i="1"/>
  <c r="T644" i="1"/>
  <c r="S644" i="1"/>
  <c r="U644" i="1" s="1"/>
  <c r="V643" i="1"/>
  <c r="U643" i="1"/>
  <c r="T643" i="1"/>
  <c r="S643" i="1"/>
  <c r="T642" i="1"/>
  <c r="S642" i="1"/>
  <c r="P642" i="1"/>
  <c r="N642" i="1"/>
  <c r="V641" i="1"/>
  <c r="U641" i="1"/>
  <c r="T641" i="1"/>
  <c r="S641" i="1"/>
  <c r="T640" i="1"/>
  <c r="S640" i="1"/>
  <c r="V640" i="1" s="1"/>
  <c r="T639" i="1"/>
  <c r="P639" i="1"/>
  <c r="S639" i="1" s="1"/>
  <c r="U639" i="1" s="1"/>
  <c r="N639" i="1"/>
  <c r="U638" i="1"/>
  <c r="T638" i="1"/>
  <c r="S638" i="1"/>
  <c r="V638" i="1" s="1"/>
  <c r="U637" i="1"/>
  <c r="T637" i="1"/>
  <c r="S637" i="1"/>
  <c r="V637" i="1" s="1"/>
  <c r="V636" i="1"/>
  <c r="U636" i="1"/>
  <c r="T636" i="1"/>
  <c r="S636" i="1"/>
  <c r="T635" i="1"/>
  <c r="S635" i="1"/>
  <c r="V635" i="1" s="1"/>
  <c r="T634" i="1"/>
  <c r="S634" i="1"/>
  <c r="U634" i="1" s="1"/>
  <c r="T633" i="1"/>
  <c r="S633" i="1"/>
  <c r="V632" i="1"/>
  <c r="U632" i="1"/>
  <c r="T632" i="1"/>
  <c r="S632" i="1"/>
  <c r="T631" i="1"/>
  <c r="S631" i="1"/>
  <c r="T630" i="1"/>
  <c r="S630" i="1"/>
  <c r="V630" i="1" s="1"/>
  <c r="U629" i="1"/>
  <c r="T629" i="1"/>
  <c r="S629" i="1"/>
  <c r="V629" i="1" s="1"/>
  <c r="V628" i="1"/>
  <c r="U628" i="1"/>
  <c r="T628" i="1"/>
  <c r="S628" i="1"/>
  <c r="U627" i="1"/>
  <c r="T627" i="1"/>
  <c r="S627" i="1"/>
  <c r="V627" i="1" s="1"/>
  <c r="N626" i="1"/>
  <c r="N725" i="1" s="1"/>
  <c r="R624" i="1"/>
  <c r="Q624" i="1"/>
  <c r="P624" i="1"/>
  <c r="O624" i="1"/>
  <c r="N624" i="1"/>
  <c r="M624" i="1"/>
  <c r="L624" i="1"/>
  <c r="K624" i="1"/>
  <c r="J624" i="1"/>
  <c r="I624" i="1"/>
  <c r="H624" i="1"/>
  <c r="G624" i="1"/>
  <c r="V623" i="1"/>
  <c r="U623" i="1"/>
  <c r="T623" i="1"/>
  <c r="S623" i="1"/>
  <c r="T622" i="1"/>
  <c r="S622" i="1"/>
  <c r="V622" i="1" s="1"/>
  <c r="V621" i="1"/>
  <c r="V624" i="1" s="1"/>
  <c r="U621" i="1"/>
  <c r="T621" i="1"/>
  <c r="T624" i="1" s="1"/>
  <c r="S621" i="1"/>
  <c r="R619" i="1"/>
  <c r="R756" i="1" s="1"/>
  <c r="Q619" i="1"/>
  <c r="O619" i="1"/>
  <c r="M619" i="1"/>
  <c r="L619" i="1"/>
  <c r="K619" i="1"/>
  <c r="I619" i="1"/>
  <c r="H619" i="1"/>
  <c r="G619" i="1"/>
  <c r="U618" i="1"/>
  <c r="T618" i="1"/>
  <c r="S618" i="1"/>
  <c r="V618" i="1" s="1"/>
  <c r="V617" i="1"/>
  <c r="T617" i="1"/>
  <c r="S617" i="1"/>
  <c r="U617" i="1" s="1"/>
  <c r="U616" i="1"/>
  <c r="S616" i="1"/>
  <c r="V616" i="1" s="1"/>
  <c r="P616" i="1"/>
  <c r="T616" i="1" s="1"/>
  <c r="T615" i="1"/>
  <c r="S615" i="1"/>
  <c r="V615" i="1" s="1"/>
  <c r="T614" i="1"/>
  <c r="S614" i="1"/>
  <c r="T613" i="1"/>
  <c r="S613" i="1"/>
  <c r="U613" i="1" s="1"/>
  <c r="T612" i="1"/>
  <c r="S612" i="1"/>
  <c r="U612" i="1" s="1"/>
  <c r="V611" i="1"/>
  <c r="U611" i="1"/>
  <c r="T611" i="1"/>
  <c r="S611" i="1"/>
  <c r="V610" i="1"/>
  <c r="T610" i="1"/>
  <c r="S610" i="1"/>
  <c r="U610" i="1" s="1"/>
  <c r="V609" i="1"/>
  <c r="U609" i="1"/>
  <c r="T609" i="1"/>
  <c r="S609" i="1"/>
  <c r="P609" i="1"/>
  <c r="N609" i="1"/>
  <c r="T608" i="1"/>
  <c r="S608" i="1"/>
  <c r="U608" i="1" s="1"/>
  <c r="V607" i="1"/>
  <c r="U607" i="1"/>
  <c r="T607" i="1"/>
  <c r="S607" i="1"/>
  <c r="T606" i="1"/>
  <c r="S606" i="1"/>
  <c r="U606" i="1" s="1"/>
  <c r="V605" i="1"/>
  <c r="U605" i="1"/>
  <c r="T605" i="1"/>
  <c r="S605" i="1"/>
  <c r="T604" i="1"/>
  <c r="S604" i="1"/>
  <c r="V603" i="1"/>
  <c r="U603" i="1"/>
  <c r="T603" i="1"/>
  <c r="S603" i="1"/>
  <c r="P602" i="1"/>
  <c r="T602" i="1" s="1"/>
  <c r="N602" i="1"/>
  <c r="T601" i="1"/>
  <c r="S601" i="1"/>
  <c r="U601" i="1" s="1"/>
  <c r="P600" i="1"/>
  <c r="T600" i="1" s="1"/>
  <c r="N600" i="1"/>
  <c r="V599" i="1"/>
  <c r="U599" i="1"/>
  <c r="T599" i="1"/>
  <c r="S599" i="1"/>
  <c r="V598" i="1"/>
  <c r="U598" i="1"/>
  <c r="T598" i="1"/>
  <c r="S598" i="1"/>
  <c r="V597" i="1"/>
  <c r="U597" i="1"/>
  <c r="T597" i="1"/>
  <c r="S597" i="1"/>
  <c r="U596" i="1"/>
  <c r="P596" i="1"/>
  <c r="S596" i="1" s="1"/>
  <c r="V596" i="1" s="1"/>
  <c r="N596" i="1"/>
  <c r="J596" i="1"/>
  <c r="J619" i="1" s="1"/>
  <c r="U595" i="1"/>
  <c r="T595" i="1"/>
  <c r="S595" i="1"/>
  <c r="V595" i="1" s="1"/>
  <c r="U594" i="1"/>
  <c r="T594" i="1"/>
  <c r="S594" i="1"/>
  <c r="V594" i="1" s="1"/>
  <c r="V593" i="1"/>
  <c r="T593" i="1"/>
  <c r="S593" i="1"/>
  <c r="U593" i="1" s="1"/>
  <c r="T592" i="1"/>
  <c r="S592" i="1"/>
  <c r="V591" i="1"/>
  <c r="T591" i="1"/>
  <c r="S591" i="1"/>
  <c r="U591" i="1" s="1"/>
  <c r="N590" i="1"/>
  <c r="T589" i="1"/>
  <c r="S589" i="1"/>
  <c r="U589" i="1" s="1"/>
  <c r="R587" i="1"/>
  <c r="Q587" i="1"/>
  <c r="O587" i="1"/>
  <c r="M587" i="1"/>
  <c r="L587" i="1"/>
  <c r="I587" i="1"/>
  <c r="V586" i="1"/>
  <c r="U586" i="1"/>
  <c r="T586" i="1"/>
  <c r="S586" i="1"/>
  <c r="P586" i="1"/>
  <c r="O586" i="1"/>
  <c r="N586" i="1"/>
  <c r="U585" i="1"/>
  <c r="T585" i="1"/>
  <c r="S585" i="1"/>
  <c r="V585" i="1" s="1"/>
  <c r="V584" i="1"/>
  <c r="U584" i="1"/>
  <c r="T584" i="1"/>
  <c r="S584" i="1"/>
  <c r="T583" i="1"/>
  <c r="S583" i="1"/>
  <c r="V583" i="1" s="1"/>
  <c r="V582" i="1"/>
  <c r="U582" i="1"/>
  <c r="T582" i="1"/>
  <c r="S582" i="1"/>
  <c r="T581" i="1"/>
  <c r="S581" i="1"/>
  <c r="V580" i="1"/>
  <c r="U580" i="1"/>
  <c r="T580" i="1"/>
  <c r="S580" i="1"/>
  <c r="T579" i="1"/>
  <c r="S579" i="1"/>
  <c r="V578" i="1"/>
  <c r="U578" i="1"/>
  <c r="T578" i="1"/>
  <c r="S578" i="1"/>
  <c r="U577" i="1"/>
  <c r="T577" i="1"/>
  <c r="S577" i="1"/>
  <c r="V577" i="1" s="1"/>
  <c r="V576" i="1"/>
  <c r="U576" i="1"/>
  <c r="T576" i="1"/>
  <c r="S576" i="1"/>
  <c r="U575" i="1"/>
  <c r="T575" i="1"/>
  <c r="S575" i="1"/>
  <c r="V575" i="1" s="1"/>
  <c r="V574" i="1"/>
  <c r="U574" i="1"/>
  <c r="T574" i="1"/>
  <c r="S574" i="1"/>
  <c r="U573" i="1"/>
  <c r="T573" i="1"/>
  <c r="S573" i="1"/>
  <c r="V573" i="1" s="1"/>
  <c r="V572" i="1"/>
  <c r="U572" i="1"/>
  <c r="T572" i="1"/>
  <c r="S572" i="1"/>
  <c r="T571" i="1"/>
  <c r="S571" i="1"/>
  <c r="V571" i="1" s="1"/>
  <c r="V570" i="1"/>
  <c r="U570" i="1"/>
  <c r="T570" i="1"/>
  <c r="S570" i="1"/>
  <c r="T569" i="1"/>
  <c r="S569" i="1"/>
  <c r="V569" i="1" s="1"/>
  <c r="V568" i="1"/>
  <c r="U568" i="1"/>
  <c r="T568" i="1"/>
  <c r="S568" i="1"/>
  <c r="U567" i="1"/>
  <c r="T567" i="1"/>
  <c r="S567" i="1"/>
  <c r="V567" i="1" s="1"/>
  <c r="V566" i="1"/>
  <c r="U566" i="1"/>
  <c r="T566" i="1"/>
  <c r="S566" i="1"/>
  <c r="K566" i="1"/>
  <c r="P565" i="1"/>
  <c r="T565" i="1" s="1"/>
  <c r="O565" i="1"/>
  <c r="T564" i="1"/>
  <c r="S564" i="1"/>
  <c r="V563" i="1"/>
  <c r="T563" i="1"/>
  <c r="S563" i="1"/>
  <c r="U563" i="1" s="1"/>
  <c r="U562" i="1"/>
  <c r="T562" i="1"/>
  <c r="S562" i="1"/>
  <c r="V562" i="1" s="1"/>
  <c r="O561" i="1"/>
  <c r="G23" i="7" s="1"/>
  <c r="G30" i="7" s="1"/>
  <c r="N561" i="1"/>
  <c r="T560" i="1"/>
  <c r="S560" i="1"/>
  <c r="T559" i="1"/>
  <c r="S559" i="1"/>
  <c r="U559" i="1" s="1"/>
  <c r="V558" i="1"/>
  <c r="U558" i="1"/>
  <c r="T558" i="1"/>
  <c r="S558" i="1"/>
  <c r="S557" i="1"/>
  <c r="U557" i="1" s="1"/>
  <c r="P557" i="1"/>
  <c r="T557" i="1" s="1"/>
  <c r="N557" i="1"/>
  <c r="N556" i="1"/>
  <c r="T555" i="1"/>
  <c r="S555" i="1"/>
  <c r="V555" i="1" s="1"/>
  <c r="T554" i="1"/>
  <c r="S554" i="1"/>
  <c r="P553" i="1"/>
  <c r="T553" i="1" s="1"/>
  <c r="N553" i="1"/>
  <c r="V552" i="1"/>
  <c r="T552" i="1"/>
  <c r="S552" i="1"/>
  <c r="U552" i="1" s="1"/>
  <c r="N551" i="1"/>
  <c r="S550" i="1"/>
  <c r="U550" i="1" s="1"/>
  <c r="P550" i="1"/>
  <c r="T550" i="1" s="1"/>
  <c r="N550" i="1"/>
  <c r="U549" i="1"/>
  <c r="T549" i="1"/>
  <c r="S549" i="1"/>
  <c r="V549" i="1" s="1"/>
  <c r="V548" i="1"/>
  <c r="U548" i="1"/>
  <c r="T548" i="1"/>
  <c r="S548" i="1"/>
  <c r="T547" i="1"/>
  <c r="S547" i="1"/>
  <c r="V547" i="1" s="1"/>
  <c r="V546" i="1"/>
  <c r="U546" i="1"/>
  <c r="T546" i="1"/>
  <c r="S546" i="1"/>
  <c r="S545" i="1"/>
  <c r="V545" i="1" s="1"/>
  <c r="P545" i="1"/>
  <c r="T545" i="1" s="1"/>
  <c r="N545" i="1"/>
  <c r="V544" i="1"/>
  <c r="T544" i="1"/>
  <c r="S544" i="1"/>
  <c r="U544" i="1" s="1"/>
  <c r="T543" i="1"/>
  <c r="S543" i="1"/>
  <c r="V543" i="1" s="1"/>
  <c r="V542" i="1"/>
  <c r="T542" i="1"/>
  <c r="S542" i="1"/>
  <c r="U542" i="1" s="1"/>
  <c r="P542" i="1"/>
  <c r="N542" i="1"/>
  <c r="V541" i="1"/>
  <c r="U541" i="1"/>
  <c r="T541" i="1"/>
  <c r="P541" i="1"/>
  <c r="S541" i="1" s="1"/>
  <c r="N541" i="1"/>
  <c r="N540" i="1"/>
  <c r="N539" i="1"/>
  <c r="S538" i="1"/>
  <c r="U538" i="1" s="1"/>
  <c r="P538" i="1"/>
  <c r="T538" i="1" s="1"/>
  <c r="N538" i="1"/>
  <c r="V537" i="1"/>
  <c r="U537" i="1"/>
  <c r="T537" i="1"/>
  <c r="S537" i="1"/>
  <c r="U536" i="1"/>
  <c r="T536" i="1"/>
  <c r="S536" i="1"/>
  <c r="V536" i="1" s="1"/>
  <c r="V535" i="1"/>
  <c r="U535" i="1"/>
  <c r="T535" i="1"/>
  <c r="S535" i="1"/>
  <c r="U534" i="1"/>
  <c r="T534" i="1"/>
  <c r="S534" i="1"/>
  <c r="V534" i="1" s="1"/>
  <c r="V533" i="1"/>
  <c r="U533" i="1"/>
  <c r="T533" i="1"/>
  <c r="S533" i="1"/>
  <c r="U532" i="1"/>
  <c r="T532" i="1"/>
  <c r="S532" i="1"/>
  <c r="V532" i="1" s="1"/>
  <c r="P531" i="1"/>
  <c r="V530" i="1"/>
  <c r="U530" i="1"/>
  <c r="T530" i="1"/>
  <c r="S530" i="1"/>
  <c r="U529" i="1"/>
  <c r="T529" i="1"/>
  <c r="S529" i="1"/>
  <c r="V529" i="1" s="1"/>
  <c r="N528" i="1"/>
  <c r="U527" i="1"/>
  <c r="T527" i="1"/>
  <c r="S527" i="1"/>
  <c r="V527" i="1" s="1"/>
  <c r="V526" i="1"/>
  <c r="U526" i="1"/>
  <c r="T526" i="1"/>
  <c r="S526" i="1"/>
  <c r="U525" i="1"/>
  <c r="T525" i="1"/>
  <c r="S525" i="1"/>
  <c r="V525" i="1" s="1"/>
  <c r="T524" i="1"/>
  <c r="S524" i="1"/>
  <c r="V524" i="1" s="1"/>
  <c r="T523" i="1"/>
  <c r="S523" i="1"/>
  <c r="P523" i="1"/>
  <c r="N523" i="1"/>
  <c r="V522" i="1"/>
  <c r="U522" i="1"/>
  <c r="T522" i="1"/>
  <c r="S522" i="1"/>
  <c r="V521" i="1"/>
  <c r="U521" i="1"/>
  <c r="T521" i="1"/>
  <c r="S521" i="1"/>
  <c r="V520" i="1"/>
  <c r="U520" i="1"/>
  <c r="T520" i="1"/>
  <c r="S520" i="1"/>
  <c r="V519" i="1"/>
  <c r="U519" i="1"/>
  <c r="T519" i="1"/>
  <c r="S519" i="1"/>
  <c r="S518" i="1"/>
  <c r="V518" i="1" s="1"/>
  <c r="P518" i="1"/>
  <c r="T518" i="1" s="1"/>
  <c r="N518" i="1"/>
  <c r="V517" i="1"/>
  <c r="U517" i="1"/>
  <c r="T517" i="1"/>
  <c r="S517" i="1"/>
  <c r="U516" i="1"/>
  <c r="T516" i="1"/>
  <c r="S516" i="1"/>
  <c r="V516" i="1" s="1"/>
  <c r="V515" i="1"/>
  <c r="U515" i="1"/>
  <c r="T515" i="1"/>
  <c r="S515" i="1"/>
  <c r="P515" i="1"/>
  <c r="S514" i="1"/>
  <c r="V514" i="1" s="1"/>
  <c r="P514" i="1"/>
  <c r="T514" i="1" s="1"/>
  <c r="N514" i="1"/>
  <c r="V513" i="1"/>
  <c r="T513" i="1"/>
  <c r="S513" i="1"/>
  <c r="U513" i="1" s="1"/>
  <c r="T512" i="1"/>
  <c r="S512" i="1"/>
  <c r="U512" i="1" s="1"/>
  <c r="T511" i="1"/>
  <c r="S511" i="1"/>
  <c r="U511" i="1" s="1"/>
  <c r="P510" i="1"/>
  <c r="T510" i="1" s="1"/>
  <c r="N510" i="1"/>
  <c r="V509" i="1"/>
  <c r="U509" i="1"/>
  <c r="T509" i="1"/>
  <c r="S509" i="1"/>
  <c r="V508" i="1"/>
  <c r="U508" i="1"/>
  <c r="T508" i="1"/>
  <c r="S508" i="1"/>
  <c r="V507" i="1"/>
  <c r="U507" i="1"/>
  <c r="T507" i="1"/>
  <c r="S507" i="1"/>
  <c r="V506" i="1"/>
  <c r="U506" i="1"/>
  <c r="T506" i="1"/>
  <c r="S506" i="1"/>
  <c r="N505" i="1"/>
  <c r="T504" i="1"/>
  <c r="S504" i="1"/>
  <c r="U504" i="1" s="1"/>
  <c r="V503" i="1"/>
  <c r="U503" i="1"/>
  <c r="T503" i="1"/>
  <c r="S503" i="1"/>
  <c r="T502" i="1"/>
  <c r="S502" i="1"/>
  <c r="U501" i="1"/>
  <c r="T501" i="1"/>
  <c r="S501" i="1"/>
  <c r="V501" i="1" s="1"/>
  <c r="P501" i="1"/>
  <c r="N501" i="1"/>
  <c r="T500" i="1"/>
  <c r="S500" i="1"/>
  <c r="V500" i="1" s="1"/>
  <c r="V499" i="1"/>
  <c r="U499" i="1"/>
  <c r="T499" i="1"/>
  <c r="S499" i="1"/>
  <c r="T498" i="1"/>
  <c r="S498" i="1"/>
  <c r="V498" i="1" s="1"/>
  <c r="P497" i="1"/>
  <c r="N497" i="1"/>
  <c r="S496" i="1"/>
  <c r="V496" i="1" s="1"/>
  <c r="K496" i="1"/>
  <c r="T496" i="1" s="1"/>
  <c r="H496" i="1"/>
  <c r="T495" i="1"/>
  <c r="S495" i="1"/>
  <c r="N494" i="1"/>
  <c r="T493" i="1"/>
  <c r="S493" i="1"/>
  <c r="V492" i="1"/>
  <c r="T492" i="1"/>
  <c r="P492" i="1"/>
  <c r="S492" i="1" s="1"/>
  <c r="U492" i="1" s="1"/>
  <c r="N492" i="1"/>
  <c r="P491" i="1"/>
  <c r="S491" i="1" s="1"/>
  <c r="H491" i="1"/>
  <c r="T490" i="1"/>
  <c r="S490" i="1"/>
  <c r="V490" i="1" s="1"/>
  <c r="P489" i="1"/>
  <c r="T489" i="1" s="1"/>
  <c r="N489" i="1"/>
  <c r="V488" i="1"/>
  <c r="U488" i="1"/>
  <c r="T488" i="1"/>
  <c r="S488" i="1"/>
  <c r="V487" i="1"/>
  <c r="U487" i="1"/>
  <c r="T487" i="1"/>
  <c r="S487" i="1"/>
  <c r="V486" i="1"/>
  <c r="U486" i="1"/>
  <c r="T486" i="1"/>
  <c r="S486" i="1"/>
  <c r="V485" i="1"/>
  <c r="U485" i="1"/>
  <c r="T485" i="1"/>
  <c r="S485" i="1"/>
  <c r="V484" i="1"/>
  <c r="U484" i="1"/>
  <c r="T484" i="1"/>
  <c r="S484" i="1"/>
  <c r="V483" i="1"/>
  <c r="U483" i="1"/>
  <c r="T483" i="1"/>
  <c r="S483" i="1"/>
  <c r="V482" i="1"/>
  <c r="U482" i="1"/>
  <c r="T482" i="1"/>
  <c r="P482" i="1"/>
  <c r="S482" i="1" s="1"/>
  <c r="N482" i="1"/>
  <c r="T481" i="1"/>
  <c r="S481" i="1"/>
  <c r="V481" i="1" s="1"/>
  <c r="V480" i="1"/>
  <c r="T480" i="1"/>
  <c r="S480" i="1"/>
  <c r="U480" i="1" s="1"/>
  <c r="N479" i="1"/>
  <c r="K479" i="1"/>
  <c r="K587" i="1" s="1"/>
  <c r="T478" i="1"/>
  <c r="S478" i="1"/>
  <c r="U478" i="1" s="1"/>
  <c r="T477" i="1"/>
  <c r="S477" i="1"/>
  <c r="V477" i="1" s="1"/>
  <c r="V476" i="1"/>
  <c r="U476" i="1"/>
  <c r="T476" i="1"/>
  <c r="S476" i="1"/>
  <c r="P476" i="1"/>
  <c r="T475" i="1"/>
  <c r="S475" i="1"/>
  <c r="U475" i="1" s="1"/>
  <c r="V474" i="1"/>
  <c r="U474" i="1"/>
  <c r="T474" i="1"/>
  <c r="S474" i="1"/>
  <c r="U473" i="1"/>
  <c r="T473" i="1"/>
  <c r="S473" i="1"/>
  <c r="V473" i="1" s="1"/>
  <c r="V472" i="1"/>
  <c r="U472" i="1"/>
  <c r="T472" i="1"/>
  <c r="S472" i="1"/>
  <c r="S471" i="1"/>
  <c r="P471" i="1"/>
  <c r="T471" i="1" s="1"/>
  <c r="N471" i="1"/>
  <c r="J471" i="1"/>
  <c r="J587" i="1" s="1"/>
  <c r="I471" i="1"/>
  <c r="H471" i="1"/>
  <c r="G471" i="1"/>
  <c r="G587" i="1" s="1"/>
  <c r="P470" i="1"/>
  <c r="T470" i="1" s="1"/>
  <c r="N470" i="1"/>
  <c r="T469" i="1"/>
  <c r="S469" i="1"/>
  <c r="V468" i="1"/>
  <c r="U468" i="1"/>
  <c r="T468" i="1"/>
  <c r="S468" i="1"/>
  <c r="U467" i="1"/>
  <c r="T467" i="1"/>
  <c r="S467" i="1"/>
  <c r="V467" i="1" s="1"/>
  <c r="T466" i="1"/>
  <c r="S466" i="1"/>
  <c r="V466" i="1" s="1"/>
  <c r="U465" i="1"/>
  <c r="T465" i="1"/>
  <c r="S465" i="1"/>
  <c r="V465" i="1" s="1"/>
  <c r="U464" i="1"/>
  <c r="T464" i="1"/>
  <c r="S464" i="1"/>
  <c r="V464" i="1" s="1"/>
  <c r="O464" i="1"/>
  <c r="V463" i="1"/>
  <c r="U463" i="1"/>
  <c r="T463" i="1"/>
  <c r="S463" i="1"/>
  <c r="V462" i="1"/>
  <c r="U462" i="1"/>
  <c r="T462" i="1"/>
  <c r="S462" i="1"/>
  <c r="V461" i="1"/>
  <c r="U461" i="1"/>
  <c r="T461" i="1"/>
  <c r="S461" i="1"/>
  <c r="V460" i="1"/>
  <c r="U460" i="1"/>
  <c r="T460" i="1"/>
  <c r="S460" i="1"/>
  <c r="V459" i="1"/>
  <c r="U459" i="1"/>
  <c r="T459" i="1"/>
  <c r="S459" i="1"/>
  <c r="V458" i="1"/>
  <c r="U458" i="1"/>
  <c r="T458" i="1"/>
  <c r="S458" i="1"/>
  <c r="V457" i="1"/>
  <c r="U457" i="1"/>
  <c r="T457" i="1"/>
  <c r="S457" i="1"/>
  <c r="V456" i="1"/>
  <c r="U456" i="1"/>
  <c r="T456" i="1"/>
  <c r="S456" i="1"/>
  <c r="V455" i="1"/>
  <c r="U455" i="1"/>
  <c r="T455" i="1"/>
  <c r="S455" i="1"/>
  <c r="P454" i="1"/>
  <c r="N454" i="1"/>
  <c r="N587" i="1" s="1"/>
  <c r="R452" i="1"/>
  <c r="Q452" i="1"/>
  <c r="O452" i="1"/>
  <c r="N452" i="1"/>
  <c r="M452" i="1"/>
  <c r="L452" i="1"/>
  <c r="K452" i="1"/>
  <c r="J452" i="1"/>
  <c r="I452" i="1"/>
  <c r="H452" i="1"/>
  <c r="G452" i="1"/>
  <c r="V451" i="1"/>
  <c r="T451" i="1"/>
  <c r="S451" i="1"/>
  <c r="U451" i="1" s="1"/>
  <c r="T450" i="1"/>
  <c r="S450" i="1"/>
  <c r="U450" i="1" s="1"/>
  <c r="V449" i="1"/>
  <c r="U449" i="1"/>
  <c r="T449" i="1"/>
  <c r="S449" i="1"/>
  <c r="V448" i="1"/>
  <c r="T448" i="1"/>
  <c r="S448" i="1"/>
  <c r="U448" i="1" s="1"/>
  <c r="V447" i="1"/>
  <c r="U447" i="1"/>
  <c r="T447" i="1"/>
  <c r="S447" i="1"/>
  <c r="P446" i="1"/>
  <c r="P452" i="1" s="1"/>
  <c r="N446" i="1"/>
  <c r="V445" i="1"/>
  <c r="U445" i="1"/>
  <c r="T445" i="1"/>
  <c r="S445" i="1"/>
  <c r="V444" i="1"/>
  <c r="U444" i="1"/>
  <c r="T444" i="1"/>
  <c r="S444" i="1"/>
  <c r="T443" i="1"/>
  <c r="P443" i="1"/>
  <c r="N443" i="1"/>
  <c r="K20" i="7" s="1"/>
  <c r="R441" i="1"/>
  <c r="Q441" i="1"/>
  <c r="O441" i="1"/>
  <c r="N441" i="1"/>
  <c r="M441" i="1"/>
  <c r="L441" i="1"/>
  <c r="K441" i="1"/>
  <c r="J441" i="1"/>
  <c r="I441" i="1"/>
  <c r="H441" i="1"/>
  <c r="G441" i="1"/>
  <c r="N440" i="1"/>
  <c r="T439" i="1"/>
  <c r="S439" i="1"/>
  <c r="V439" i="1" s="1"/>
  <c r="P438" i="1"/>
  <c r="T437" i="1"/>
  <c r="S437" i="1"/>
  <c r="V437" i="1" s="1"/>
  <c r="V436" i="1"/>
  <c r="U436" i="1"/>
  <c r="T436" i="1"/>
  <c r="S436" i="1"/>
  <c r="U435" i="1"/>
  <c r="T435" i="1"/>
  <c r="S435" i="1"/>
  <c r="V435" i="1" s="1"/>
  <c r="R433" i="1"/>
  <c r="Q433" i="1"/>
  <c r="P433" i="1"/>
  <c r="N433" i="1"/>
  <c r="M433" i="1"/>
  <c r="L433" i="1"/>
  <c r="K433" i="1"/>
  <c r="J433" i="1"/>
  <c r="I433" i="1"/>
  <c r="H433" i="1"/>
  <c r="G433" i="1"/>
  <c r="V432" i="1"/>
  <c r="U432" i="1"/>
  <c r="T432" i="1"/>
  <c r="T431" i="1"/>
  <c r="S431" i="1"/>
  <c r="V431" i="1" s="1"/>
  <c r="O431" i="1"/>
  <c r="V430" i="1"/>
  <c r="U430" i="1"/>
  <c r="T430" i="1"/>
  <c r="S430" i="1"/>
  <c r="O430" i="1"/>
  <c r="T429" i="1"/>
  <c r="S429" i="1"/>
  <c r="V429" i="1" s="1"/>
  <c r="T428" i="1"/>
  <c r="S428" i="1"/>
  <c r="U428" i="1" s="1"/>
  <c r="V427" i="1"/>
  <c r="T427" i="1"/>
  <c r="S427" i="1"/>
  <c r="U427" i="1" s="1"/>
  <c r="O427" i="1"/>
  <c r="O433" i="1" s="1"/>
  <c r="R425" i="1"/>
  <c r="Q425" i="1"/>
  <c r="P425" i="1"/>
  <c r="O425" i="1"/>
  <c r="N425" i="1"/>
  <c r="M425" i="1"/>
  <c r="L425" i="1"/>
  <c r="K425" i="1"/>
  <c r="J425" i="1"/>
  <c r="I425" i="1"/>
  <c r="H425" i="1"/>
  <c r="G425" i="1"/>
  <c r="T424" i="1"/>
  <c r="S424" i="1"/>
  <c r="V424" i="1" s="1"/>
  <c r="U423" i="1"/>
  <c r="T423" i="1"/>
  <c r="S423" i="1"/>
  <c r="V423" i="1" s="1"/>
  <c r="V422" i="1"/>
  <c r="U422" i="1"/>
  <c r="T422" i="1"/>
  <c r="V421" i="1"/>
  <c r="T421" i="1"/>
  <c r="T425" i="1" s="1"/>
  <c r="S421" i="1"/>
  <c r="U421" i="1" s="1"/>
  <c r="R419" i="1"/>
  <c r="Q419" i="1"/>
  <c r="P419" i="1"/>
  <c r="M419" i="1"/>
  <c r="L419" i="1"/>
  <c r="K419" i="1"/>
  <c r="J419" i="1"/>
  <c r="I419" i="1"/>
  <c r="H419" i="1"/>
  <c r="G419" i="1"/>
  <c r="V418" i="1"/>
  <c r="T418" i="1"/>
  <c r="S418" i="1"/>
  <c r="U418" i="1" s="1"/>
  <c r="T417" i="1"/>
  <c r="S417" i="1"/>
  <c r="U417" i="1" s="1"/>
  <c r="T416" i="1"/>
  <c r="S416" i="1"/>
  <c r="V416" i="1" s="1"/>
  <c r="T415" i="1"/>
  <c r="S415" i="1"/>
  <c r="U415" i="1" s="1"/>
  <c r="V413" i="1"/>
  <c r="U413" i="1"/>
  <c r="T413" i="1"/>
  <c r="S413" i="1"/>
  <c r="V412" i="1"/>
  <c r="T412" i="1"/>
  <c r="S412" i="1"/>
  <c r="U412" i="1" s="1"/>
  <c r="U411" i="1"/>
  <c r="T411" i="1"/>
  <c r="S411" i="1"/>
  <c r="V411" i="1" s="1"/>
  <c r="T410" i="1"/>
  <c r="S410" i="1"/>
  <c r="U410" i="1" s="1"/>
  <c r="V409" i="1"/>
  <c r="U409" i="1"/>
  <c r="T409" i="1"/>
  <c r="S409" i="1"/>
  <c r="T408" i="1"/>
  <c r="S408" i="1"/>
  <c r="U408" i="1" s="1"/>
  <c r="T407" i="1"/>
  <c r="S407" i="1"/>
  <c r="V407" i="1" s="1"/>
  <c r="V406" i="1"/>
  <c r="T406" i="1"/>
  <c r="S406" i="1"/>
  <c r="U406" i="1" s="1"/>
  <c r="V405" i="1"/>
  <c r="T405" i="1"/>
  <c r="S405" i="1"/>
  <c r="U405" i="1" s="1"/>
  <c r="O405" i="1"/>
  <c r="O419" i="1" s="1"/>
  <c r="U404" i="1"/>
  <c r="T404" i="1"/>
  <c r="S404" i="1"/>
  <c r="V404" i="1" s="1"/>
  <c r="V403" i="1"/>
  <c r="T403" i="1"/>
  <c r="S403" i="1"/>
  <c r="U403" i="1" s="1"/>
  <c r="U402" i="1"/>
  <c r="T402" i="1"/>
  <c r="S402" i="1"/>
  <c r="V402" i="1" s="1"/>
  <c r="U401" i="1"/>
  <c r="T401" i="1"/>
  <c r="S401" i="1"/>
  <c r="V401" i="1" s="1"/>
  <c r="P401" i="1"/>
  <c r="N401" i="1"/>
  <c r="N419" i="1" s="1"/>
  <c r="T400" i="1"/>
  <c r="S400" i="1"/>
  <c r="V400" i="1" s="1"/>
  <c r="T399" i="1"/>
  <c r="S399" i="1"/>
  <c r="V399" i="1" s="1"/>
  <c r="T398" i="1"/>
  <c r="S398" i="1"/>
  <c r="V398" i="1" s="1"/>
  <c r="T397" i="1"/>
  <c r="S397" i="1"/>
  <c r="V397" i="1" s="1"/>
  <c r="S396" i="1"/>
  <c r="S419" i="1" s="1"/>
  <c r="P396" i="1"/>
  <c r="L16" i="7" s="1"/>
  <c r="N396" i="1"/>
  <c r="R394" i="1"/>
  <c r="Q394" i="1"/>
  <c r="P394" i="1"/>
  <c r="O394" i="1"/>
  <c r="M394" i="1"/>
  <c r="L394" i="1"/>
  <c r="K394" i="1"/>
  <c r="J394" i="1"/>
  <c r="I394" i="1"/>
  <c r="H394" i="1"/>
  <c r="G394" i="1"/>
  <c r="T393" i="1"/>
  <c r="S393" i="1"/>
  <c r="V393" i="1" s="1"/>
  <c r="V392" i="1"/>
  <c r="U392" i="1"/>
  <c r="T392" i="1"/>
  <c r="S392" i="1"/>
  <c r="U391" i="1"/>
  <c r="T391" i="1"/>
  <c r="S391" i="1"/>
  <c r="V391" i="1" s="1"/>
  <c r="U390" i="1"/>
  <c r="T390" i="1"/>
  <c r="S390" i="1"/>
  <c r="V390" i="1" s="1"/>
  <c r="P390" i="1"/>
  <c r="N390" i="1"/>
  <c r="T389" i="1"/>
  <c r="S389" i="1"/>
  <c r="V389" i="1" s="1"/>
  <c r="T388" i="1"/>
  <c r="S388" i="1"/>
  <c r="V388" i="1" s="1"/>
  <c r="T387" i="1"/>
  <c r="S387" i="1"/>
  <c r="V387" i="1" s="1"/>
  <c r="T386" i="1"/>
  <c r="S386" i="1"/>
  <c r="V386" i="1" s="1"/>
  <c r="T385" i="1"/>
  <c r="S385" i="1"/>
  <c r="V385" i="1" s="1"/>
  <c r="T384" i="1"/>
  <c r="S384" i="1"/>
  <c r="V384" i="1" s="1"/>
  <c r="T383" i="1"/>
  <c r="S383" i="1"/>
  <c r="V383" i="1" s="1"/>
  <c r="P383" i="1"/>
  <c r="L15" i="7" s="1"/>
  <c r="N383" i="1"/>
  <c r="T382" i="1"/>
  <c r="T394" i="1" s="1"/>
  <c r="S382" i="1"/>
  <c r="V382" i="1" s="1"/>
  <c r="R380" i="1"/>
  <c r="Q380" i="1"/>
  <c r="M380" i="1"/>
  <c r="L380" i="1"/>
  <c r="K380" i="1"/>
  <c r="J380" i="1"/>
  <c r="I380" i="1"/>
  <c r="H380" i="1"/>
  <c r="G380" i="1"/>
  <c r="V379" i="1"/>
  <c r="U379" i="1"/>
  <c r="T379" i="1"/>
  <c r="S379" i="1"/>
  <c r="V378" i="1"/>
  <c r="U378" i="1"/>
  <c r="T378" i="1"/>
  <c r="T377" i="1"/>
  <c r="S377" i="1"/>
  <c r="V377" i="1" s="1"/>
  <c r="V376" i="1"/>
  <c r="T376" i="1"/>
  <c r="S376" i="1"/>
  <c r="U376" i="1" s="1"/>
  <c r="V375" i="1"/>
  <c r="T375" i="1"/>
  <c r="S375" i="1"/>
  <c r="U375" i="1" s="1"/>
  <c r="V374" i="1"/>
  <c r="T374" i="1"/>
  <c r="S374" i="1"/>
  <c r="U374" i="1" s="1"/>
  <c r="P373" i="1"/>
  <c r="T373" i="1" s="1"/>
  <c r="N373" i="1"/>
  <c r="T372" i="1"/>
  <c r="S372" i="1"/>
  <c r="V372" i="1" s="1"/>
  <c r="P371" i="1"/>
  <c r="S371" i="1" s="1"/>
  <c r="V371" i="1" s="1"/>
  <c r="N371" i="1"/>
  <c r="V370" i="1"/>
  <c r="T370" i="1"/>
  <c r="S370" i="1"/>
  <c r="U370" i="1" s="1"/>
  <c r="T369" i="1"/>
  <c r="S369" i="1"/>
  <c r="U369" i="1" s="1"/>
  <c r="T368" i="1"/>
  <c r="S368" i="1"/>
  <c r="V368" i="1" s="1"/>
  <c r="T367" i="1"/>
  <c r="S367" i="1"/>
  <c r="U367" i="1" s="1"/>
  <c r="V366" i="1"/>
  <c r="U366" i="1"/>
  <c r="T366" i="1"/>
  <c r="S366" i="1"/>
  <c r="V365" i="1"/>
  <c r="T365" i="1"/>
  <c r="S365" i="1"/>
  <c r="U365" i="1" s="1"/>
  <c r="U364" i="1"/>
  <c r="T364" i="1"/>
  <c r="S364" i="1"/>
  <c r="V364" i="1" s="1"/>
  <c r="T363" i="1"/>
  <c r="S363" i="1"/>
  <c r="U363" i="1" s="1"/>
  <c r="T362" i="1"/>
  <c r="P362" i="1"/>
  <c r="S362" i="1" s="1"/>
  <c r="O361" i="1"/>
  <c r="G14" i="7" s="1"/>
  <c r="N361" i="1"/>
  <c r="K14" i="7" s="1"/>
  <c r="V360" i="1"/>
  <c r="T360" i="1"/>
  <c r="S360" i="1"/>
  <c r="U360" i="1" s="1"/>
  <c r="V359" i="1"/>
  <c r="T359" i="1"/>
  <c r="S359" i="1"/>
  <c r="U359" i="1" s="1"/>
  <c r="R357" i="1"/>
  <c r="Q357" i="1"/>
  <c r="N357" i="1"/>
  <c r="M357" i="1"/>
  <c r="L357" i="1"/>
  <c r="J357" i="1"/>
  <c r="I357" i="1"/>
  <c r="H357" i="1"/>
  <c r="G357" i="1"/>
  <c r="T356" i="1"/>
  <c r="P356" i="1"/>
  <c r="S356" i="1" s="1"/>
  <c r="N356" i="1"/>
  <c r="V355" i="1"/>
  <c r="U355" i="1"/>
  <c r="T355" i="1"/>
  <c r="S355" i="1"/>
  <c r="V354" i="1"/>
  <c r="U354" i="1"/>
  <c r="T354" i="1"/>
  <c r="S354" i="1"/>
  <c r="V353" i="1"/>
  <c r="U353" i="1"/>
  <c r="T353" i="1"/>
  <c r="S353" i="1"/>
  <c r="N352" i="1"/>
  <c r="T351" i="1"/>
  <c r="S351" i="1"/>
  <c r="U351" i="1" s="1"/>
  <c r="T350" i="1"/>
  <c r="S350" i="1"/>
  <c r="V350" i="1" s="1"/>
  <c r="T349" i="1"/>
  <c r="S349" i="1"/>
  <c r="U349" i="1" s="1"/>
  <c r="V348" i="1"/>
  <c r="U348" i="1"/>
  <c r="T348" i="1"/>
  <c r="S348" i="1"/>
  <c r="V347" i="1"/>
  <c r="S347" i="1"/>
  <c r="O347" i="1"/>
  <c r="K347" i="1"/>
  <c r="T347" i="1" s="1"/>
  <c r="H347" i="1"/>
  <c r="V346" i="1"/>
  <c r="T346" i="1"/>
  <c r="S346" i="1"/>
  <c r="U346" i="1" s="1"/>
  <c r="T345" i="1"/>
  <c r="P345" i="1"/>
  <c r="S345" i="1" s="1"/>
  <c r="T344" i="1"/>
  <c r="S344" i="1"/>
  <c r="U344" i="1" s="1"/>
  <c r="V343" i="1"/>
  <c r="U343" i="1"/>
  <c r="T343" i="1"/>
  <c r="S343" i="1"/>
  <c r="T342" i="1"/>
  <c r="S342" i="1"/>
  <c r="U342" i="1" s="1"/>
  <c r="T341" i="1"/>
  <c r="S341" i="1"/>
  <c r="V341" i="1" s="1"/>
  <c r="V340" i="1"/>
  <c r="T340" i="1"/>
  <c r="S340" i="1"/>
  <c r="U340" i="1" s="1"/>
  <c r="V339" i="1"/>
  <c r="T339" i="1"/>
  <c r="S339" i="1"/>
  <c r="U339" i="1" s="1"/>
  <c r="V338" i="1"/>
  <c r="T338" i="1"/>
  <c r="S338" i="1"/>
  <c r="U338" i="1" s="1"/>
  <c r="P337" i="1"/>
  <c r="T337" i="1" s="1"/>
  <c r="N337" i="1"/>
  <c r="T336" i="1"/>
  <c r="S336" i="1"/>
  <c r="V336" i="1" s="1"/>
  <c r="V335" i="1"/>
  <c r="U335" i="1"/>
  <c r="T335" i="1"/>
  <c r="S335" i="1"/>
  <c r="T334" i="1"/>
  <c r="S334" i="1"/>
  <c r="V334" i="1" s="1"/>
  <c r="V333" i="1"/>
  <c r="U333" i="1"/>
  <c r="T333" i="1"/>
  <c r="S333" i="1"/>
  <c r="X332" i="1"/>
  <c r="V332" i="1"/>
  <c r="T332" i="1"/>
  <c r="S332" i="1"/>
  <c r="U332" i="1" s="1"/>
  <c r="V331" i="1"/>
  <c r="U331" i="1"/>
  <c r="T331" i="1"/>
  <c r="S331" i="1"/>
  <c r="V330" i="1"/>
  <c r="T330" i="1"/>
  <c r="S330" i="1"/>
  <c r="U330" i="1" s="1"/>
  <c r="O329" i="1"/>
  <c r="G13" i="7" s="1"/>
  <c r="G21" i="7" s="1"/>
  <c r="N329" i="1"/>
  <c r="R327" i="1"/>
  <c r="Q327" i="1"/>
  <c r="O327" i="1"/>
  <c r="N327" i="1"/>
  <c r="M327" i="1"/>
  <c r="L327" i="1"/>
  <c r="K327" i="1"/>
  <c r="J327" i="1"/>
  <c r="I327" i="1"/>
  <c r="H327" i="1"/>
  <c r="G327" i="1"/>
  <c r="U326" i="1"/>
  <c r="U327" i="1" s="1"/>
  <c r="P326" i="1"/>
  <c r="S326" i="1" s="1"/>
  <c r="S327" i="1" s="1"/>
  <c r="R324" i="1"/>
  <c r="Q324" i="1"/>
  <c r="P324" i="1"/>
  <c r="N324" i="1"/>
  <c r="M324" i="1"/>
  <c r="L324" i="1"/>
  <c r="K324" i="1"/>
  <c r="J324" i="1"/>
  <c r="I324" i="1"/>
  <c r="H324" i="1"/>
  <c r="G324" i="1"/>
  <c r="U323" i="1"/>
  <c r="T323" i="1"/>
  <c r="S323" i="1"/>
  <c r="V323" i="1" s="1"/>
  <c r="U322" i="1"/>
  <c r="U324" i="1" s="1"/>
  <c r="T322" i="1"/>
  <c r="S322" i="1"/>
  <c r="V322" i="1" s="1"/>
  <c r="O322" i="1"/>
  <c r="O324" i="1" s="1"/>
  <c r="V321" i="1"/>
  <c r="V324" i="1" s="1"/>
  <c r="U321" i="1"/>
  <c r="T321" i="1"/>
  <c r="T324" i="1" s="1"/>
  <c r="S321" i="1"/>
  <c r="R319" i="1"/>
  <c r="Q319" i="1"/>
  <c r="M319" i="1"/>
  <c r="L319" i="1"/>
  <c r="K319" i="1"/>
  <c r="J319" i="1"/>
  <c r="I319" i="1"/>
  <c r="H319" i="1"/>
  <c r="G319" i="1"/>
  <c r="T318" i="1"/>
  <c r="S318" i="1"/>
  <c r="U318" i="1" s="1"/>
  <c r="U317" i="1"/>
  <c r="T317" i="1"/>
  <c r="S317" i="1"/>
  <c r="V317" i="1" s="1"/>
  <c r="T316" i="1"/>
  <c r="S316" i="1"/>
  <c r="V316" i="1" s="1"/>
  <c r="V315" i="1"/>
  <c r="U315" i="1"/>
  <c r="T315" i="1"/>
  <c r="S315" i="1"/>
  <c r="T314" i="1"/>
  <c r="S314" i="1"/>
  <c r="V314" i="1" s="1"/>
  <c r="T313" i="1"/>
  <c r="S313" i="1"/>
  <c r="V313" i="1" s="1"/>
  <c r="P313" i="1"/>
  <c r="N313" i="1"/>
  <c r="P312" i="1"/>
  <c r="T312" i="1" s="1"/>
  <c r="N312" i="1"/>
  <c r="P311" i="1"/>
  <c r="T311" i="1" s="1"/>
  <c r="O311" i="1"/>
  <c r="V310" i="1"/>
  <c r="U310" i="1"/>
  <c r="T310" i="1"/>
  <c r="S310" i="1"/>
  <c r="V309" i="1"/>
  <c r="T309" i="1"/>
  <c r="S309" i="1"/>
  <c r="U309" i="1" s="1"/>
  <c r="V308" i="1"/>
  <c r="U308" i="1"/>
  <c r="T308" i="1"/>
  <c r="S308" i="1"/>
  <c r="V307" i="1"/>
  <c r="T307" i="1"/>
  <c r="S307" i="1"/>
  <c r="U307" i="1" s="1"/>
  <c r="V306" i="1"/>
  <c r="U306" i="1"/>
  <c r="T306" i="1"/>
  <c r="S306" i="1"/>
  <c r="V305" i="1"/>
  <c r="T305" i="1"/>
  <c r="S305" i="1"/>
  <c r="U305" i="1" s="1"/>
  <c r="V304" i="1"/>
  <c r="U304" i="1"/>
  <c r="T304" i="1"/>
  <c r="S304" i="1"/>
  <c r="T303" i="1"/>
  <c r="P303" i="1"/>
  <c r="S303" i="1" s="1"/>
  <c r="T302" i="1"/>
  <c r="P302" i="1"/>
  <c r="L10" i="7" s="1"/>
  <c r="N302" i="1"/>
  <c r="R300" i="1"/>
  <c r="Q300" i="1"/>
  <c r="M300" i="1"/>
  <c r="L300" i="1"/>
  <c r="I300" i="1"/>
  <c r="G300" i="1"/>
  <c r="V299" i="1"/>
  <c r="U299" i="1"/>
  <c r="T299" i="1"/>
  <c r="S299" i="1"/>
  <c r="V298" i="1"/>
  <c r="U298" i="1"/>
  <c r="T298" i="1"/>
  <c r="S298" i="1"/>
  <c r="V297" i="1"/>
  <c r="T297" i="1"/>
  <c r="P297" i="1"/>
  <c r="S297" i="1" s="1"/>
  <c r="U297" i="1" s="1"/>
  <c r="O297" i="1"/>
  <c r="O318" i="1" s="1"/>
  <c r="U296" i="1"/>
  <c r="T296" i="1"/>
  <c r="S296" i="1"/>
  <c r="V296" i="1" s="1"/>
  <c r="T295" i="1"/>
  <c r="S295" i="1"/>
  <c r="U295" i="1" s="1"/>
  <c r="V294" i="1"/>
  <c r="U294" i="1"/>
  <c r="T294" i="1"/>
  <c r="S294" i="1"/>
  <c r="T293" i="1"/>
  <c r="S293" i="1"/>
  <c r="U293" i="1" s="1"/>
  <c r="O292" i="1"/>
  <c r="N292" i="1"/>
  <c r="V291" i="1"/>
  <c r="T291" i="1"/>
  <c r="S291" i="1"/>
  <c r="U291" i="1" s="1"/>
  <c r="V290" i="1"/>
  <c r="U290" i="1"/>
  <c r="T290" i="1"/>
  <c r="S290" i="1"/>
  <c r="V289" i="1"/>
  <c r="T289" i="1"/>
  <c r="S289" i="1"/>
  <c r="U289" i="1" s="1"/>
  <c r="V288" i="1"/>
  <c r="U288" i="1"/>
  <c r="T288" i="1"/>
  <c r="S288" i="1"/>
  <c r="V287" i="1"/>
  <c r="T287" i="1"/>
  <c r="S287" i="1"/>
  <c r="U287" i="1" s="1"/>
  <c r="V286" i="1"/>
  <c r="S286" i="1"/>
  <c r="U286" i="1" s="1"/>
  <c r="P286" i="1"/>
  <c r="T286" i="1" s="1"/>
  <c r="N286" i="1"/>
  <c r="T285" i="1"/>
  <c r="S285" i="1"/>
  <c r="V285" i="1" s="1"/>
  <c r="O285" i="1"/>
  <c r="N284" i="1"/>
  <c r="V283" i="1"/>
  <c r="T283" i="1"/>
  <c r="S283" i="1"/>
  <c r="U283" i="1" s="1"/>
  <c r="U282" i="1"/>
  <c r="T282" i="1"/>
  <c r="S282" i="1"/>
  <c r="V282" i="1" s="1"/>
  <c r="V281" i="1"/>
  <c r="T281" i="1"/>
  <c r="S281" i="1"/>
  <c r="U281" i="1" s="1"/>
  <c r="V280" i="1"/>
  <c r="T280" i="1"/>
  <c r="S280" i="1"/>
  <c r="U280" i="1" s="1"/>
  <c r="T279" i="1"/>
  <c r="S279" i="1"/>
  <c r="U279" i="1" s="1"/>
  <c r="T278" i="1"/>
  <c r="S278" i="1"/>
  <c r="V278" i="1" s="1"/>
  <c r="T277" i="1"/>
  <c r="S277" i="1"/>
  <c r="U277" i="1" s="1"/>
  <c r="V276" i="1"/>
  <c r="U276" i="1"/>
  <c r="T276" i="1"/>
  <c r="S276" i="1"/>
  <c r="V275" i="1"/>
  <c r="T275" i="1"/>
  <c r="S275" i="1"/>
  <c r="U275" i="1" s="1"/>
  <c r="U274" i="1"/>
  <c r="T274" i="1"/>
  <c r="S274" i="1"/>
  <c r="V274" i="1" s="1"/>
  <c r="T273" i="1"/>
  <c r="S273" i="1"/>
  <c r="U273" i="1" s="1"/>
  <c r="V272" i="1"/>
  <c r="U272" i="1"/>
  <c r="T272" i="1"/>
  <c r="S272" i="1"/>
  <c r="T271" i="1"/>
  <c r="S271" i="1"/>
  <c r="U271" i="1" s="1"/>
  <c r="T270" i="1"/>
  <c r="S270" i="1"/>
  <c r="V270" i="1" s="1"/>
  <c r="V269" i="1"/>
  <c r="T269" i="1"/>
  <c r="S269" i="1"/>
  <c r="U269" i="1" s="1"/>
  <c r="V268" i="1"/>
  <c r="T268" i="1"/>
  <c r="S268" i="1"/>
  <c r="U268" i="1" s="1"/>
  <c r="V267" i="1"/>
  <c r="T267" i="1"/>
  <c r="S267" i="1"/>
  <c r="U267" i="1" s="1"/>
  <c r="U266" i="1"/>
  <c r="T266" i="1"/>
  <c r="S266" i="1"/>
  <c r="V266" i="1" s="1"/>
  <c r="T265" i="1"/>
  <c r="P265" i="1"/>
  <c r="S265" i="1" s="1"/>
  <c r="O265" i="1"/>
  <c r="G9" i="7" s="1"/>
  <c r="G11" i="7" s="1"/>
  <c r="N265" i="1"/>
  <c r="K265" i="1"/>
  <c r="K300" i="1" s="1"/>
  <c r="J265" i="1"/>
  <c r="J300" i="1" s="1"/>
  <c r="I265" i="1"/>
  <c r="H265" i="1"/>
  <c r="H300" i="1" s="1"/>
  <c r="T264" i="1"/>
  <c r="S264" i="1"/>
  <c r="V264" i="1" s="1"/>
  <c r="P264" i="1"/>
  <c r="T263" i="1"/>
  <c r="S263" i="1"/>
  <c r="U263" i="1" s="1"/>
  <c r="N262" i="1"/>
  <c r="U261" i="1"/>
  <c r="S261" i="1"/>
  <c r="V261" i="1" s="1"/>
  <c r="P261" i="1"/>
  <c r="L8" i="7" s="1"/>
  <c r="N261" i="1"/>
  <c r="K8" i="7" s="1"/>
  <c r="T260" i="1"/>
  <c r="S260" i="1"/>
  <c r="U260" i="1" s="1"/>
  <c r="V259" i="1"/>
  <c r="T259" i="1"/>
  <c r="S259" i="1"/>
  <c r="U259" i="1" s="1"/>
  <c r="V258" i="1"/>
  <c r="T258" i="1"/>
  <c r="S258" i="1"/>
  <c r="U258" i="1" s="1"/>
  <c r="U257" i="1"/>
  <c r="T257" i="1"/>
  <c r="S257" i="1"/>
  <c r="V257" i="1" s="1"/>
  <c r="V256" i="1"/>
  <c r="T256" i="1"/>
  <c r="S256" i="1"/>
  <c r="U256" i="1" s="1"/>
  <c r="V255" i="1"/>
  <c r="U255" i="1"/>
  <c r="T255" i="1"/>
  <c r="S255" i="1"/>
  <c r="O255" i="1"/>
  <c r="O300" i="1" s="1"/>
  <c r="U254" i="1"/>
  <c r="T254" i="1"/>
  <c r="S254" i="1"/>
  <c r="V254" i="1" s="1"/>
  <c r="O254" i="1"/>
  <c r="V253" i="1"/>
  <c r="U253" i="1"/>
  <c r="T253" i="1"/>
  <c r="S253" i="1"/>
  <c r="V252" i="1"/>
  <c r="U252" i="1"/>
  <c r="T252" i="1"/>
  <c r="S252" i="1"/>
  <c r="V251" i="1"/>
  <c r="U251" i="1"/>
  <c r="T251" i="1"/>
  <c r="S251" i="1"/>
  <c r="V250" i="1"/>
  <c r="U250" i="1"/>
  <c r="T250" i="1"/>
  <c r="S250" i="1"/>
  <c r="V249" i="1"/>
  <c r="U249" i="1"/>
  <c r="T249" i="1"/>
  <c r="T244" i="1"/>
  <c r="R244" i="1"/>
  <c r="R245" i="1" s="1"/>
  <c r="R758" i="1" s="1"/>
  <c r="Q244" i="1"/>
  <c r="Q245" i="1" s="1"/>
  <c r="P244" i="1"/>
  <c r="O244" i="1"/>
  <c r="M244" i="1"/>
  <c r="L244" i="1"/>
  <c r="K244" i="1"/>
  <c r="K245" i="1" s="1"/>
  <c r="J244" i="1"/>
  <c r="I244" i="1"/>
  <c r="H244" i="1"/>
  <c r="H245" i="1" s="1"/>
  <c r="G244" i="1"/>
  <c r="G245" i="1" s="1"/>
  <c r="T243" i="1"/>
  <c r="S243" i="1"/>
  <c r="V243" i="1" s="1"/>
  <c r="T242" i="1"/>
  <c r="S242" i="1"/>
  <c r="V242" i="1" s="1"/>
  <c r="T241" i="1"/>
  <c r="S241" i="1"/>
  <c r="V241" i="1" s="1"/>
  <c r="T240" i="1"/>
  <c r="S240" i="1"/>
  <c r="D19" i="16" s="1"/>
  <c r="F19" i="16" s="1"/>
  <c r="W238" i="1"/>
  <c r="T238" i="1"/>
  <c r="S238" i="1"/>
  <c r="R238" i="1"/>
  <c r="Q238" i="1"/>
  <c r="P238" i="1"/>
  <c r="O238" i="1"/>
  <c r="M238" i="1"/>
  <c r="L238" i="1"/>
  <c r="K238" i="1"/>
  <c r="J238" i="1"/>
  <c r="J245" i="1" s="1"/>
  <c r="I238" i="1"/>
  <c r="H238" i="1"/>
  <c r="G238" i="1"/>
  <c r="V237" i="1"/>
  <c r="U237" i="1"/>
  <c r="T237" i="1"/>
  <c r="U236" i="1"/>
  <c r="T236" i="1"/>
  <c r="S236" i="1"/>
  <c r="V236" i="1" s="1"/>
  <c r="V235" i="1"/>
  <c r="V238" i="1" s="1"/>
  <c r="U235" i="1"/>
  <c r="U238" i="1" s="1"/>
  <c r="T235" i="1"/>
  <c r="S235" i="1"/>
  <c r="R233" i="1"/>
  <c r="Q233" i="1"/>
  <c r="P233" i="1"/>
  <c r="O233" i="1"/>
  <c r="M233" i="1"/>
  <c r="L233" i="1"/>
  <c r="L245" i="1" s="1"/>
  <c r="K233" i="1"/>
  <c r="J233" i="1"/>
  <c r="I233" i="1"/>
  <c r="H233" i="1"/>
  <c r="G233" i="1"/>
  <c r="T232" i="1"/>
  <c r="S232" i="1"/>
  <c r="V232" i="1" s="1"/>
  <c r="P232" i="1"/>
  <c r="V231" i="1"/>
  <c r="V233" i="1" s="1"/>
  <c r="U231" i="1"/>
  <c r="T231" i="1"/>
  <c r="T233" i="1" s="1"/>
  <c r="S231" i="1"/>
  <c r="T229" i="1"/>
  <c r="R229" i="1"/>
  <c r="Q229" i="1"/>
  <c r="P229" i="1"/>
  <c r="O229" i="1"/>
  <c r="M229" i="1"/>
  <c r="L229" i="1"/>
  <c r="K229" i="1"/>
  <c r="J229" i="1"/>
  <c r="I229" i="1"/>
  <c r="H229" i="1"/>
  <c r="G229" i="1"/>
  <c r="V228" i="1"/>
  <c r="U228" i="1"/>
  <c r="T228" i="1"/>
  <c r="V227" i="1"/>
  <c r="T227" i="1"/>
  <c r="S227" i="1"/>
  <c r="U227" i="1" s="1"/>
  <c r="U229" i="1" s="1"/>
  <c r="V226" i="1"/>
  <c r="V229" i="1" s="1"/>
  <c r="T226" i="1"/>
  <c r="S226" i="1"/>
  <c r="U226" i="1" s="1"/>
  <c r="U224" i="1"/>
  <c r="S224" i="1"/>
  <c r="R224" i="1"/>
  <c r="Q224" i="1"/>
  <c r="P224" i="1"/>
  <c r="O224" i="1"/>
  <c r="M224" i="1"/>
  <c r="L224" i="1"/>
  <c r="K224" i="1"/>
  <c r="J224" i="1"/>
  <c r="I224" i="1"/>
  <c r="H224" i="1"/>
  <c r="G224" i="1"/>
  <c r="V223" i="1"/>
  <c r="U223" i="1"/>
  <c r="T223" i="1"/>
  <c r="S223" i="1"/>
  <c r="V222" i="1"/>
  <c r="U222" i="1"/>
  <c r="T222" i="1"/>
  <c r="S222" i="1"/>
  <c r="V221" i="1"/>
  <c r="U221" i="1"/>
  <c r="T221" i="1"/>
  <c r="T224" i="1" s="1"/>
  <c r="S221" i="1"/>
  <c r="V220" i="1"/>
  <c r="V224" i="1" s="1"/>
  <c r="U220" i="1"/>
  <c r="T220" i="1"/>
  <c r="S220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V217" i="1"/>
  <c r="V218" i="1" s="1"/>
  <c r="U217" i="1"/>
  <c r="T217" i="1"/>
  <c r="T218" i="1" s="1"/>
  <c r="V216" i="1"/>
  <c r="U216" i="1"/>
  <c r="U218" i="1" s="1"/>
  <c r="T216" i="1"/>
  <c r="S216" i="1"/>
  <c r="R214" i="1"/>
  <c r="Q214" i="1"/>
  <c r="O214" i="1"/>
  <c r="M214" i="1"/>
  <c r="L214" i="1"/>
  <c r="K214" i="1"/>
  <c r="J214" i="1"/>
  <c r="I214" i="1"/>
  <c r="H214" i="1"/>
  <c r="G214" i="1"/>
  <c r="U213" i="1"/>
  <c r="T213" i="1"/>
  <c r="S213" i="1"/>
  <c r="V213" i="1" s="1"/>
  <c r="U212" i="1"/>
  <c r="T212" i="1"/>
  <c r="S212" i="1"/>
  <c r="V212" i="1" s="1"/>
  <c r="U211" i="1"/>
  <c r="T211" i="1"/>
  <c r="S211" i="1"/>
  <c r="V211" i="1" s="1"/>
  <c r="V210" i="1"/>
  <c r="U210" i="1"/>
  <c r="T210" i="1"/>
  <c r="S210" i="1"/>
  <c r="T209" i="1"/>
  <c r="S209" i="1"/>
  <c r="V209" i="1" s="1"/>
  <c r="T208" i="1"/>
  <c r="S208" i="1"/>
  <c r="V208" i="1" s="1"/>
  <c r="T207" i="1"/>
  <c r="S207" i="1"/>
  <c r="V207" i="1" s="1"/>
  <c r="V206" i="1"/>
  <c r="T206" i="1"/>
  <c r="S206" i="1"/>
  <c r="U206" i="1" s="1"/>
  <c r="U205" i="1"/>
  <c r="T205" i="1"/>
  <c r="S205" i="1"/>
  <c r="V205" i="1" s="1"/>
  <c r="V204" i="1"/>
  <c r="U204" i="1"/>
  <c r="T204" i="1"/>
  <c r="S204" i="1"/>
  <c r="U203" i="1"/>
  <c r="T203" i="1"/>
  <c r="S203" i="1"/>
  <c r="V203" i="1" s="1"/>
  <c r="V202" i="1"/>
  <c r="U202" i="1"/>
  <c r="T202" i="1"/>
  <c r="S202" i="1"/>
  <c r="T201" i="1"/>
  <c r="S201" i="1"/>
  <c r="V201" i="1" s="1"/>
  <c r="T200" i="1"/>
  <c r="S200" i="1"/>
  <c r="V200" i="1" s="1"/>
  <c r="T199" i="1"/>
  <c r="S199" i="1"/>
  <c r="V199" i="1" s="1"/>
  <c r="V198" i="1"/>
  <c r="T198" i="1"/>
  <c r="S198" i="1"/>
  <c r="U198" i="1" s="1"/>
  <c r="U197" i="1"/>
  <c r="T197" i="1"/>
  <c r="S197" i="1"/>
  <c r="V197" i="1" s="1"/>
  <c r="U196" i="1"/>
  <c r="T196" i="1"/>
  <c r="S196" i="1"/>
  <c r="V196" i="1" s="1"/>
  <c r="U195" i="1"/>
  <c r="T195" i="1"/>
  <c r="S195" i="1"/>
  <c r="V195" i="1" s="1"/>
  <c r="V194" i="1"/>
  <c r="U194" i="1"/>
  <c r="T194" i="1"/>
  <c r="S194" i="1"/>
  <c r="T193" i="1"/>
  <c r="S193" i="1"/>
  <c r="V193" i="1" s="1"/>
  <c r="T192" i="1"/>
  <c r="S192" i="1"/>
  <c r="V192" i="1" s="1"/>
  <c r="T191" i="1"/>
  <c r="S191" i="1"/>
  <c r="V191" i="1" s="1"/>
  <c r="V190" i="1"/>
  <c r="T190" i="1"/>
  <c r="S190" i="1"/>
  <c r="U190" i="1" s="1"/>
  <c r="U189" i="1"/>
  <c r="T189" i="1"/>
  <c r="S189" i="1"/>
  <c r="V189" i="1" s="1"/>
  <c r="V188" i="1"/>
  <c r="U188" i="1"/>
  <c r="T188" i="1"/>
  <c r="S188" i="1"/>
  <c r="U187" i="1"/>
  <c r="T187" i="1"/>
  <c r="S187" i="1"/>
  <c r="V187" i="1" s="1"/>
  <c r="V186" i="1"/>
  <c r="U186" i="1"/>
  <c r="T186" i="1"/>
  <c r="S186" i="1"/>
  <c r="T185" i="1"/>
  <c r="S185" i="1"/>
  <c r="V185" i="1" s="1"/>
  <c r="T184" i="1"/>
  <c r="S184" i="1"/>
  <c r="V184" i="1" s="1"/>
  <c r="T183" i="1"/>
  <c r="S183" i="1"/>
  <c r="V183" i="1" s="1"/>
  <c r="V182" i="1"/>
  <c r="T182" i="1"/>
  <c r="S182" i="1"/>
  <c r="U182" i="1" s="1"/>
  <c r="U181" i="1"/>
  <c r="T181" i="1"/>
  <c r="S181" i="1"/>
  <c r="V181" i="1" s="1"/>
  <c r="U180" i="1"/>
  <c r="T180" i="1"/>
  <c r="S180" i="1"/>
  <c r="V180" i="1" s="1"/>
  <c r="U179" i="1"/>
  <c r="T179" i="1"/>
  <c r="S179" i="1"/>
  <c r="V179" i="1" s="1"/>
  <c r="V178" i="1"/>
  <c r="U178" i="1"/>
  <c r="T178" i="1"/>
  <c r="S178" i="1"/>
  <c r="T177" i="1"/>
  <c r="S177" i="1"/>
  <c r="V177" i="1" s="1"/>
  <c r="T176" i="1"/>
  <c r="S176" i="1"/>
  <c r="V176" i="1" s="1"/>
  <c r="P175" i="1"/>
  <c r="T175" i="1" s="1"/>
  <c r="V174" i="1"/>
  <c r="U174" i="1"/>
  <c r="T174" i="1"/>
  <c r="S174" i="1"/>
  <c r="T173" i="1"/>
  <c r="S173" i="1"/>
  <c r="V173" i="1" s="1"/>
  <c r="V172" i="1"/>
  <c r="U172" i="1"/>
  <c r="T172" i="1"/>
  <c r="S172" i="1"/>
  <c r="T171" i="1"/>
  <c r="S171" i="1"/>
  <c r="V171" i="1" s="1"/>
  <c r="V170" i="1"/>
  <c r="U170" i="1"/>
  <c r="T170" i="1"/>
  <c r="S170" i="1"/>
  <c r="T169" i="1"/>
  <c r="S169" i="1"/>
  <c r="V169" i="1" s="1"/>
  <c r="V168" i="1"/>
  <c r="U168" i="1"/>
  <c r="T168" i="1"/>
  <c r="S168" i="1"/>
  <c r="T167" i="1"/>
  <c r="S167" i="1"/>
  <c r="V167" i="1" s="1"/>
  <c r="V166" i="1"/>
  <c r="U166" i="1"/>
  <c r="T166" i="1"/>
  <c r="S166" i="1"/>
  <c r="T165" i="1"/>
  <c r="S165" i="1"/>
  <c r="V165" i="1" s="1"/>
  <c r="V164" i="1"/>
  <c r="U164" i="1"/>
  <c r="T164" i="1"/>
  <c r="S164" i="1"/>
  <c r="T163" i="1"/>
  <c r="S163" i="1"/>
  <c r="V163" i="1" s="1"/>
  <c r="V162" i="1"/>
  <c r="U162" i="1"/>
  <c r="T162" i="1"/>
  <c r="S162" i="1"/>
  <c r="T161" i="1"/>
  <c r="S161" i="1"/>
  <c r="V161" i="1" s="1"/>
  <c r="V160" i="1"/>
  <c r="U160" i="1"/>
  <c r="T160" i="1"/>
  <c r="S160" i="1"/>
  <c r="T159" i="1"/>
  <c r="S159" i="1"/>
  <c r="V159" i="1" s="1"/>
  <c r="V158" i="1"/>
  <c r="U158" i="1"/>
  <c r="T158" i="1"/>
  <c r="S158" i="1"/>
  <c r="T157" i="1"/>
  <c r="S157" i="1"/>
  <c r="V157" i="1" s="1"/>
  <c r="V156" i="1"/>
  <c r="U156" i="1"/>
  <c r="T156" i="1"/>
  <c r="S156" i="1"/>
  <c r="T155" i="1"/>
  <c r="S155" i="1"/>
  <c r="V155" i="1" s="1"/>
  <c r="V154" i="1"/>
  <c r="U154" i="1"/>
  <c r="T154" i="1"/>
  <c r="S154" i="1"/>
  <c r="T153" i="1"/>
  <c r="S153" i="1"/>
  <c r="V153" i="1" s="1"/>
  <c r="V152" i="1"/>
  <c r="U152" i="1"/>
  <c r="T152" i="1"/>
  <c r="S152" i="1"/>
  <c r="T151" i="1"/>
  <c r="S151" i="1"/>
  <c r="V151" i="1" s="1"/>
  <c r="V150" i="1"/>
  <c r="U150" i="1"/>
  <c r="T150" i="1"/>
  <c r="S150" i="1"/>
  <c r="T149" i="1"/>
  <c r="S149" i="1"/>
  <c r="V149" i="1" s="1"/>
  <c r="V148" i="1"/>
  <c r="U148" i="1"/>
  <c r="T148" i="1"/>
  <c r="S148" i="1"/>
  <c r="T147" i="1"/>
  <c r="S147" i="1"/>
  <c r="V147" i="1" s="1"/>
  <c r="V146" i="1"/>
  <c r="U146" i="1"/>
  <c r="T146" i="1"/>
  <c r="S146" i="1"/>
  <c r="V145" i="1"/>
  <c r="U145" i="1"/>
  <c r="T145" i="1"/>
  <c r="V144" i="1"/>
  <c r="T144" i="1"/>
  <c r="S144" i="1"/>
  <c r="U144" i="1" s="1"/>
  <c r="U143" i="1"/>
  <c r="T143" i="1"/>
  <c r="S143" i="1"/>
  <c r="V143" i="1" s="1"/>
  <c r="V142" i="1"/>
  <c r="U142" i="1"/>
  <c r="T142" i="1"/>
  <c r="S142" i="1"/>
  <c r="U141" i="1"/>
  <c r="T141" i="1"/>
  <c r="S141" i="1"/>
  <c r="V141" i="1" s="1"/>
  <c r="V140" i="1"/>
  <c r="U140" i="1"/>
  <c r="T140" i="1"/>
  <c r="S140" i="1"/>
  <c r="T139" i="1"/>
  <c r="S139" i="1"/>
  <c r="V139" i="1" s="1"/>
  <c r="T138" i="1"/>
  <c r="S138" i="1"/>
  <c r="V138" i="1" s="1"/>
  <c r="T137" i="1"/>
  <c r="S137" i="1"/>
  <c r="V137" i="1" s="1"/>
  <c r="V136" i="1"/>
  <c r="T136" i="1"/>
  <c r="S136" i="1"/>
  <c r="U136" i="1" s="1"/>
  <c r="U135" i="1"/>
  <c r="T135" i="1"/>
  <c r="S135" i="1"/>
  <c r="V135" i="1" s="1"/>
  <c r="U134" i="1"/>
  <c r="T134" i="1"/>
  <c r="S134" i="1"/>
  <c r="V134" i="1" s="1"/>
  <c r="U133" i="1"/>
  <c r="T133" i="1"/>
  <c r="S133" i="1"/>
  <c r="V133" i="1" s="1"/>
  <c r="V132" i="1"/>
  <c r="U132" i="1"/>
  <c r="T132" i="1"/>
  <c r="S132" i="1"/>
  <c r="T131" i="1"/>
  <c r="S131" i="1"/>
  <c r="V131" i="1" s="1"/>
  <c r="T130" i="1"/>
  <c r="S130" i="1"/>
  <c r="V130" i="1" s="1"/>
  <c r="T129" i="1"/>
  <c r="S129" i="1"/>
  <c r="V129" i="1" s="1"/>
  <c r="V128" i="1"/>
  <c r="U128" i="1"/>
  <c r="T128" i="1"/>
  <c r="S128" i="1"/>
  <c r="T126" i="1"/>
  <c r="S126" i="1"/>
  <c r="R126" i="1"/>
  <c r="Q126" i="1"/>
  <c r="P126" i="1"/>
  <c r="O126" i="1"/>
  <c r="M126" i="1"/>
  <c r="L126" i="1"/>
  <c r="K126" i="1"/>
  <c r="J126" i="1"/>
  <c r="I126" i="1"/>
  <c r="H126" i="1"/>
  <c r="G126" i="1"/>
  <c r="U125" i="1"/>
  <c r="U126" i="1" s="1"/>
  <c r="T125" i="1"/>
  <c r="S125" i="1"/>
  <c r="V125" i="1" s="1"/>
  <c r="V126" i="1" s="1"/>
  <c r="R123" i="1"/>
  <c r="Q123" i="1"/>
  <c r="P123" i="1"/>
  <c r="O123" i="1"/>
  <c r="M123" i="1"/>
  <c r="L123" i="1"/>
  <c r="K123" i="1"/>
  <c r="J123" i="1"/>
  <c r="I123" i="1"/>
  <c r="H123" i="1"/>
  <c r="G123" i="1"/>
  <c r="V122" i="1"/>
  <c r="U122" i="1"/>
  <c r="T122" i="1"/>
  <c r="S122" i="1"/>
  <c r="T121" i="1"/>
  <c r="S121" i="1"/>
  <c r="U121" i="1" s="1"/>
  <c r="T120" i="1"/>
  <c r="S120" i="1"/>
  <c r="V120" i="1" s="1"/>
  <c r="T119" i="1"/>
  <c r="S119" i="1"/>
  <c r="U119" i="1" s="1"/>
  <c r="V118" i="1"/>
  <c r="T118" i="1"/>
  <c r="S118" i="1"/>
  <c r="U118" i="1" s="1"/>
  <c r="V117" i="1"/>
  <c r="T117" i="1"/>
  <c r="S117" i="1"/>
  <c r="U117" i="1" s="1"/>
  <c r="U116" i="1"/>
  <c r="T116" i="1"/>
  <c r="T123" i="1" s="1"/>
  <c r="S116" i="1"/>
  <c r="S123" i="1" s="1"/>
  <c r="R114" i="1"/>
  <c r="Q114" i="1"/>
  <c r="P114" i="1"/>
  <c r="M114" i="1"/>
  <c r="L114" i="1"/>
  <c r="K114" i="1"/>
  <c r="J114" i="1"/>
  <c r="I114" i="1"/>
  <c r="H114" i="1"/>
  <c r="G114" i="1"/>
  <c r="T113" i="1"/>
  <c r="S113" i="1"/>
  <c r="V113" i="1" s="1"/>
  <c r="T112" i="1"/>
  <c r="S112" i="1"/>
  <c r="V112" i="1" s="1"/>
  <c r="T111" i="1"/>
  <c r="S111" i="1"/>
  <c r="V111" i="1" s="1"/>
  <c r="T110" i="1"/>
  <c r="S110" i="1"/>
  <c r="V110" i="1" s="1"/>
  <c r="T109" i="1"/>
  <c r="S109" i="1"/>
  <c r="V109" i="1" s="1"/>
  <c r="T108" i="1"/>
  <c r="S108" i="1"/>
  <c r="V108" i="1" s="1"/>
  <c r="T107" i="1"/>
  <c r="S107" i="1"/>
  <c r="V107" i="1" s="1"/>
  <c r="T106" i="1"/>
  <c r="S106" i="1"/>
  <c r="V106" i="1" s="1"/>
  <c r="T105" i="1"/>
  <c r="S105" i="1"/>
  <c r="V105" i="1" s="1"/>
  <c r="T104" i="1"/>
  <c r="S104" i="1"/>
  <c r="V104" i="1" s="1"/>
  <c r="T103" i="1"/>
  <c r="S103" i="1"/>
  <c r="V103" i="1" s="1"/>
  <c r="T102" i="1"/>
  <c r="S102" i="1"/>
  <c r="V102" i="1" s="1"/>
  <c r="T101" i="1"/>
  <c r="S101" i="1"/>
  <c r="V101" i="1" s="1"/>
  <c r="T100" i="1"/>
  <c r="S100" i="1"/>
  <c r="V100" i="1" s="1"/>
  <c r="P100" i="1"/>
  <c r="T99" i="1"/>
  <c r="S99" i="1"/>
  <c r="U99" i="1" s="1"/>
  <c r="T98" i="1"/>
  <c r="S98" i="1"/>
  <c r="V98" i="1" s="1"/>
  <c r="T97" i="1"/>
  <c r="S97" i="1"/>
  <c r="U97" i="1" s="1"/>
  <c r="V96" i="1"/>
  <c r="T96" i="1"/>
  <c r="S96" i="1"/>
  <c r="U96" i="1" s="1"/>
  <c r="V95" i="1"/>
  <c r="T95" i="1"/>
  <c r="S95" i="1"/>
  <c r="U95" i="1" s="1"/>
  <c r="V94" i="1"/>
  <c r="U94" i="1"/>
  <c r="T94" i="1"/>
  <c r="S94" i="1"/>
  <c r="V93" i="1"/>
  <c r="T93" i="1"/>
  <c r="S93" i="1"/>
  <c r="U93" i="1" s="1"/>
  <c r="V92" i="1"/>
  <c r="U92" i="1"/>
  <c r="T92" i="1"/>
  <c r="S92" i="1"/>
  <c r="T91" i="1"/>
  <c r="S91" i="1"/>
  <c r="U91" i="1" s="1"/>
  <c r="T90" i="1"/>
  <c r="S90" i="1"/>
  <c r="V90" i="1" s="1"/>
  <c r="T89" i="1"/>
  <c r="S89" i="1"/>
  <c r="U89" i="1" s="1"/>
  <c r="V88" i="1"/>
  <c r="T88" i="1"/>
  <c r="S88" i="1"/>
  <c r="U88" i="1" s="1"/>
  <c r="V87" i="1"/>
  <c r="T87" i="1"/>
  <c r="S87" i="1"/>
  <c r="U87" i="1" s="1"/>
  <c r="U86" i="1"/>
  <c r="T86" i="1"/>
  <c r="S86" i="1"/>
  <c r="V86" i="1" s="1"/>
  <c r="V85" i="1"/>
  <c r="T85" i="1"/>
  <c r="T114" i="1" s="1"/>
  <c r="S85" i="1"/>
  <c r="U85" i="1" s="1"/>
  <c r="V84" i="1"/>
  <c r="U84" i="1"/>
  <c r="T84" i="1"/>
  <c r="S84" i="1"/>
  <c r="T83" i="1"/>
  <c r="S83" i="1"/>
  <c r="U83" i="1" s="1"/>
  <c r="T82" i="1"/>
  <c r="S82" i="1"/>
  <c r="V82" i="1" s="1"/>
  <c r="P82" i="1"/>
  <c r="T81" i="1"/>
  <c r="S81" i="1"/>
  <c r="V81" i="1" s="1"/>
  <c r="T80" i="1"/>
  <c r="S80" i="1"/>
  <c r="V80" i="1" s="1"/>
  <c r="T79" i="1"/>
  <c r="S79" i="1"/>
  <c r="V79" i="1" s="1"/>
  <c r="V78" i="1"/>
  <c r="T78" i="1"/>
  <c r="S78" i="1"/>
  <c r="U78" i="1" s="1"/>
  <c r="U77" i="1"/>
  <c r="T77" i="1"/>
  <c r="S77" i="1"/>
  <c r="V77" i="1" s="1"/>
  <c r="V76" i="1"/>
  <c r="U76" i="1"/>
  <c r="T76" i="1"/>
  <c r="S76" i="1"/>
  <c r="U75" i="1"/>
  <c r="T75" i="1"/>
  <c r="S75" i="1"/>
  <c r="V75" i="1" s="1"/>
  <c r="V74" i="1"/>
  <c r="U74" i="1"/>
  <c r="T74" i="1"/>
  <c r="S74" i="1"/>
  <c r="U73" i="1"/>
  <c r="T73" i="1"/>
  <c r="S73" i="1"/>
  <c r="V73" i="1" s="1"/>
  <c r="V72" i="1"/>
  <c r="U72" i="1"/>
  <c r="T72" i="1"/>
  <c r="S72" i="1"/>
  <c r="U71" i="1"/>
  <c r="T71" i="1"/>
  <c r="S71" i="1"/>
  <c r="V71" i="1" s="1"/>
  <c r="O71" i="1"/>
  <c r="O114" i="1" s="1"/>
  <c r="V70" i="1"/>
  <c r="T70" i="1"/>
  <c r="S70" i="1"/>
  <c r="U70" i="1" s="1"/>
  <c r="V69" i="1"/>
  <c r="T69" i="1"/>
  <c r="S69" i="1"/>
  <c r="U69" i="1" s="1"/>
  <c r="V68" i="1"/>
  <c r="T68" i="1"/>
  <c r="S68" i="1"/>
  <c r="U68" i="1" s="1"/>
  <c r="V67" i="1"/>
  <c r="T67" i="1"/>
  <c r="S67" i="1"/>
  <c r="U67" i="1" s="1"/>
  <c r="V66" i="1"/>
  <c r="T66" i="1"/>
  <c r="S66" i="1"/>
  <c r="U66" i="1" s="1"/>
  <c r="V65" i="1"/>
  <c r="T65" i="1"/>
  <c r="S65" i="1"/>
  <c r="S114" i="1" s="1"/>
  <c r="R63" i="1"/>
  <c r="Q63" i="1"/>
  <c r="O63" i="1"/>
  <c r="M63" i="1"/>
  <c r="L63" i="1"/>
  <c r="K63" i="1"/>
  <c r="J63" i="1"/>
  <c r="I63" i="1"/>
  <c r="H63" i="1"/>
  <c r="G63" i="1"/>
  <c r="V62" i="1"/>
  <c r="U62" i="1"/>
  <c r="T62" i="1"/>
  <c r="S62" i="1"/>
  <c r="U61" i="1"/>
  <c r="T61" i="1"/>
  <c r="S61" i="1"/>
  <c r="V61" i="1" s="1"/>
  <c r="V60" i="1"/>
  <c r="U60" i="1"/>
  <c r="T60" i="1"/>
  <c r="S60" i="1"/>
  <c r="U59" i="1"/>
  <c r="T59" i="1"/>
  <c r="S59" i="1"/>
  <c r="V59" i="1" s="1"/>
  <c r="V58" i="1"/>
  <c r="U58" i="1"/>
  <c r="T58" i="1"/>
  <c r="S58" i="1"/>
  <c r="U57" i="1"/>
  <c r="T57" i="1"/>
  <c r="S57" i="1"/>
  <c r="V57" i="1" s="1"/>
  <c r="V56" i="1"/>
  <c r="U56" i="1"/>
  <c r="T56" i="1"/>
  <c r="S56" i="1"/>
  <c r="U55" i="1"/>
  <c r="T55" i="1"/>
  <c r="S55" i="1"/>
  <c r="V55" i="1" s="1"/>
  <c r="V54" i="1"/>
  <c r="U54" i="1"/>
  <c r="T54" i="1"/>
  <c r="S54" i="1"/>
  <c r="U53" i="1"/>
  <c r="T53" i="1"/>
  <c r="S53" i="1"/>
  <c r="V53" i="1" s="1"/>
  <c r="V52" i="1"/>
  <c r="U52" i="1"/>
  <c r="T52" i="1"/>
  <c r="S52" i="1"/>
  <c r="U51" i="1"/>
  <c r="T51" i="1"/>
  <c r="S51" i="1"/>
  <c r="V51" i="1" s="1"/>
  <c r="V50" i="1"/>
  <c r="U50" i="1"/>
  <c r="T50" i="1"/>
  <c r="S50" i="1"/>
  <c r="U49" i="1"/>
  <c r="T49" i="1"/>
  <c r="S49" i="1"/>
  <c r="V49" i="1" s="1"/>
  <c r="V48" i="1"/>
  <c r="U48" i="1"/>
  <c r="T48" i="1"/>
  <c r="S48" i="1"/>
  <c r="U47" i="1"/>
  <c r="T47" i="1"/>
  <c r="S47" i="1"/>
  <c r="V47" i="1" s="1"/>
  <c r="V46" i="1"/>
  <c r="U46" i="1"/>
  <c r="T46" i="1"/>
  <c r="S46" i="1"/>
  <c r="U45" i="1"/>
  <c r="T45" i="1"/>
  <c r="S45" i="1"/>
  <c r="V45" i="1" s="1"/>
  <c r="V44" i="1"/>
  <c r="U44" i="1"/>
  <c r="T44" i="1"/>
  <c r="S44" i="1"/>
  <c r="U43" i="1"/>
  <c r="S43" i="1"/>
  <c r="V43" i="1" s="1"/>
  <c r="P43" i="1"/>
  <c r="T43" i="1" s="1"/>
  <c r="P42" i="1"/>
  <c r="T42" i="1" s="1"/>
  <c r="T41" i="1"/>
  <c r="S41" i="1"/>
  <c r="V41" i="1" s="1"/>
  <c r="T40" i="1"/>
  <c r="S40" i="1"/>
  <c r="V40" i="1" s="1"/>
  <c r="T39" i="1"/>
  <c r="S39" i="1"/>
  <c r="O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R28" i="1"/>
  <c r="Q28" i="1"/>
  <c r="P28" i="1"/>
  <c r="O28" i="1"/>
  <c r="M28" i="1"/>
  <c r="L28" i="1"/>
  <c r="K28" i="1"/>
  <c r="J28" i="1"/>
  <c r="I28" i="1"/>
  <c r="H28" i="1"/>
  <c r="G28" i="1"/>
  <c r="T27" i="1"/>
  <c r="S27" i="1"/>
  <c r="V27" i="1" s="1"/>
  <c r="T26" i="1"/>
  <c r="S26" i="1"/>
  <c r="V26" i="1" s="1"/>
  <c r="T25" i="1"/>
  <c r="S25" i="1"/>
  <c r="V25" i="1" s="1"/>
  <c r="T24" i="1"/>
  <c r="S24" i="1"/>
  <c r="V24" i="1" s="1"/>
  <c r="T23" i="1"/>
  <c r="S23" i="1"/>
  <c r="V23" i="1" s="1"/>
  <c r="T22" i="1"/>
  <c r="S22" i="1"/>
  <c r="P22" i="1"/>
  <c r="C17" i="16" s="1"/>
  <c r="E17" i="16" s="1"/>
  <c r="V21" i="1"/>
  <c r="U21" i="1"/>
  <c r="T21" i="1"/>
  <c r="T28" i="1" s="1"/>
  <c r="T20" i="1"/>
  <c r="S20" i="1"/>
  <c r="V20" i="1" s="1"/>
  <c r="V19" i="1"/>
  <c r="U19" i="1"/>
  <c r="T19" i="1"/>
  <c r="V18" i="1"/>
  <c r="T18" i="1"/>
  <c r="S18" i="1"/>
  <c r="V17" i="1"/>
  <c r="T17" i="1"/>
  <c r="S17" i="1"/>
  <c r="U17" i="1" s="1"/>
  <c r="V16" i="1"/>
  <c r="T16" i="1"/>
  <c r="S16" i="1"/>
  <c r="D16" i="16" s="1"/>
  <c r="F16" i="16" s="1"/>
  <c r="T14" i="1"/>
  <c r="R14" i="1"/>
  <c r="Q14" i="1"/>
  <c r="P14" i="1"/>
  <c r="O14" i="1"/>
  <c r="M14" i="1"/>
  <c r="L14" i="1"/>
  <c r="K14" i="1"/>
  <c r="J14" i="1"/>
  <c r="I14" i="1"/>
  <c r="I245" i="1" s="1"/>
  <c r="H14" i="1"/>
  <c r="G14" i="1"/>
  <c r="U13" i="1"/>
  <c r="T13" i="1"/>
  <c r="S13" i="1"/>
  <c r="V13" i="1" s="1"/>
  <c r="V12" i="1"/>
  <c r="U12" i="1"/>
  <c r="T12" i="1"/>
  <c r="S12" i="1"/>
  <c r="U11" i="1"/>
  <c r="T11" i="1"/>
  <c r="S11" i="1"/>
  <c r="V11" i="1" s="1"/>
  <c r="V10" i="1"/>
  <c r="U10" i="1"/>
  <c r="T10" i="1"/>
  <c r="S10" i="1"/>
  <c r="U9" i="1"/>
  <c r="U14" i="1" s="1"/>
  <c r="T9" i="1"/>
  <c r="S9" i="1"/>
  <c r="V9" i="1" s="1"/>
  <c r="V14" i="1" s="1"/>
  <c r="R7" i="1"/>
  <c r="Q7" i="1"/>
  <c r="O7" i="1"/>
  <c r="M7" i="1"/>
  <c r="L7" i="1"/>
  <c r="K7" i="1"/>
  <c r="J7" i="1"/>
  <c r="I7" i="1"/>
  <c r="H7" i="1"/>
  <c r="G7" i="1"/>
  <c r="V6" i="1"/>
  <c r="U6" i="1"/>
  <c r="T6" i="1"/>
  <c r="S6" i="1"/>
  <c r="S752" i="1" s="1"/>
  <c r="T4" i="1"/>
  <c r="P4" i="1"/>
  <c r="S4" i="1" s="1"/>
  <c r="P3" i="1"/>
  <c r="T3" i="1" s="1"/>
  <c r="T7" i="1" s="1"/>
  <c r="F73" i="4"/>
  <c r="I72" i="4"/>
  <c r="H72" i="4"/>
  <c r="G72" i="4"/>
  <c r="F72" i="4"/>
  <c r="E72" i="4"/>
  <c r="D72" i="4"/>
  <c r="J71" i="4"/>
  <c r="H71" i="4"/>
  <c r="G71" i="4"/>
  <c r="F71" i="4"/>
  <c r="E71" i="4"/>
  <c r="D71" i="4"/>
  <c r="J70" i="4"/>
  <c r="I70" i="4"/>
  <c r="H70" i="4"/>
  <c r="H73" i="4" s="1"/>
  <c r="G70" i="4"/>
  <c r="G73" i="4" s="1"/>
  <c r="F70" i="4"/>
  <c r="E70" i="4"/>
  <c r="E73" i="4" s="1"/>
  <c r="D70" i="4"/>
  <c r="D73" i="4" s="1"/>
  <c r="F68" i="4"/>
  <c r="J67" i="4"/>
  <c r="I67" i="4"/>
  <c r="H67" i="4"/>
  <c r="G67" i="4"/>
  <c r="F67" i="4"/>
  <c r="E67" i="4"/>
  <c r="D67" i="4"/>
  <c r="I66" i="4"/>
  <c r="H66" i="4"/>
  <c r="G66" i="4"/>
  <c r="F66" i="4"/>
  <c r="E66" i="4"/>
  <c r="D66" i="4"/>
  <c r="J65" i="4"/>
  <c r="I65" i="4"/>
  <c r="H65" i="4"/>
  <c r="G65" i="4"/>
  <c r="F65" i="4"/>
  <c r="E65" i="4"/>
  <c r="D65" i="4"/>
  <c r="I64" i="4"/>
  <c r="H64" i="4"/>
  <c r="G64" i="4"/>
  <c r="F64" i="4"/>
  <c r="E64" i="4"/>
  <c r="D64" i="4"/>
  <c r="J63" i="4"/>
  <c r="I63" i="4"/>
  <c r="H63" i="4"/>
  <c r="G63" i="4"/>
  <c r="F63" i="4"/>
  <c r="E63" i="4"/>
  <c r="D63" i="4"/>
  <c r="I62" i="4"/>
  <c r="H62" i="4"/>
  <c r="G62" i="4"/>
  <c r="F62" i="4"/>
  <c r="E62" i="4"/>
  <c r="D62" i="4"/>
  <c r="I61" i="4"/>
  <c r="I68" i="4" s="1"/>
  <c r="G61" i="4"/>
  <c r="G68" i="4" s="1"/>
  <c r="F61" i="4"/>
  <c r="E61" i="4"/>
  <c r="E68" i="4" s="1"/>
  <c r="D61" i="4"/>
  <c r="D68" i="4" s="1"/>
  <c r="I58" i="4"/>
  <c r="H58" i="4"/>
  <c r="G58" i="4"/>
  <c r="F58" i="4"/>
  <c r="E58" i="4"/>
  <c r="D58" i="4"/>
  <c r="I57" i="4"/>
  <c r="H57" i="4"/>
  <c r="G57" i="4"/>
  <c r="F57" i="4"/>
  <c r="E57" i="4"/>
  <c r="D57" i="4"/>
  <c r="J56" i="4"/>
  <c r="I56" i="4"/>
  <c r="H56" i="4"/>
  <c r="G56" i="4"/>
  <c r="F56" i="4"/>
  <c r="E56" i="4"/>
  <c r="D56" i="4"/>
  <c r="J55" i="4"/>
  <c r="I55" i="4"/>
  <c r="H55" i="4"/>
  <c r="G55" i="4"/>
  <c r="F55" i="4"/>
  <c r="E55" i="4"/>
  <c r="D55" i="4"/>
  <c r="J54" i="4"/>
  <c r="I54" i="4"/>
  <c r="H54" i="4"/>
  <c r="G54" i="4"/>
  <c r="F54" i="4"/>
  <c r="E54" i="4"/>
  <c r="D54" i="4"/>
  <c r="J53" i="4"/>
  <c r="I53" i="4"/>
  <c r="H53" i="4"/>
  <c r="G53" i="4"/>
  <c r="F53" i="4"/>
  <c r="E53" i="4"/>
  <c r="D53" i="4"/>
  <c r="I52" i="4"/>
  <c r="H52" i="4"/>
  <c r="G52" i="4"/>
  <c r="F52" i="4"/>
  <c r="E52" i="4"/>
  <c r="D52" i="4"/>
  <c r="I51" i="4"/>
  <c r="H51" i="4"/>
  <c r="G51" i="4"/>
  <c r="F51" i="4"/>
  <c r="F59" i="4" s="1"/>
  <c r="E51" i="4"/>
  <c r="D51" i="4"/>
  <c r="D59" i="4" s="1"/>
  <c r="J48" i="4"/>
  <c r="I48" i="4"/>
  <c r="H48" i="4"/>
  <c r="G48" i="4"/>
  <c r="F48" i="4"/>
  <c r="E48" i="4"/>
  <c r="D48" i="4"/>
  <c r="J47" i="4"/>
  <c r="E127" i="5" s="1"/>
  <c r="I47" i="4"/>
  <c r="H47" i="4"/>
  <c r="G47" i="4"/>
  <c r="F47" i="4"/>
  <c r="E47" i="4"/>
  <c r="D47" i="4"/>
  <c r="H46" i="4"/>
  <c r="G46" i="4"/>
  <c r="F46" i="4"/>
  <c r="E46" i="4"/>
  <c r="D46" i="4"/>
  <c r="I45" i="4"/>
  <c r="H45" i="4"/>
  <c r="H49" i="4" s="1"/>
  <c r="G45" i="4"/>
  <c r="G49" i="4" s="1"/>
  <c r="F45" i="4"/>
  <c r="E45" i="4"/>
  <c r="E49" i="4" s="1"/>
  <c r="D45" i="4"/>
  <c r="D49" i="4" s="1"/>
  <c r="I36" i="4"/>
  <c r="G36" i="4"/>
  <c r="E36" i="4"/>
  <c r="J35" i="4"/>
  <c r="J36" i="4" s="1"/>
  <c r="I35" i="4"/>
  <c r="H35" i="4"/>
  <c r="H36" i="4" s="1"/>
  <c r="G35" i="4"/>
  <c r="F35" i="4"/>
  <c r="F36" i="4" s="1"/>
  <c r="E35" i="4"/>
  <c r="D35" i="4"/>
  <c r="D36" i="4" s="1"/>
  <c r="G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J33" i="4" s="1"/>
  <c r="I30" i="4"/>
  <c r="I33" i="4" s="1"/>
  <c r="H30" i="4"/>
  <c r="H33" i="4" s="1"/>
  <c r="G30" i="4"/>
  <c r="F30" i="4"/>
  <c r="F33" i="4" s="1"/>
  <c r="E30" i="4"/>
  <c r="E33" i="4" s="1"/>
  <c r="D30" i="4"/>
  <c r="D33" i="4" s="1"/>
  <c r="J27" i="4"/>
  <c r="I27" i="4"/>
  <c r="H27" i="4"/>
  <c r="G27" i="4"/>
  <c r="F27" i="4"/>
  <c r="E27" i="4"/>
  <c r="D27" i="4"/>
  <c r="J26" i="4"/>
  <c r="I26" i="4"/>
  <c r="H26" i="4"/>
  <c r="G26" i="4"/>
  <c r="F26" i="4"/>
  <c r="E26" i="4"/>
  <c r="D26" i="4"/>
  <c r="I25" i="4"/>
  <c r="H25" i="4"/>
  <c r="G25" i="4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J22" i="4"/>
  <c r="I22" i="4"/>
  <c r="I28" i="4" s="1"/>
  <c r="H22" i="4"/>
  <c r="H28" i="4" s="1"/>
  <c r="G22" i="4"/>
  <c r="G28" i="4" s="1"/>
  <c r="F22" i="4"/>
  <c r="F28" i="4" s="1"/>
  <c r="E22" i="4"/>
  <c r="E28" i="4" s="1"/>
  <c r="D22" i="4"/>
  <c r="D28" i="4" s="1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I20" i="4" s="1"/>
  <c r="H13" i="4"/>
  <c r="H20" i="4" s="1"/>
  <c r="G13" i="4"/>
  <c r="G20" i="4" s="1"/>
  <c r="F13" i="4"/>
  <c r="F20" i="4" s="1"/>
  <c r="E13" i="4"/>
  <c r="E20" i="4" s="1"/>
  <c r="D13" i="4"/>
  <c r="D20" i="4" s="1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I8" i="4"/>
  <c r="I11" i="4" s="1"/>
  <c r="H8" i="4"/>
  <c r="H11" i="4" s="1"/>
  <c r="G8" i="4"/>
  <c r="G11" i="4" s="1"/>
  <c r="F8" i="4"/>
  <c r="F11" i="4" s="1"/>
  <c r="E8" i="4"/>
  <c r="E11" i="4" s="1"/>
  <c r="D8" i="4"/>
  <c r="K85" i="2"/>
  <c r="K84" i="2"/>
  <c r="H73" i="2"/>
  <c r="C66" i="2"/>
  <c r="C65" i="2"/>
  <c r="X41" i="2"/>
  <c r="I41" i="2"/>
  <c r="C80" i="16" s="1"/>
  <c r="H41" i="2"/>
  <c r="G41" i="2"/>
  <c r="B80" i="16" s="1"/>
  <c r="D41" i="2"/>
  <c r="K40" i="2"/>
  <c r="K38" i="2"/>
  <c r="X37" i="2"/>
  <c r="J37" i="2"/>
  <c r="I37" i="2"/>
  <c r="N37" i="2" s="1"/>
  <c r="H37" i="2"/>
  <c r="G37" i="2"/>
  <c r="F37" i="2"/>
  <c r="E37" i="2"/>
  <c r="D37" i="2"/>
  <c r="C37" i="2"/>
  <c r="X36" i="2"/>
  <c r="I36" i="2"/>
  <c r="C49" i="16" s="1"/>
  <c r="H36" i="2"/>
  <c r="G36" i="2"/>
  <c r="F36" i="2"/>
  <c r="E36" i="2"/>
  <c r="D36" i="2"/>
  <c r="C36" i="2"/>
  <c r="X35" i="2"/>
  <c r="J35" i="2"/>
  <c r="D54" i="16" s="1"/>
  <c r="I35" i="2"/>
  <c r="C54" i="16" s="1"/>
  <c r="H35" i="2"/>
  <c r="G35" i="2"/>
  <c r="F35" i="2"/>
  <c r="E35" i="2"/>
  <c r="D35" i="2"/>
  <c r="C35" i="2"/>
  <c r="X34" i="2"/>
  <c r="J34" i="2"/>
  <c r="I34" i="2"/>
  <c r="C48" i="16" s="1"/>
  <c r="E48" i="16" s="1"/>
  <c r="H34" i="2"/>
  <c r="G34" i="2"/>
  <c r="F34" i="2"/>
  <c r="E34" i="2"/>
  <c r="D34" i="2"/>
  <c r="C34" i="2"/>
  <c r="X33" i="2"/>
  <c r="J33" i="2"/>
  <c r="I33" i="2"/>
  <c r="N33" i="2" s="1"/>
  <c r="H33" i="2"/>
  <c r="G33" i="2"/>
  <c r="F33" i="2"/>
  <c r="E33" i="2"/>
  <c r="D33" i="2"/>
  <c r="C33" i="2"/>
  <c r="X32" i="2"/>
  <c r="J32" i="2"/>
  <c r="I32" i="2"/>
  <c r="C45" i="16" s="1"/>
  <c r="H32" i="2"/>
  <c r="G32" i="2"/>
  <c r="F32" i="2"/>
  <c r="E32" i="2"/>
  <c r="D32" i="2"/>
  <c r="C32" i="2"/>
  <c r="X31" i="2"/>
  <c r="J31" i="2"/>
  <c r="D39" i="16" s="1"/>
  <c r="F39" i="16" s="1"/>
  <c r="I31" i="2"/>
  <c r="C39" i="16" s="1"/>
  <c r="E39" i="16" s="1"/>
  <c r="H31" i="2"/>
  <c r="G31" i="2"/>
  <c r="F31" i="2"/>
  <c r="E31" i="2"/>
  <c r="D31" i="2"/>
  <c r="C31" i="2"/>
  <c r="X30" i="2"/>
  <c r="X85" i="2" s="1"/>
  <c r="H30" i="2"/>
  <c r="H85" i="2" s="1"/>
  <c r="G30" i="2"/>
  <c r="G85" i="2" s="1"/>
  <c r="F30" i="2"/>
  <c r="F85" i="2" s="1"/>
  <c r="E30" i="2"/>
  <c r="D30" i="2"/>
  <c r="C30" i="2"/>
  <c r="X29" i="2"/>
  <c r="H29" i="2"/>
  <c r="G29" i="2"/>
  <c r="F29" i="2"/>
  <c r="E29" i="2"/>
  <c r="D29" i="2"/>
  <c r="C29" i="2"/>
  <c r="X28" i="2"/>
  <c r="X78" i="2" s="1"/>
  <c r="I28" i="2"/>
  <c r="C35" i="16" s="1"/>
  <c r="E35" i="16" s="1"/>
  <c r="H28" i="2"/>
  <c r="H78" i="2" s="1"/>
  <c r="G28" i="2"/>
  <c r="G78" i="2" s="1"/>
  <c r="F28" i="2"/>
  <c r="F78" i="2" s="1"/>
  <c r="E28" i="2"/>
  <c r="D28" i="2"/>
  <c r="C28" i="2"/>
  <c r="X27" i="2"/>
  <c r="H27" i="2"/>
  <c r="G27" i="2"/>
  <c r="F27" i="2"/>
  <c r="E27" i="2"/>
  <c r="D27" i="2"/>
  <c r="C27" i="2"/>
  <c r="X26" i="2"/>
  <c r="J26" i="2"/>
  <c r="D53" i="16" s="1"/>
  <c r="F53" i="16" s="1"/>
  <c r="I26" i="2"/>
  <c r="C53" i="16" s="1"/>
  <c r="E53" i="16" s="1"/>
  <c r="H26" i="2"/>
  <c r="G26" i="2"/>
  <c r="F26" i="2"/>
  <c r="E26" i="2"/>
  <c r="D26" i="2"/>
  <c r="C26" i="2"/>
  <c r="X25" i="2"/>
  <c r="X100" i="2" s="1"/>
  <c r="I25" i="2"/>
  <c r="C31" i="16" s="1"/>
  <c r="H25" i="2"/>
  <c r="H100" i="2" s="1"/>
  <c r="G25" i="2"/>
  <c r="G100" i="2" s="1"/>
  <c r="F25" i="2"/>
  <c r="F100" i="2" s="1"/>
  <c r="E25" i="2"/>
  <c r="D25" i="2"/>
  <c r="C25" i="2"/>
  <c r="X24" i="2"/>
  <c r="H24" i="2"/>
  <c r="G24" i="2"/>
  <c r="G38" i="2" s="1"/>
  <c r="F24" i="2"/>
  <c r="F91" i="2" s="1"/>
  <c r="E24" i="2"/>
  <c r="E38" i="2" s="1"/>
  <c r="D24" i="2"/>
  <c r="D66" i="2" s="1"/>
  <c r="C24" i="2"/>
  <c r="L22" i="2"/>
  <c r="X20" i="2"/>
  <c r="Q20" i="2"/>
  <c r="J20" i="2"/>
  <c r="D23" i="16" s="1"/>
  <c r="F23" i="16" s="1"/>
  <c r="I20" i="2"/>
  <c r="C23" i="16" s="1"/>
  <c r="E23" i="16" s="1"/>
  <c r="H20" i="2"/>
  <c r="G20" i="2"/>
  <c r="F20" i="2"/>
  <c r="E20" i="2"/>
  <c r="D20" i="2"/>
  <c r="C20" i="2"/>
  <c r="X19" i="2"/>
  <c r="J19" i="2"/>
  <c r="I19" i="2"/>
  <c r="N19" i="2" s="1"/>
  <c r="H19" i="2"/>
  <c r="G19" i="2"/>
  <c r="F19" i="2"/>
  <c r="E19" i="2"/>
  <c r="D19" i="2"/>
  <c r="C19" i="2"/>
  <c r="X18" i="2"/>
  <c r="J18" i="2"/>
  <c r="D24" i="16" s="1"/>
  <c r="F24" i="16" s="1"/>
  <c r="I18" i="2"/>
  <c r="C24" i="16" s="1"/>
  <c r="E24" i="16" s="1"/>
  <c r="H18" i="2"/>
  <c r="G18" i="2"/>
  <c r="F18" i="2"/>
  <c r="E18" i="2"/>
  <c r="D18" i="2"/>
  <c r="C18" i="2"/>
  <c r="X17" i="2"/>
  <c r="J17" i="2"/>
  <c r="I17" i="2"/>
  <c r="L17" i="2" s="1"/>
  <c r="H17" i="2"/>
  <c r="G17" i="2"/>
  <c r="N17" i="2" s="1"/>
  <c r="F17" i="2"/>
  <c r="E17" i="2"/>
  <c r="D17" i="2"/>
  <c r="C17" i="2"/>
  <c r="X16" i="2"/>
  <c r="J16" i="2"/>
  <c r="I16" i="2"/>
  <c r="N16" i="2" s="1"/>
  <c r="H16" i="2"/>
  <c r="G16" i="2"/>
  <c r="F16" i="2"/>
  <c r="E16" i="2"/>
  <c r="D16" i="2"/>
  <c r="C16" i="2"/>
  <c r="X15" i="2"/>
  <c r="N15" i="2"/>
  <c r="J15" i="2"/>
  <c r="I15" i="2"/>
  <c r="C15" i="16" s="1"/>
  <c r="E15" i="16" s="1"/>
  <c r="H15" i="2"/>
  <c r="G15" i="2"/>
  <c r="F15" i="2"/>
  <c r="E15" i="2"/>
  <c r="D15" i="2"/>
  <c r="C15" i="2"/>
  <c r="X14" i="2"/>
  <c r="J14" i="2"/>
  <c r="E48" i="5" s="1"/>
  <c r="I14" i="2"/>
  <c r="N14" i="2" s="1"/>
  <c r="H14" i="2"/>
  <c r="G14" i="2"/>
  <c r="F14" i="2"/>
  <c r="E14" i="2"/>
  <c r="D14" i="2"/>
  <c r="C14" i="2"/>
  <c r="X13" i="2"/>
  <c r="J13" i="2"/>
  <c r="I13" i="2"/>
  <c r="C14" i="16" s="1"/>
  <c r="E14" i="16" s="1"/>
  <c r="H13" i="2"/>
  <c r="G13" i="2"/>
  <c r="F13" i="2"/>
  <c r="E13" i="2"/>
  <c r="D13" i="2"/>
  <c r="C13" i="2"/>
  <c r="X12" i="2"/>
  <c r="I12" i="2"/>
  <c r="C13" i="16" s="1"/>
  <c r="E13" i="16" s="1"/>
  <c r="H12" i="2"/>
  <c r="G12" i="2"/>
  <c r="F12" i="2"/>
  <c r="E12" i="2"/>
  <c r="D12" i="2"/>
  <c r="C12" i="2"/>
  <c r="X11" i="2"/>
  <c r="J11" i="2"/>
  <c r="I11" i="2"/>
  <c r="C12" i="16" s="1"/>
  <c r="E12" i="16" s="1"/>
  <c r="H11" i="2"/>
  <c r="G11" i="2"/>
  <c r="F11" i="2"/>
  <c r="E11" i="2"/>
  <c r="D11" i="2"/>
  <c r="C11" i="2"/>
  <c r="X10" i="2"/>
  <c r="X84" i="2" s="1"/>
  <c r="J10" i="2"/>
  <c r="D8" i="16" s="1"/>
  <c r="I10" i="2"/>
  <c r="C8" i="16" s="1"/>
  <c r="H10" i="2"/>
  <c r="H55" i="2" s="1"/>
  <c r="G10" i="2"/>
  <c r="G84" i="2" s="1"/>
  <c r="F10" i="2"/>
  <c r="F84" i="2" s="1"/>
  <c r="E10" i="2"/>
  <c r="E55" i="2" s="1"/>
  <c r="D10" i="2"/>
  <c r="D55" i="2" s="1"/>
  <c r="C10" i="2"/>
  <c r="C55" i="2" s="1"/>
  <c r="X9" i="2"/>
  <c r="X77" i="2" s="1"/>
  <c r="X80" i="2" s="1"/>
  <c r="X81" i="2" s="1"/>
  <c r="J9" i="2"/>
  <c r="D7" i="16" s="1"/>
  <c r="I9" i="2"/>
  <c r="C7" i="16" s="1"/>
  <c r="H9" i="2"/>
  <c r="H54" i="2" s="1"/>
  <c r="G9" i="2"/>
  <c r="G54" i="2" s="1"/>
  <c r="F9" i="2"/>
  <c r="F77" i="2" s="1"/>
  <c r="F80" i="2" s="1"/>
  <c r="E9" i="2"/>
  <c r="E54" i="2" s="1"/>
  <c r="D9" i="2"/>
  <c r="D54" i="2" s="1"/>
  <c r="C9" i="2"/>
  <c r="C54" i="2" s="1"/>
  <c r="X8" i="2"/>
  <c r="I8" i="2"/>
  <c r="C9" i="16" s="1"/>
  <c r="E9" i="16" s="1"/>
  <c r="H8" i="2"/>
  <c r="G8" i="2"/>
  <c r="F8" i="2"/>
  <c r="E8" i="2"/>
  <c r="D8" i="2"/>
  <c r="C8" i="2"/>
  <c r="X7" i="2"/>
  <c r="N7" i="2"/>
  <c r="J7" i="2"/>
  <c r="D6" i="16" s="1"/>
  <c r="F6" i="16" s="1"/>
  <c r="I7" i="2"/>
  <c r="C6" i="16" s="1"/>
  <c r="E6" i="16" s="1"/>
  <c r="H7" i="2"/>
  <c r="G7" i="2"/>
  <c r="F7" i="2"/>
  <c r="E7" i="2"/>
  <c r="D7" i="2"/>
  <c r="C7" i="2"/>
  <c r="X6" i="2"/>
  <c r="X21" i="2" s="1"/>
  <c r="I6" i="2"/>
  <c r="C5" i="16" s="1"/>
  <c r="H6" i="2"/>
  <c r="H94" i="2" s="1"/>
  <c r="G6" i="2"/>
  <c r="F6" i="2"/>
  <c r="F21" i="2" s="1"/>
  <c r="E6" i="2"/>
  <c r="E21" i="2" s="1"/>
  <c r="E40" i="2" s="1"/>
  <c r="D6" i="2"/>
  <c r="D21" i="2" s="1"/>
  <c r="C6" i="2"/>
  <c r="C21" i="2" s="1"/>
  <c r="D52" i="2" l="1"/>
  <c r="E52" i="2"/>
  <c r="X87" i="2"/>
  <c r="X88" i="2" s="1"/>
  <c r="D38" i="4"/>
  <c r="G52" i="2"/>
  <c r="F87" i="2"/>
  <c r="X52" i="2"/>
  <c r="E38" i="4"/>
  <c r="G87" i="2"/>
  <c r="G88" i="2" s="1"/>
  <c r="F38" i="4"/>
  <c r="F76" i="4" s="1"/>
  <c r="H38" i="4"/>
  <c r="N9" i="2"/>
  <c r="E8" i="16"/>
  <c r="L12" i="2"/>
  <c r="D15" i="16"/>
  <c r="F15" i="16" s="1"/>
  <c r="E47" i="5"/>
  <c r="L20" i="2"/>
  <c r="G21" i="2"/>
  <c r="G40" i="2" s="1"/>
  <c r="C78" i="16"/>
  <c r="E78" i="16" s="1"/>
  <c r="E31" i="16"/>
  <c r="D45" i="16"/>
  <c r="E89" i="5"/>
  <c r="N34" i="2"/>
  <c r="E54" i="16"/>
  <c r="L37" i="2"/>
  <c r="H38" i="2"/>
  <c r="H51" i="2" s="1"/>
  <c r="G66" i="2"/>
  <c r="G77" i="2"/>
  <c r="G80" i="2" s="1"/>
  <c r="G81" i="2" s="1"/>
  <c r="H84" i="2"/>
  <c r="H87" i="2" s="1"/>
  <c r="H88" i="2" s="1"/>
  <c r="G91" i="2"/>
  <c r="I94" i="2"/>
  <c r="X97" i="2"/>
  <c r="I38" i="4"/>
  <c r="F49" i="4"/>
  <c r="T63" i="1"/>
  <c r="G758" i="1"/>
  <c r="I46" i="4"/>
  <c r="I49" i="4" s="1"/>
  <c r="O319" i="1"/>
  <c r="V425" i="1"/>
  <c r="U718" i="1"/>
  <c r="V718" i="1"/>
  <c r="L7" i="2"/>
  <c r="F8" i="16"/>
  <c r="N12" i="2"/>
  <c r="L15" i="2"/>
  <c r="N20" i="2"/>
  <c r="H21" i="2"/>
  <c r="H40" i="2" s="1"/>
  <c r="L32" i="2"/>
  <c r="F54" i="16"/>
  <c r="E51" i="2"/>
  <c r="X54" i="2"/>
  <c r="H66" i="2"/>
  <c r="H77" i="2"/>
  <c r="H80" i="2" s="1"/>
  <c r="H81" i="2" s="1"/>
  <c r="I84" i="2"/>
  <c r="H91" i="2"/>
  <c r="V4" i="1"/>
  <c r="U4" i="1"/>
  <c r="O245" i="1"/>
  <c r="U356" i="1"/>
  <c r="V356" i="1"/>
  <c r="L10" i="2"/>
  <c r="D14" i="16"/>
  <c r="F14" i="16" s="1"/>
  <c r="E49" i="5"/>
  <c r="L18" i="2"/>
  <c r="I21" i="2"/>
  <c r="L25" i="2"/>
  <c r="N32" i="2"/>
  <c r="L35" i="2"/>
  <c r="X55" i="2"/>
  <c r="I77" i="2"/>
  <c r="X94" i="2"/>
  <c r="N10" i="2"/>
  <c r="L13" i="2"/>
  <c r="N18" i="2"/>
  <c r="N25" i="2"/>
  <c r="N35" i="2"/>
  <c r="E49" i="16"/>
  <c r="C38" i="2"/>
  <c r="C40" i="2" s="1"/>
  <c r="G51" i="2"/>
  <c r="C56" i="2"/>
  <c r="X56" i="2"/>
  <c r="J77" i="2"/>
  <c r="F97" i="2"/>
  <c r="E59" i="4"/>
  <c r="E74" i="4" s="1"/>
  <c r="U752" i="1"/>
  <c r="V752" i="1"/>
  <c r="L8" i="2"/>
  <c r="D12" i="16"/>
  <c r="F12" i="16" s="1"/>
  <c r="E45" i="5"/>
  <c r="N13" i="2"/>
  <c r="L16" i="2"/>
  <c r="L28" i="2"/>
  <c r="L33" i="2"/>
  <c r="D38" i="2"/>
  <c r="D40" i="2" s="1"/>
  <c r="D42" i="2" s="1"/>
  <c r="F54" i="2"/>
  <c r="D56" i="2"/>
  <c r="X91" i="2"/>
  <c r="G97" i="2"/>
  <c r="I100" i="2"/>
  <c r="D74" i="4"/>
  <c r="T319" i="1"/>
  <c r="V362" i="1"/>
  <c r="U362" i="1"/>
  <c r="C10" i="16"/>
  <c r="C20" i="16" s="1"/>
  <c r="C25" i="16" s="1"/>
  <c r="E5" i="16"/>
  <c r="E10" i="16" s="1"/>
  <c r="E20" i="16" s="1"/>
  <c r="E25" i="16" s="1"/>
  <c r="C73" i="16"/>
  <c r="E73" i="16" s="1"/>
  <c r="N8" i="2"/>
  <c r="C74" i="16"/>
  <c r="E74" i="16" s="1"/>
  <c r="E7" i="16"/>
  <c r="L11" i="2"/>
  <c r="L19" i="2"/>
  <c r="L26" i="2"/>
  <c r="N28" i="2"/>
  <c r="L36" i="2"/>
  <c r="X38" i="2"/>
  <c r="X51" i="2" s="1"/>
  <c r="E80" i="16"/>
  <c r="F55" i="2"/>
  <c r="E56" i="2"/>
  <c r="X66" i="2"/>
  <c r="F94" i="2"/>
  <c r="H97" i="2"/>
  <c r="G59" i="4"/>
  <c r="V303" i="1"/>
  <c r="U303" i="1"/>
  <c r="L6" i="2"/>
  <c r="D74" i="16"/>
  <c r="F74" i="16" s="1"/>
  <c r="F7" i="16"/>
  <c r="N11" i="2"/>
  <c r="L14" i="2"/>
  <c r="N26" i="2"/>
  <c r="L31" i="2"/>
  <c r="D48" i="16"/>
  <c r="F48" i="16" s="1"/>
  <c r="E90" i="5"/>
  <c r="N36" i="2"/>
  <c r="F38" i="2"/>
  <c r="F51" i="2" s="1"/>
  <c r="G55" i="2"/>
  <c r="F56" i="2"/>
  <c r="G94" i="2"/>
  <c r="I97" i="2"/>
  <c r="H59" i="4"/>
  <c r="K9" i="7"/>
  <c r="K11" i="7" s="1"/>
  <c r="U265" i="1"/>
  <c r="V265" i="1"/>
  <c r="N6" i="2"/>
  <c r="L9" i="2"/>
  <c r="Q26" i="2"/>
  <c r="N31" i="2"/>
  <c r="C46" i="16"/>
  <c r="E45" i="16"/>
  <c r="L34" i="2"/>
  <c r="F66" i="2"/>
  <c r="J97" i="2"/>
  <c r="G38" i="4"/>
  <c r="I59" i="4"/>
  <c r="G74" i="4"/>
  <c r="F74" i="4"/>
  <c r="T214" i="1"/>
  <c r="T245" i="1" s="1"/>
  <c r="V345" i="1"/>
  <c r="U345" i="1"/>
  <c r="J756" i="1"/>
  <c r="J758" i="1" s="1"/>
  <c r="S438" i="1"/>
  <c r="V491" i="1"/>
  <c r="U491" i="1"/>
  <c r="V579" i="1"/>
  <c r="U579" i="1"/>
  <c r="V676" i="1"/>
  <c r="U676" i="1"/>
  <c r="U748" i="1"/>
  <c r="V748" i="1"/>
  <c r="H61" i="4"/>
  <c r="H68" i="4" s="1"/>
  <c r="H74" i="4" s="1"/>
  <c r="I71" i="4"/>
  <c r="I73" i="4" s="1"/>
  <c r="I74" i="4" s="1"/>
  <c r="S14" i="1"/>
  <c r="S175" i="1"/>
  <c r="P214" i="1"/>
  <c r="P245" i="1" s="1"/>
  <c r="V273" i="1"/>
  <c r="V295" i="1"/>
  <c r="N300" i="1"/>
  <c r="K10" i="7"/>
  <c r="S311" i="1"/>
  <c r="U316" i="1"/>
  <c r="V318" i="1"/>
  <c r="N319" i="1"/>
  <c r="V326" i="1"/>
  <c r="V327" i="1" s="1"/>
  <c r="K13" i="7"/>
  <c r="V344" i="1"/>
  <c r="V363" i="1"/>
  <c r="U382" i="1"/>
  <c r="T396" i="1"/>
  <c r="T419" i="1" s="1"/>
  <c r="V410" i="1"/>
  <c r="U429" i="1"/>
  <c r="U433" i="1" s="1"/>
  <c r="T438" i="1"/>
  <c r="T491" i="1"/>
  <c r="S510" i="1"/>
  <c r="V550" i="1"/>
  <c r="V559" i="1"/>
  <c r="V564" i="1"/>
  <c r="U564" i="1"/>
  <c r="V589" i="1"/>
  <c r="V592" i="1"/>
  <c r="U592" i="1"/>
  <c r="V608" i="1"/>
  <c r="V612" i="1"/>
  <c r="U615" i="1"/>
  <c r="U635" i="1"/>
  <c r="U642" i="1"/>
  <c r="V642" i="1"/>
  <c r="V656" i="1"/>
  <c r="U672" i="1"/>
  <c r="V672" i="1"/>
  <c r="T676" i="1"/>
  <c r="U738" i="1"/>
  <c r="M756" i="1"/>
  <c r="U23" i="1"/>
  <c r="U25" i="1"/>
  <c r="U27" i="1"/>
  <c r="U39" i="1"/>
  <c r="U41" i="1"/>
  <c r="P63" i="1"/>
  <c r="U81" i="1"/>
  <c r="V83" i="1"/>
  <c r="V114" i="1" s="1"/>
  <c r="U90" i="1"/>
  <c r="V99" i="1"/>
  <c r="U101" i="1"/>
  <c r="U103" i="1"/>
  <c r="U105" i="1"/>
  <c r="U107" i="1"/>
  <c r="U109" i="1"/>
  <c r="U111" i="1"/>
  <c r="U113" i="1"/>
  <c r="U120" i="1"/>
  <c r="U123" i="1" s="1"/>
  <c r="U131" i="1"/>
  <c r="U138" i="1"/>
  <c r="U147" i="1"/>
  <c r="U149" i="1"/>
  <c r="U151" i="1"/>
  <c r="U153" i="1"/>
  <c r="U155" i="1"/>
  <c r="U157" i="1"/>
  <c r="U159" i="1"/>
  <c r="U161" i="1"/>
  <c r="U163" i="1"/>
  <c r="U165" i="1"/>
  <c r="U167" i="1"/>
  <c r="U169" i="1"/>
  <c r="U171" i="1"/>
  <c r="U173" i="1"/>
  <c r="U177" i="1"/>
  <c r="U184" i="1"/>
  <c r="U193" i="1"/>
  <c r="U200" i="1"/>
  <c r="U209" i="1"/>
  <c r="S233" i="1"/>
  <c r="U240" i="1"/>
  <c r="U242" i="1"/>
  <c r="U264" i="1"/>
  <c r="V271" i="1"/>
  <c r="U278" i="1"/>
  <c r="V293" i="1"/>
  <c r="U314" i="1"/>
  <c r="S324" i="1"/>
  <c r="U334" i="1"/>
  <c r="U336" i="1"/>
  <c r="V342" i="1"/>
  <c r="U350" i="1"/>
  <c r="K357" i="1"/>
  <c r="U368" i="1"/>
  <c r="U372" i="1"/>
  <c r="K15" i="7"/>
  <c r="N394" i="1"/>
  <c r="U384" i="1"/>
  <c r="U386" i="1"/>
  <c r="U388" i="1"/>
  <c r="U396" i="1"/>
  <c r="U398" i="1"/>
  <c r="U400" i="1"/>
  <c r="V408" i="1"/>
  <c r="U416" i="1"/>
  <c r="T433" i="1"/>
  <c r="U431" i="1"/>
  <c r="V450" i="1"/>
  <c r="U481" i="1"/>
  <c r="U496" i="1"/>
  <c r="U498" i="1"/>
  <c r="U500" i="1"/>
  <c r="U502" i="1"/>
  <c r="V502" i="1"/>
  <c r="V504" i="1"/>
  <c r="V523" i="1"/>
  <c r="U523" i="1"/>
  <c r="V538" i="1"/>
  <c r="U555" i="1"/>
  <c r="V557" i="1"/>
  <c r="U560" i="1"/>
  <c r="V560" i="1"/>
  <c r="K24" i="7"/>
  <c r="N619" i="1"/>
  <c r="V601" i="1"/>
  <c r="U604" i="1"/>
  <c r="V604" i="1"/>
  <c r="V606" i="1"/>
  <c r="K26" i="7"/>
  <c r="U630" i="1"/>
  <c r="V633" i="1"/>
  <c r="U633" i="1"/>
  <c r="U640" i="1"/>
  <c r="U659" i="1"/>
  <c r="U670" i="1"/>
  <c r="V670" i="1"/>
  <c r="L756" i="1"/>
  <c r="L758" i="1" s="1"/>
  <c r="I9" i="7"/>
  <c r="I11" i="7" s="1"/>
  <c r="I39" i="7" s="1"/>
  <c r="M15" i="15"/>
  <c r="N3" i="15"/>
  <c r="N15" i="15" s="1"/>
  <c r="P7" i="1"/>
  <c r="V39" i="1"/>
  <c r="U65" i="1"/>
  <c r="U79" i="1"/>
  <c r="V97" i="1"/>
  <c r="U129" i="1"/>
  <c r="U191" i="1"/>
  <c r="U207" i="1"/>
  <c r="S229" i="1"/>
  <c r="V240" i="1"/>
  <c r="V244" i="1" s="1"/>
  <c r="S244" i="1"/>
  <c r="T261" i="1"/>
  <c r="S302" i="1"/>
  <c r="P319" i="1"/>
  <c r="P327" i="1"/>
  <c r="S394" i="1"/>
  <c r="V396" i="1"/>
  <c r="S433" i="1"/>
  <c r="S446" i="1"/>
  <c r="S470" i="1"/>
  <c r="S489" i="1"/>
  <c r="S553" i="1"/>
  <c r="U654" i="1"/>
  <c r="V654" i="1"/>
  <c r="D17" i="16"/>
  <c r="F17" i="16" s="1"/>
  <c r="S214" i="1"/>
  <c r="S425" i="1"/>
  <c r="T446" i="1"/>
  <c r="K23" i="7"/>
  <c r="K30" i="7" s="1"/>
  <c r="V475" i="1"/>
  <c r="U477" i="1"/>
  <c r="V495" i="1"/>
  <c r="U495" i="1"/>
  <c r="V511" i="1"/>
  <c r="V613" i="1"/>
  <c r="V631" i="1"/>
  <c r="U631" i="1"/>
  <c r="U660" i="1"/>
  <c r="V660" i="1"/>
  <c r="D18" i="16"/>
  <c r="F18" i="16" s="1"/>
  <c r="S42" i="1"/>
  <c r="S63" i="1" s="1"/>
  <c r="V116" i="1"/>
  <c r="T371" i="1"/>
  <c r="L23" i="7"/>
  <c r="S454" i="1"/>
  <c r="V471" i="1"/>
  <c r="U471" i="1"/>
  <c r="S531" i="1"/>
  <c r="T531" i="1"/>
  <c r="S565" i="1"/>
  <c r="S602" i="1"/>
  <c r="U614" i="1"/>
  <c r="V614" i="1"/>
  <c r="U646" i="1"/>
  <c r="V646" i="1"/>
  <c r="V655" i="1"/>
  <c r="U655" i="1"/>
  <c r="U737" i="1"/>
  <c r="U740" i="1" s="1"/>
  <c r="V737" i="1"/>
  <c r="V740" i="1" s="1"/>
  <c r="V751" i="1"/>
  <c r="U751" i="1"/>
  <c r="S3" i="1"/>
  <c r="U20" i="1"/>
  <c r="U22" i="1"/>
  <c r="U24" i="1"/>
  <c r="U26" i="1"/>
  <c r="U40" i="1"/>
  <c r="U80" i="1"/>
  <c r="U82" i="1"/>
  <c r="V91" i="1"/>
  <c r="U98" i="1"/>
  <c r="U100" i="1"/>
  <c r="U102" i="1"/>
  <c r="U104" i="1"/>
  <c r="U106" i="1"/>
  <c r="U108" i="1"/>
  <c r="U110" i="1"/>
  <c r="U112" i="1"/>
  <c r="V121" i="1"/>
  <c r="U130" i="1"/>
  <c r="U139" i="1"/>
  <c r="U176" i="1"/>
  <c r="U185" i="1"/>
  <c r="U192" i="1"/>
  <c r="U201" i="1"/>
  <c r="U208" i="1"/>
  <c r="U232" i="1"/>
  <c r="U233" i="1" s="1"/>
  <c r="U241" i="1"/>
  <c r="U243" i="1"/>
  <c r="M245" i="1"/>
  <c r="M758" i="1" s="1"/>
  <c r="V263" i="1"/>
  <c r="U270" i="1"/>
  <c r="V279" i="1"/>
  <c r="U285" i="1"/>
  <c r="S312" i="1"/>
  <c r="U313" i="1"/>
  <c r="S337" i="1"/>
  <c r="U341" i="1"/>
  <c r="U347" i="1"/>
  <c r="V351" i="1"/>
  <c r="O357" i="1"/>
  <c r="V369" i="1"/>
  <c r="U371" i="1"/>
  <c r="S373" i="1"/>
  <c r="U377" i="1"/>
  <c r="N380" i="1"/>
  <c r="U383" i="1"/>
  <c r="U385" i="1"/>
  <c r="U387" i="1"/>
  <c r="U389" i="1"/>
  <c r="K16" i="7"/>
  <c r="U397" i="1"/>
  <c r="U399" i="1"/>
  <c r="U407" i="1"/>
  <c r="V417" i="1"/>
  <c r="U424" i="1"/>
  <c r="U425" i="1" s="1"/>
  <c r="V428" i="1"/>
  <c r="V433" i="1" s="1"/>
  <c r="U439" i="1"/>
  <c r="T452" i="1"/>
  <c r="T454" i="1"/>
  <c r="U466" i="1"/>
  <c r="U490" i="1"/>
  <c r="V493" i="1"/>
  <c r="U493" i="1"/>
  <c r="U514" i="1"/>
  <c r="U524" i="1"/>
  <c r="U543" i="1"/>
  <c r="U547" i="1"/>
  <c r="U571" i="1"/>
  <c r="V581" i="1"/>
  <c r="U581" i="1"/>
  <c r="U583" i="1"/>
  <c r="V634" i="1"/>
  <c r="U649" i="1"/>
  <c r="U652" i="1"/>
  <c r="V652" i="1"/>
  <c r="U16" i="1"/>
  <c r="U18" i="1"/>
  <c r="V22" i="1"/>
  <c r="V28" i="1" s="1"/>
  <c r="S28" i="1"/>
  <c r="V89" i="1"/>
  <c r="V119" i="1"/>
  <c r="U137" i="1"/>
  <c r="U183" i="1"/>
  <c r="U199" i="1"/>
  <c r="V260" i="1"/>
  <c r="V277" i="1"/>
  <c r="T326" i="1"/>
  <c r="T327" i="1" s="1"/>
  <c r="V349" i="1"/>
  <c r="V367" i="1"/>
  <c r="O380" i="1"/>
  <c r="O756" i="1" s="1"/>
  <c r="V394" i="1"/>
  <c r="U393" i="1"/>
  <c r="V415" i="1"/>
  <c r="U437" i="1"/>
  <c r="V469" i="1"/>
  <c r="U469" i="1"/>
  <c r="V478" i="1"/>
  <c r="V512" i="1"/>
  <c r="U518" i="1"/>
  <c r="U545" i="1"/>
  <c r="U569" i="1"/>
  <c r="T596" i="1"/>
  <c r="S600" i="1"/>
  <c r="U622" i="1"/>
  <c r="U624" i="1" s="1"/>
  <c r="V639" i="1"/>
  <c r="V647" i="1"/>
  <c r="U647" i="1"/>
  <c r="V721" i="1"/>
  <c r="U721" i="1"/>
  <c r="E9" i="7"/>
  <c r="E11" i="7" s="1"/>
  <c r="M30" i="13"/>
  <c r="P440" i="1" s="1"/>
  <c r="L20" i="7"/>
  <c r="S443" i="1"/>
  <c r="V663" i="1"/>
  <c r="U663" i="1"/>
  <c r="H21" i="7"/>
  <c r="K19" i="7"/>
  <c r="S497" i="1"/>
  <c r="T497" i="1"/>
  <c r="U554" i="1"/>
  <c r="V554" i="1"/>
  <c r="S624" i="1"/>
  <c r="U658" i="1"/>
  <c r="V658" i="1"/>
  <c r="K29" i="7"/>
  <c r="N740" i="1"/>
  <c r="I21" i="7"/>
  <c r="S750" i="1"/>
  <c r="K756" i="1"/>
  <c r="K758" i="1" s="1"/>
  <c r="D11" i="7"/>
  <c r="F8" i="7"/>
  <c r="F11" i="7" s="1"/>
  <c r="AD833" i="17"/>
  <c r="AD1554" i="17" s="1"/>
  <c r="AD1555" i="17" s="1"/>
  <c r="E23" i="7"/>
  <c r="E30" i="7" s="1"/>
  <c r="H587" i="1"/>
  <c r="H756" i="1" s="1"/>
  <c r="H758" i="1" s="1"/>
  <c r="Q756" i="1"/>
  <c r="Q758" i="1" s="1"/>
  <c r="D39" i="7"/>
  <c r="E46" i="16"/>
  <c r="M4" i="13"/>
  <c r="P262" i="1" s="1"/>
  <c r="L9" i="7" s="1"/>
  <c r="L11" i="7" s="1"/>
  <c r="T4" i="13"/>
  <c r="J113" i="13"/>
  <c r="M17" i="13"/>
  <c r="P352" i="1" s="1"/>
  <c r="T17" i="13"/>
  <c r="AB833" i="17"/>
  <c r="B58" i="16"/>
  <c r="I755" i="1"/>
  <c r="I756" i="1" s="1"/>
  <c r="I758" i="1" s="1"/>
  <c r="F17" i="7"/>
  <c r="F21" i="7" s="1"/>
  <c r="F39" i="7" s="1"/>
  <c r="G39" i="7"/>
  <c r="M6" i="13"/>
  <c r="P284" i="1" s="1"/>
  <c r="I35" i="7"/>
  <c r="H39" i="7"/>
  <c r="D18" i="10"/>
  <c r="T40" i="13"/>
  <c r="T92" i="13"/>
  <c r="T12" i="13"/>
  <c r="T34" i="13"/>
  <c r="T43" i="13"/>
  <c r="T23" i="13"/>
  <c r="T28" i="13"/>
  <c r="T41" i="13"/>
  <c r="T48" i="13"/>
  <c r="M106" i="13"/>
  <c r="P731" i="1" s="1"/>
  <c r="T3" i="13"/>
  <c r="T56" i="13"/>
  <c r="T63" i="13"/>
  <c r="AE150" i="17"/>
  <c r="S113" i="13"/>
  <c r="T53" i="13"/>
  <c r="M8" i="13"/>
  <c r="P292" i="1" s="1"/>
  <c r="M14" i="13"/>
  <c r="P329" i="1" s="1"/>
  <c r="T21" i="13"/>
  <c r="M21" i="13"/>
  <c r="P361" i="1" s="1"/>
  <c r="T25" i="13"/>
  <c r="M35" i="13"/>
  <c r="P479" i="1" s="1"/>
  <c r="P587" i="1" s="1"/>
  <c r="M44" i="13"/>
  <c r="P505" i="1" s="1"/>
  <c r="T55" i="13"/>
  <c r="M55" i="13"/>
  <c r="P540" i="1" s="1"/>
  <c r="F25" i="7"/>
  <c r="F30" i="7" s="1"/>
  <c r="S1092" i="12"/>
  <c r="K110" i="13" s="1"/>
  <c r="N749" i="1" s="1"/>
  <c r="T22" i="13"/>
  <c r="T45" i="13"/>
  <c r="T99" i="13"/>
  <c r="V1552" i="17"/>
  <c r="V1554" i="17" s="1"/>
  <c r="AE59" i="17"/>
  <c r="AB73" i="17"/>
  <c r="AB354" i="17"/>
  <c r="AB441" i="17"/>
  <c r="AB688" i="17"/>
  <c r="M60" i="13"/>
  <c r="P551" i="1" s="1"/>
  <c r="M62" i="13"/>
  <c r="P556" i="1" s="1"/>
  <c r="M88" i="13"/>
  <c r="P590" i="1" s="1"/>
  <c r="M94" i="13"/>
  <c r="P626" i="1" s="1"/>
  <c r="M110" i="13"/>
  <c r="P749" i="1" s="1"/>
  <c r="W1552" i="17"/>
  <c r="W1554" i="17" s="1"/>
  <c r="AB47" i="17"/>
  <c r="AB76" i="17"/>
  <c r="AC110" i="17"/>
  <c r="AB158" i="17"/>
  <c r="AE161" i="17" s="1"/>
  <c r="AC867" i="17"/>
  <c r="AC1554" i="17" s="1"/>
  <c r="AC1555" i="17" s="1"/>
  <c r="AB965" i="17"/>
  <c r="AE970" i="17" s="1"/>
  <c r="AC970" i="17"/>
  <c r="AB1090" i="17"/>
  <c r="AE1551" i="17" s="1"/>
  <c r="AB1548" i="17"/>
  <c r="AB13" i="17"/>
  <c r="AE13" i="17" s="1"/>
  <c r="AB867" i="17"/>
  <c r="AE867" i="17" s="1"/>
  <c r="M41" i="13"/>
  <c r="P494" i="1" s="1"/>
  <c r="M49" i="13"/>
  <c r="P528" i="1" s="1"/>
  <c r="M54" i="13"/>
  <c r="P539" i="1" s="1"/>
  <c r="M64" i="13"/>
  <c r="P561" i="1" s="1"/>
  <c r="AC76" i="17"/>
  <c r="AB1057" i="17"/>
  <c r="AB122" i="17"/>
  <c r="AB186" i="17"/>
  <c r="AE186" i="17" s="1"/>
  <c r="AB479" i="17"/>
  <c r="AB629" i="17"/>
  <c r="AB999" i="17"/>
  <c r="AB1507" i="17"/>
  <c r="AB6" i="17"/>
  <c r="AB1552" i="17" s="1"/>
  <c r="AB83" i="17"/>
  <c r="AE110" i="17" s="1"/>
  <c r="AB101" i="17"/>
  <c r="AB125" i="17"/>
  <c r="AE128" i="17"/>
  <c r="AB211" i="17"/>
  <c r="AB461" i="17"/>
  <c r="AC833" i="17"/>
  <c r="AB1012" i="17"/>
  <c r="AC1551" i="17"/>
  <c r="E39" i="7" l="1"/>
  <c r="T441" i="1"/>
  <c r="X1554" i="17"/>
  <c r="AB1554" i="17"/>
  <c r="T88" i="13"/>
  <c r="T35" i="13"/>
  <c r="S284" i="1"/>
  <c r="T284" i="1"/>
  <c r="V497" i="1"/>
  <c r="U497" i="1"/>
  <c r="L19" i="7"/>
  <c r="T440" i="1"/>
  <c r="S440" i="1"/>
  <c r="S551" i="1"/>
  <c r="T551" i="1"/>
  <c r="T64" i="13"/>
  <c r="T49" i="13"/>
  <c r="L28" i="7"/>
  <c r="P735" i="1"/>
  <c r="T731" i="1"/>
  <c r="T735" i="1" s="1"/>
  <c r="S731" i="1"/>
  <c r="T6" i="13"/>
  <c r="T352" i="1"/>
  <c r="S352" i="1"/>
  <c r="T540" i="1"/>
  <c r="S540" i="1"/>
  <c r="T60" i="13"/>
  <c r="U419" i="1"/>
  <c r="V510" i="1"/>
  <c r="U510" i="1"/>
  <c r="X40" i="2"/>
  <c r="D76" i="4"/>
  <c r="V553" i="1"/>
  <c r="U553" i="1"/>
  <c r="K21" i="7"/>
  <c r="L21" i="2"/>
  <c r="I76" i="4"/>
  <c r="H56" i="2"/>
  <c r="C52" i="2"/>
  <c r="E76" i="4"/>
  <c r="F52" i="2"/>
  <c r="U489" i="1"/>
  <c r="V489" i="1"/>
  <c r="C51" i="2"/>
  <c r="U602" i="1"/>
  <c r="V602" i="1"/>
  <c r="S539" i="1"/>
  <c r="T539" i="1"/>
  <c r="L37" i="7"/>
  <c r="S749" i="1"/>
  <c r="P755" i="1"/>
  <c r="T749" i="1"/>
  <c r="T755" i="1" s="1"/>
  <c r="I27" i="2"/>
  <c r="V373" i="1"/>
  <c r="U373" i="1"/>
  <c r="V123" i="1"/>
  <c r="V470" i="1"/>
  <c r="U470" i="1"/>
  <c r="U302" i="1"/>
  <c r="S319" i="1"/>
  <c r="V302" i="1"/>
  <c r="J46" i="4"/>
  <c r="F45" i="16"/>
  <c r="F46" i="16" s="1"/>
  <c r="D46" i="16"/>
  <c r="F40" i="2"/>
  <c r="F103" i="2" s="1"/>
  <c r="K37" i="7"/>
  <c r="N755" i="1"/>
  <c r="N756" i="1" s="1"/>
  <c r="S505" i="1"/>
  <c r="T505" i="1"/>
  <c r="T14" i="13"/>
  <c r="B61" i="16"/>
  <c r="B79" i="16"/>
  <c r="B81" i="16" s="1"/>
  <c r="T62" i="13"/>
  <c r="U443" i="1"/>
  <c r="J58" i="4"/>
  <c r="S452" i="1"/>
  <c r="V443" i="1"/>
  <c r="U28" i="1"/>
  <c r="V337" i="1"/>
  <c r="U337" i="1"/>
  <c r="U565" i="1"/>
  <c r="V565" i="1"/>
  <c r="J28" i="2"/>
  <c r="T528" i="1"/>
  <c r="S528" i="1"/>
  <c r="L26" i="7"/>
  <c r="T626" i="1"/>
  <c r="T725" i="1" s="1"/>
  <c r="P725" i="1"/>
  <c r="S626" i="1"/>
  <c r="W128" i="1"/>
  <c r="I30" i="2"/>
  <c r="T110" i="13"/>
  <c r="T44" i="13"/>
  <c r="T292" i="1"/>
  <c r="S292" i="1"/>
  <c r="M113" i="13"/>
  <c r="S494" i="1"/>
  <c r="T494" i="1"/>
  <c r="L24" i="7"/>
  <c r="L30" i="7" s="1"/>
  <c r="T590" i="1"/>
  <c r="T619" i="1" s="1"/>
  <c r="S590" i="1"/>
  <c r="P619" i="1"/>
  <c r="T94" i="13"/>
  <c r="S479" i="1"/>
  <c r="T479" i="1"/>
  <c r="T587" i="1" s="1"/>
  <c r="I29" i="2"/>
  <c r="T8" i="13"/>
  <c r="AE833" i="17"/>
  <c r="T262" i="1"/>
  <c r="T300" i="1" s="1"/>
  <c r="S262" i="1"/>
  <c r="I24" i="2"/>
  <c r="T30" i="13"/>
  <c r="V312" i="1"/>
  <c r="U312" i="1"/>
  <c r="V531" i="1"/>
  <c r="U531" i="1"/>
  <c r="U42" i="1"/>
  <c r="U63" i="1" s="1"/>
  <c r="V42" i="1"/>
  <c r="J15" i="4"/>
  <c r="J20" i="4" s="1"/>
  <c r="J8" i="2"/>
  <c r="D9" i="16" s="1"/>
  <c r="F9" i="16" s="1"/>
  <c r="U446" i="1"/>
  <c r="V446" i="1"/>
  <c r="P300" i="1"/>
  <c r="U244" i="1"/>
  <c r="P441" i="1"/>
  <c r="O758" i="1"/>
  <c r="D51" i="2"/>
  <c r="H52" i="2"/>
  <c r="T561" i="1"/>
  <c r="S561" i="1"/>
  <c r="K113" i="13"/>
  <c r="V750" i="1"/>
  <c r="U750" i="1"/>
  <c r="J41" i="2"/>
  <c r="D80" i="16" s="1"/>
  <c r="F80" i="16" s="1"/>
  <c r="J36" i="2"/>
  <c r="S556" i="1"/>
  <c r="S587" i="1" s="1"/>
  <c r="T556" i="1"/>
  <c r="J57" i="4"/>
  <c r="V438" i="1"/>
  <c r="U438" i="1"/>
  <c r="S441" i="1"/>
  <c r="H42" i="2"/>
  <c r="H103" i="2"/>
  <c r="H76" i="4"/>
  <c r="L13" i="7"/>
  <c r="L21" i="7" s="1"/>
  <c r="T329" i="1"/>
  <c r="T357" i="1" s="1"/>
  <c r="P357" i="1"/>
  <c r="S329" i="1"/>
  <c r="S7" i="1"/>
  <c r="S245" i="1" s="1"/>
  <c r="V3" i="1"/>
  <c r="V7" i="1" s="1"/>
  <c r="U3" i="1"/>
  <c r="U7" i="1" s="1"/>
  <c r="J6" i="2"/>
  <c r="J8" i="4"/>
  <c r="J11" i="4" s="1"/>
  <c r="V419" i="1"/>
  <c r="U114" i="1"/>
  <c r="U394" i="1"/>
  <c r="V311" i="1"/>
  <c r="U311" i="1"/>
  <c r="J25" i="2"/>
  <c r="V175" i="1"/>
  <c r="V214" i="1" s="1"/>
  <c r="V245" i="1" s="1"/>
  <c r="U175" i="1"/>
  <c r="U214" i="1" s="1"/>
  <c r="J12" i="2"/>
  <c r="J25" i="4"/>
  <c r="J28" i="4" s="1"/>
  <c r="I56" i="2"/>
  <c r="N46" i="2"/>
  <c r="G42" i="2"/>
  <c r="G103" i="2"/>
  <c r="AE1554" i="17"/>
  <c r="AE1555" i="17" s="1"/>
  <c r="AE76" i="17"/>
  <c r="T54" i="13"/>
  <c r="L14" i="7"/>
  <c r="S361" i="1"/>
  <c r="P380" i="1"/>
  <c r="T361" i="1"/>
  <c r="T380" i="1" s="1"/>
  <c r="T106" i="13"/>
  <c r="V600" i="1"/>
  <c r="U600" i="1"/>
  <c r="U454" i="1"/>
  <c r="J61" i="4"/>
  <c r="V454" i="1"/>
  <c r="J29" i="2"/>
  <c r="D34" i="16" s="1"/>
  <c r="V63" i="1"/>
  <c r="G76" i="4"/>
  <c r="G56" i="2"/>
  <c r="D49" i="16" l="1"/>
  <c r="E88" i="5"/>
  <c r="V494" i="1"/>
  <c r="U494" i="1"/>
  <c r="V626" i="1"/>
  <c r="V725" i="1" s="1"/>
  <c r="S725" i="1"/>
  <c r="U626" i="1"/>
  <c r="U725" i="1" s="1"/>
  <c r="J64" i="4"/>
  <c r="J30" i="2"/>
  <c r="J55" i="2" s="1"/>
  <c r="V539" i="1"/>
  <c r="U539" i="1"/>
  <c r="V551" i="1"/>
  <c r="U551" i="1"/>
  <c r="C38" i="16"/>
  <c r="N30" i="2"/>
  <c r="L30" i="2"/>
  <c r="I85" i="2"/>
  <c r="I87" i="2" s="1"/>
  <c r="I88" i="2" s="1"/>
  <c r="I55" i="2"/>
  <c r="V479" i="1"/>
  <c r="U479" i="1"/>
  <c r="V319" i="1"/>
  <c r="S735" i="1"/>
  <c r="U731" i="1"/>
  <c r="U735" i="1" s="1"/>
  <c r="V731" i="1"/>
  <c r="V735" i="1" s="1"/>
  <c r="J66" i="4"/>
  <c r="V440" i="1"/>
  <c r="U440" i="1"/>
  <c r="U441" i="1" s="1"/>
  <c r="D31" i="16"/>
  <c r="J100" i="2"/>
  <c r="N27" i="2"/>
  <c r="L27" i="2"/>
  <c r="F34" i="16"/>
  <c r="F36" i="16" s="1"/>
  <c r="V361" i="1"/>
  <c r="V380" i="1" s="1"/>
  <c r="J52" i="4"/>
  <c r="U361" i="1"/>
  <c r="U380" i="1" s="1"/>
  <c r="S380" i="1"/>
  <c r="U319" i="1"/>
  <c r="T756" i="1"/>
  <c r="T758" i="1" s="1"/>
  <c r="D13" i="16"/>
  <c r="E46" i="5"/>
  <c r="J84" i="2"/>
  <c r="E10" i="5"/>
  <c r="V441" i="1"/>
  <c r="V590" i="1"/>
  <c r="V619" i="1" s="1"/>
  <c r="U590" i="1"/>
  <c r="U619" i="1" s="1"/>
  <c r="J62" i="4"/>
  <c r="J68" i="4" s="1"/>
  <c r="E125" i="5" s="1"/>
  <c r="S619" i="1"/>
  <c r="V528" i="1"/>
  <c r="U528" i="1"/>
  <c r="V452" i="1"/>
  <c r="P756" i="1"/>
  <c r="P758" i="1" s="1"/>
  <c r="U540" i="1"/>
  <c r="V540" i="1"/>
  <c r="C30" i="16"/>
  <c r="L24" i="2"/>
  <c r="I91" i="2"/>
  <c r="I66" i="2"/>
  <c r="L66" i="2" s="1"/>
  <c r="I38" i="2"/>
  <c r="I40" i="2" s="1"/>
  <c r="N24" i="2"/>
  <c r="V292" i="1"/>
  <c r="U292" i="1"/>
  <c r="J38" i="4"/>
  <c r="V329" i="1"/>
  <c r="U329" i="1"/>
  <c r="U357" i="1" s="1"/>
  <c r="J51" i="4"/>
  <c r="J59" i="4" s="1"/>
  <c r="E124" i="5" s="1"/>
  <c r="S357" i="1"/>
  <c r="V262" i="1"/>
  <c r="U262" i="1"/>
  <c r="J45" i="4"/>
  <c r="J24" i="2"/>
  <c r="S300" i="1"/>
  <c r="V561" i="1"/>
  <c r="U561" i="1"/>
  <c r="U245" i="1"/>
  <c r="V505" i="1"/>
  <c r="V587" i="1" s="1"/>
  <c r="U505" i="1"/>
  <c r="U587" i="1" s="1"/>
  <c r="V749" i="1"/>
  <c r="V755" i="1" s="1"/>
  <c r="U749" i="1"/>
  <c r="U755" i="1" s="1"/>
  <c r="J27" i="2"/>
  <c r="S755" i="1"/>
  <c r="J72" i="4"/>
  <c r="J73" i="4" s="1"/>
  <c r="D35" i="16"/>
  <c r="F35" i="16" s="1"/>
  <c r="Q28" i="2"/>
  <c r="J78" i="2"/>
  <c r="J80" i="2" s="1"/>
  <c r="J81" i="2" s="1"/>
  <c r="J54" i="2"/>
  <c r="L39" i="7"/>
  <c r="X42" i="2"/>
  <c r="X103" i="2"/>
  <c r="V352" i="1"/>
  <c r="U352" i="1"/>
  <c r="D5" i="16"/>
  <c r="E43" i="5"/>
  <c r="J21" i="2"/>
  <c r="J56" i="2"/>
  <c r="J94" i="2"/>
  <c r="U556" i="1"/>
  <c r="V556" i="1"/>
  <c r="C34" i="16"/>
  <c r="N29" i="2"/>
  <c r="L29" i="2"/>
  <c r="I78" i="2"/>
  <c r="I80" i="2" s="1"/>
  <c r="I81" i="2" s="1"/>
  <c r="I54" i="2"/>
  <c r="U452" i="1"/>
  <c r="K39" i="7"/>
  <c r="V284" i="1"/>
  <c r="U284" i="1"/>
  <c r="J52" i="2" l="1"/>
  <c r="E9" i="5"/>
  <c r="E51" i="5"/>
  <c r="J40" i="2"/>
  <c r="U756" i="1"/>
  <c r="U758" i="1" s="1"/>
  <c r="V357" i="1"/>
  <c r="I51" i="2"/>
  <c r="D30" i="16"/>
  <c r="E86" i="5"/>
  <c r="J91" i="2"/>
  <c r="J66" i="2"/>
  <c r="J38" i="2"/>
  <c r="E92" i="5" s="1"/>
  <c r="G125" i="5" s="1"/>
  <c r="L38" i="2"/>
  <c r="L40" i="2" s="1"/>
  <c r="G46" i="5"/>
  <c r="D78" i="16"/>
  <c r="F78" i="16" s="1"/>
  <c r="F31" i="16"/>
  <c r="F13" i="16"/>
  <c r="G43" i="5"/>
  <c r="V756" i="1"/>
  <c r="V758" i="1" s="1"/>
  <c r="D10" i="16"/>
  <c r="D20" i="16" s="1"/>
  <c r="D25" i="16" s="1"/>
  <c r="F5" i="16"/>
  <c r="F10" i="16" s="1"/>
  <c r="D73" i="16"/>
  <c r="F73" i="16" s="1"/>
  <c r="J49" i="4"/>
  <c r="E123" i="5"/>
  <c r="E30" i="16"/>
  <c r="E32" i="16" s="1"/>
  <c r="C32" i="16"/>
  <c r="C77" i="16"/>
  <c r="E77" i="16" s="1"/>
  <c r="E34" i="16"/>
  <c r="E36" i="16" s="1"/>
  <c r="C36" i="16"/>
  <c r="C75" i="16" s="1"/>
  <c r="E75" i="16" s="1"/>
  <c r="U300" i="1"/>
  <c r="D36" i="16"/>
  <c r="D75" i="16" s="1"/>
  <c r="F75" i="16" s="1"/>
  <c r="G88" i="5"/>
  <c r="D38" i="16"/>
  <c r="J85" i="2"/>
  <c r="J87" i="2" s="1"/>
  <c r="J88" i="2" s="1"/>
  <c r="F49" i="16"/>
  <c r="V300" i="1"/>
  <c r="I42" i="2"/>
  <c r="I103" i="2"/>
  <c r="G124" i="5"/>
  <c r="E126" i="5"/>
  <c r="J74" i="4"/>
  <c r="J76" i="4" s="1"/>
  <c r="S756" i="1"/>
  <c r="S758" i="1" s="1"/>
  <c r="I52" i="2"/>
  <c r="C40" i="16"/>
  <c r="E38" i="16"/>
  <c r="E40" i="16" s="1"/>
  <c r="G126" i="5" l="1"/>
  <c r="F38" i="16"/>
  <c r="F40" i="16" s="1"/>
  <c r="D40" i="16"/>
  <c r="E87" i="5"/>
  <c r="G87" i="5" s="1"/>
  <c r="G127" i="5"/>
  <c r="G90" i="5"/>
  <c r="G89" i="5"/>
  <c r="E129" i="5"/>
  <c r="G123" i="5"/>
  <c r="J42" i="2"/>
  <c r="J103" i="2"/>
  <c r="Q40" i="2"/>
  <c r="E42" i="16"/>
  <c r="E50" i="16" s="1"/>
  <c r="E55" i="16" s="1"/>
  <c r="E58" i="16" s="1"/>
  <c r="E44" i="5"/>
  <c r="G44" i="5" s="1"/>
  <c r="G51" i="5" s="1"/>
  <c r="G48" i="5"/>
  <c r="G47" i="5"/>
  <c r="G49" i="5"/>
  <c r="G45" i="5"/>
  <c r="C42" i="16"/>
  <c r="C50" i="16" s="1"/>
  <c r="C55" i="16" s="1"/>
  <c r="C58" i="16" s="1"/>
  <c r="C76" i="16"/>
  <c r="E76" i="16" s="1"/>
  <c r="J51" i="2"/>
  <c r="E12" i="5"/>
  <c r="G10" i="5" s="1"/>
  <c r="G9" i="5"/>
  <c r="G12" i="5" s="1"/>
  <c r="F30" i="16"/>
  <c r="F32" i="16" s="1"/>
  <c r="D32" i="16"/>
  <c r="D77" i="16"/>
  <c r="F77" i="16" s="1"/>
  <c r="F20" i="16"/>
  <c r="F25" i="16" s="1"/>
  <c r="G86" i="5"/>
  <c r="G92" i="5" l="1"/>
  <c r="C61" i="16"/>
  <c r="C79" i="16"/>
  <c r="D42" i="16"/>
  <c r="D50" i="16" s="1"/>
  <c r="D55" i="16" s="1"/>
  <c r="D58" i="16" s="1"/>
  <c r="D76" i="16"/>
  <c r="F76" i="16" s="1"/>
  <c r="G129" i="5"/>
  <c r="F42" i="16"/>
  <c r="F50" i="16" s="1"/>
  <c r="F55" i="16" s="1"/>
  <c r="D61" i="16" l="1"/>
  <c r="F61" i="16" s="1"/>
  <c r="D79" i="16"/>
  <c r="F58" i="16"/>
  <c r="C81" i="16"/>
  <c r="E81" i="16" s="1"/>
  <c r="E79" i="16"/>
  <c r="D81" i="16" l="1"/>
  <c r="F81" i="16" s="1"/>
  <c r="F79" i="16"/>
</calcChain>
</file>

<file path=xl/comments1.xml><?xml version="1.0" encoding="utf-8"?>
<comments xmlns="http://schemas.openxmlformats.org/spreadsheetml/2006/main">
  <authors>
    <author>מחבר</author>
  </authors>
  <commentList>
    <comment ref="I751" authorId="0" shapeId="0">
      <text>
        <r>
          <rPr>
            <b/>
            <sz val="9"/>
            <color indexed="81"/>
            <rFont val="Tahoma"/>
            <family val="2"/>
          </rPr>
          <t>מחבר:</t>
        </r>
        <r>
          <rPr>
            <sz val="9"/>
            <color indexed="81"/>
            <rFont val="Tahoma"/>
            <family val="2"/>
          </rPr>
          <t xml:space="preserve">
ביקורת ניכויים, סגירת כרטיס הרמלין, תביעת חברת שטאנג</t>
        </r>
      </text>
    </comment>
  </commentList>
</comments>
</file>

<file path=xl/comments2.xml><?xml version="1.0" encoding="utf-8"?>
<comments xmlns="http://schemas.openxmlformats.org/spreadsheetml/2006/main">
  <authors>
    <author>מחבר</author>
  </authors>
  <commentList>
    <comment ref="AE470" authorId="0" shapeId="0">
      <text>
        <r>
          <rPr>
            <b/>
            <sz val="9"/>
            <color indexed="81"/>
            <rFont val="Tahoma"/>
            <family val="2"/>
          </rPr>
          <t>מחבר:</t>
        </r>
        <r>
          <rPr>
            <sz val="9"/>
            <color indexed="81"/>
            <rFont val="Tahoma"/>
            <family val="2"/>
          </rPr>
          <t xml:space="preserve">
צפויה עליה בהיקף משרה</t>
        </r>
      </text>
    </comment>
  </commentList>
</comments>
</file>

<file path=xl/sharedStrings.xml><?xml version="1.0" encoding="utf-8"?>
<sst xmlns="http://schemas.openxmlformats.org/spreadsheetml/2006/main" count="13202" uniqueCount="3586">
  <si>
    <t>מס' כרטיס</t>
  </si>
  <si>
    <t>סעיף חדש?</t>
  </si>
  <si>
    <t>ארנונה</t>
  </si>
  <si>
    <t>הנחות ארנונה</t>
  </si>
  <si>
    <t>עצמיות אחר</t>
  </si>
  <si>
    <t>מענקים אחרים ממשרד הפנים</t>
  </si>
  <si>
    <t>מענק איזון</t>
  </si>
  <si>
    <t>מענקים חד פעמיים</t>
  </si>
  <si>
    <t/>
  </si>
  <si>
    <t>תקבולים ממשלתיים אחרים</t>
  </si>
  <si>
    <t>עצמיות חינוך</t>
  </si>
  <si>
    <t>תקבולים ממשרד החינוך</t>
  </si>
  <si>
    <t>תקבולים ממשרד הרווחה</t>
  </si>
  <si>
    <t>עצמיות רווחה</t>
  </si>
  <si>
    <t>אגרת מים</t>
  </si>
  <si>
    <t>תקבולים אחרים</t>
  </si>
  <si>
    <t>מענק לכיסוי גרעון</t>
  </si>
  <si>
    <t>שכר כללי</t>
  </si>
  <si>
    <t>פעולות כלליות</t>
  </si>
  <si>
    <t>הוצאות מימון</t>
  </si>
  <si>
    <t>פרעון מלוות אחרות</t>
  </si>
  <si>
    <t>שכר עובדי חינוך</t>
  </si>
  <si>
    <t>פעולות חינוך</t>
  </si>
  <si>
    <t>שכר עובדי רווחה</t>
  </si>
  <si>
    <t>פעולות רווחה</t>
  </si>
  <si>
    <t>פרעון מלוות מים וביוב</t>
  </si>
  <si>
    <t>פנסיה</t>
  </si>
  <si>
    <t>העברות והוצאות חד פעמיות</t>
  </si>
  <si>
    <t>הנחות ארנונה הוצאות</t>
  </si>
  <si>
    <t>הכנסה מותנת</t>
  </si>
  <si>
    <t>הוצאה מותנת</t>
  </si>
  <si>
    <t>מהות</t>
  </si>
  <si>
    <t>הכנסות</t>
  </si>
  <si>
    <t>הוצאות</t>
  </si>
  <si>
    <t>שם כרטיס</t>
  </si>
  <si>
    <t>ארנונה-שנה שוטפת</t>
  </si>
  <si>
    <t>ארנונה-גביה מפגור</t>
  </si>
  <si>
    <t>רישוי עסקים</t>
  </si>
  <si>
    <t>אג' רישוי שלטים</t>
  </si>
  <si>
    <t>הכנסות ממיכרזים א</t>
  </si>
  <si>
    <t>אגרת אכיפה</t>
  </si>
  <si>
    <t>אג.שינוי שם</t>
  </si>
  <si>
    <t>חיוב עיקולי בנק</t>
  </si>
  <si>
    <t>השתתפות בשכר - מש</t>
  </si>
  <si>
    <t>מענק חד-פעמי</t>
  </si>
  <si>
    <t>קרן צימצום פערים-</t>
  </si>
  <si>
    <t>יחידה אסטרטגית</t>
  </si>
  <si>
    <t>רזרבת שר</t>
  </si>
  <si>
    <t>שיפוי קופ"ג וצובר</t>
  </si>
  <si>
    <t>בחירות - השת' מ.</t>
  </si>
  <si>
    <t>אזרחים ותיקים</t>
  </si>
  <si>
    <t>הש' בשכר מנהל תכנ</t>
  </si>
  <si>
    <t>הכנסה ממכירת אריז</t>
  </si>
  <si>
    <t>הכנסות וטרינריה</t>
  </si>
  <si>
    <t>בדיקת בשר ודגים</t>
  </si>
  <si>
    <t>הכנסות מינהלת הכי</t>
  </si>
  <si>
    <t>רכז גינות -מ.הבינ</t>
  </si>
  <si>
    <t>מנהל מנהלות - מבי</t>
  </si>
  <si>
    <t>מינהל יחידת הנוער</t>
  </si>
  <si>
    <t>השת. במשמר אזרחי</t>
  </si>
  <si>
    <t>משהב"ט-גדר מערכת</t>
  </si>
  <si>
    <t>הכנסות ממיכרזים</t>
  </si>
  <si>
    <t>מבנים מסוכנים</t>
  </si>
  <si>
    <t>הע. מקרנות הרשות</t>
  </si>
  <si>
    <t>רפורמה 101 - הכנס</t>
  </si>
  <si>
    <t>אג.רשיונות בניה</t>
  </si>
  <si>
    <t>מ.התחבורה-בטיחות</t>
  </si>
  <si>
    <t>הכנסות ממ.א.ג.ע.</t>
  </si>
  <si>
    <t>אגרת מידע</t>
  </si>
  <si>
    <t>אגרת אישור תושב</t>
  </si>
  <si>
    <t>הכנסות שונות</t>
  </si>
  <si>
    <t>הכ מביצוע עיקולים</t>
  </si>
  <si>
    <t>הכנסות ריבית</t>
  </si>
  <si>
    <t>הכנסות מפנסיה תקציבית</t>
  </si>
  <si>
    <t>תאגיד מים-ריבית א</t>
  </si>
  <si>
    <t>תאגיד מים-הח.אג"ח</t>
  </si>
  <si>
    <t>חכ"ל - הכנסות מהל</t>
  </si>
  <si>
    <t>המשרד לשיוויון חברתי</t>
  </si>
  <si>
    <t>רשות מקדמת תעסוקה</t>
  </si>
  <si>
    <t>שיטור עירוני</t>
  </si>
  <si>
    <t>פיתוח ארגוני</t>
  </si>
  <si>
    <t>רשות חניה , שיטור, איכ"ס</t>
  </si>
  <si>
    <t>קנסות בימ"ש ופיקו</t>
  </si>
  <si>
    <t>עצמיות-חינוך</t>
  </si>
  <si>
    <t>תלמידי חוץ</t>
  </si>
  <si>
    <t>הכנסות מנהל חינוך</t>
  </si>
  <si>
    <t>פתיחת אזורי רישום</t>
  </si>
  <si>
    <t>שיפוצי מוס"ח</t>
  </si>
  <si>
    <t xml:space="preserve">חינוך-יעודי </t>
  </si>
  <si>
    <t>התכנית הלאומית-חי</t>
  </si>
  <si>
    <t>שמירה ממשטרה</t>
  </si>
  <si>
    <t>גנ"י ארוכים-גביה</t>
  </si>
  <si>
    <t>גנ"י-גביה )חובה(</t>
  </si>
  <si>
    <t>גנ"י-טרום חובה</t>
  </si>
  <si>
    <t>הש' הממשלה-גני יל</t>
  </si>
  <si>
    <t>כסף יעודי-גנ"י</t>
  </si>
  <si>
    <t>קייטנות 3-5 - הכנ</t>
  </si>
  <si>
    <t>קרב יסודיים(ניהול עצמי)</t>
  </si>
  <si>
    <t>הזנה-יסודיים</t>
  </si>
  <si>
    <t>ביטוח יסודיים(ניהול עצמי)</t>
  </si>
  <si>
    <t>י.הנשיא-הכנסות</t>
  </si>
  <si>
    <t>מגינים-הכנסות</t>
  </si>
  <si>
    <t>מצודות-הכנסות</t>
  </si>
  <si>
    <t>עוזיאל-הכנסות</t>
  </si>
  <si>
    <t>קורצ'ק-הכנסות</t>
  </si>
  <si>
    <t>רמב"ם-הכנסות</t>
  </si>
  <si>
    <t>תל-חי-הכנסות</t>
  </si>
  <si>
    <t>גוונים - הכנסות</t>
  </si>
  <si>
    <t>כסף יעודי - גווני</t>
  </si>
  <si>
    <t>רננים הכנסות</t>
  </si>
  <si>
    <t>כסף יעודי-רננים</t>
  </si>
  <si>
    <t>מועדוניות-הש' הממ</t>
  </si>
  <si>
    <t>חווה חקלאית</t>
  </si>
  <si>
    <t>גביה-קייטנות</t>
  </si>
  <si>
    <t>מסגרות קיץ וחגים</t>
  </si>
  <si>
    <t>גביה-קייטנת חגים</t>
  </si>
  <si>
    <t>רשת על-יסודי</t>
  </si>
  <si>
    <t>קב"ט</t>
  </si>
  <si>
    <t>שפ"י-הכנסות</t>
  </si>
  <si>
    <t>שפ"י-שעות הדרכה</t>
  </si>
  <si>
    <t>מתי"א</t>
  </si>
  <si>
    <t>כסף יעודי-מתי"א</t>
  </si>
  <si>
    <t>רווחה חנוכית</t>
  </si>
  <si>
    <t>קב"ס</t>
  </si>
  <si>
    <t>הסעות-ציבורי</t>
  </si>
  <si>
    <t>לווי הסעות-ח"מ</t>
  </si>
  <si>
    <t>הסעות ח"מ</t>
  </si>
  <si>
    <t>סייעות צמודות</t>
  </si>
  <si>
    <t>הסעות-צד"ל</t>
  </si>
  <si>
    <t>תמיכה צד"ל</t>
  </si>
  <si>
    <t>תנופה-הכנסות</t>
  </si>
  <si>
    <t>הכוונת חיילים משו</t>
  </si>
  <si>
    <t>עיר ללא אלימות</t>
  </si>
  <si>
    <t>עיר ללא אלימות-טכ</t>
  </si>
  <si>
    <t>מנהל הנוער-הכנסות</t>
  </si>
  <si>
    <t>מרכז צעירים</t>
  </si>
  <si>
    <t>הכנסות שכ"ד-ספורט</t>
  </si>
  <si>
    <t>השת'-סל הספורט</t>
  </si>
  <si>
    <t>הכנסות -משרד הבריאות</t>
  </si>
  <si>
    <t>שכר עובדי המחלקה</t>
  </si>
  <si>
    <t>הכנסות ארגוניות מ</t>
  </si>
  <si>
    <t>נושמים לרווחה</t>
  </si>
  <si>
    <t>משפחות במצוקה בקה</t>
  </si>
  <si>
    <t>תרומות רווחה</t>
  </si>
  <si>
    <t>דרי רחוב-רב בעיית</t>
  </si>
  <si>
    <t>סיוע למשפחות עם י</t>
  </si>
  <si>
    <t>תכנית לאומית-מרכז עוצמה</t>
  </si>
  <si>
    <t>מרכז טפול באלימות</t>
  </si>
  <si>
    <t>תכנית לאומית-פרט</t>
  </si>
  <si>
    <t>טפול בילד בקהילה</t>
  </si>
  <si>
    <t>תכנית לאומית-ילד</t>
  </si>
  <si>
    <t>ט' המשפחות אומנה</t>
  </si>
  <si>
    <t>קשר הורים-ילדים</t>
  </si>
  <si>
    <t>טיפול בנפגעי תקיפ</t>
  </si>
  <si>
    <t>ת.לאומית נוער וצעירים</t>
  </si>
  <si>
    <t>ילדים בפנימיות ומ</t>
  </si>
  <si>
    <t>ילדים בפנימיות</t>
  </si>
  <si>
    <t>תכ. עם הפנים לקהי</t>
  </si>
  <si>
    <t>ילדים במעונות</t>
  </si>
  <si>
    <t>אחזקת זקנים במעונ</t>
  </si>
  <si>
    <t>טיפול בזקן בקהילה</t>
  </si>
  <si>
    <t>סיוע לניצולי שואה</t>
  </si>
  <si>
    <t>מועדונים לזקנים</t>
  </si>
  <si>
    <t>שכונה תומכת</t>
  </si>
  <si>
    <t>מועדונים-תכ.העשרה</t>
  </si>
  <si>
    <t>שרותים לניצולי שו</t>
  </si>
  <si>
    <t>מיגון וציוד ביתי</t>
  </si>
  <si>
    <t>מסגרת יום לזקן-עצ</t>
  </si>
  <si>
    <t>מסגרות יומיות לזק</t>
  </si>
  <si>
    <t>דיור מוגן-עצמיות</t>
  </si>
  <si>
    <t>סידור במעונות מש</t>
  </si>
  <si>
    <t>מעון ממשלתי מש"ה</t>
  </si>
  <si>
    <t>מש.אומנה מש"ה</t>
  </si>
  <si>
    <t>משפחות אומנה לשיק</t>
  </si>
  <si>
    <t>הסעות לאוטיסטים</t>
  </si>
  <si>
    <t>טפול בהורים ובילד</t>
  </si>
  <si>
    <t>מ.יום ותעסוקה לבו</t>
  </si>
  <si>
    <t>החזקת אוטיסטים במ</t>
  </si>
  <si>
    <t>נופשונים והבראה</t>
  </si>
  <si>
    <t>מע"ש</t>
  </si>
  <si>
    <t>מעון רננים</t>
  </si>
  <si>
    <t>מפגרים במעון טיפו</t>
  </si>
  <si>
    <t>מע"ש אהבה</t>
  </si>
  <si>
    <t>שרותים תומכים למפ</t>
  </si>
  <si>
    <t>נופשונים מש"ה</t>
  </si>
  <si>
    <t>הסעות למ.יום למפג</t>
  </si>
  <si>
    <t>הדרכת עוור ובני ב</t>
  </si>
  <si>
    <t>מפעלי שקום לעוור</t>
  </si>
  <si>
    <t>מעונות ממשלתיים ש</t>
  </si>
  <si>
    <t>נכים בפנימיות</t>
  </si>
  <si>
    <t>נכים במשפחות אומנ</t>
  </si>
  <si>
    <t>הכ שיקום נכים</t>
  </si>
  <si>
    <t>מס. יום לילד המוג</t>
  </si>
  <si>
    <t>קהילה תומכת לנכים</t>
  </si>
  <si>
    <t>תעסוקה נתמכת לנכי</t>
  </si>
  <si>
    <t>נופשונים להבראה</t>
  </si>
  <si>
    <t>מ.יום שקומי לנכים</t>
  </si>
  <si>
    <t>לווי למ.יום שיקומ</t>
  </si>
  <si>
    <t>מסיכון לסיכוי</t>
  </si>
  <si>
    <t>הסעות למ.יום שיקו</t>
  </si>
  <si>
    <t>מועדון חברתי לבוג</t>
  </si>
  <si>
    <t>מרכזי איבחון ושיק</t>
  </si>
  <si>
    <t>שיקום נכים בקהילה</t>
  </si>
  <si>
    <t>בוגרים עיוורים בק</t>
  </si>
  <si>
    <t>נכים קשים בקהילה</t>
  </si>
  <si>
    <t>מקלט לנשים מוכות</t>
  </si>
  <si>
    <t>ט' בנערות במצוקה</t>
  </si>
  <si>
    <t>טיפול בנוער וצעיר</t>
  </si>
  <si>
    <t>בתים חמים לנערות</t>
  </si>
  <si>
    <t>מועדון מעגל בנים</t>
  </si>
  <si>
    <t>בדיקות למש. בסמים</t>
  </si>
  <si>
    <t>התמכרויות-מבוגרים</t>
  </si>
  <si>
    <t>מפתן מקומי-אחזקה</t>
  </si>
  <si>
    <t>עבודה קהילתית</t>
  </si>
  <si>
    <t>שקום שכנות פעולות</t>
  </si>
  <si>
    <t>טיפול בזקנים עולי</t>
  </si>
  <si>
    <t>ילדים עולים במצוק</t>
  </si>
  <si>
    <t>מעונות יום-עולים</t>
  </si>
  <si>
    <t>משפחות עולים במצו</t>
  </si>
  <si>
    <t>מכלול חירום</t>
  </si>
  <si>
    <t>שע"ל-הכנסות</t>
  </si>
  <si>
    <t>טפול בפסולת-הכנסו</t>
  </si>
  <si>
    <t>הטמנת פסולת</t>
  </si>
  <si>
    <t>איכ"ס-יעודי</t>
  </si>
  <si>
    <t>חוב מים</t>
  </si>
  <si>
    <t>מדי מים ושרברבות</t>
  </si>
  <si>
    <t>מענקי תאגוד לרשות</t>
  </si>
  <si>
    <t>ניהול נכסים</t>
  </si>
  <si>
    <t>גגות סולאריים</t>
  </si>
  <si>
    <t>חוב ביוב</t>
  </si>
  <si>
    <t>הע.מקרן ניקוז</t>
  </si>
  <si>
    <t>העברה מקרן ביוב</t>
  </si>
  <si>
    <t>הש.בפנסיה</t>
  </si>
  <si>
    <t>תגמולי בטל"א</t>
  </si>
  <si>
    <t>משכורת- לישכת ראה</t>
  </si>
  <si>
    <t>אש"ל וכיבודים</t>
  </si>
  <si>
    <t>טיסות</t>
  </si>
  <si>
    <t>הוצ. עודפות</t>
  </si>
  <si>
    <t>הנהלה ומועצה ספרו</t>
  </si>
  <si>
    <t>דלק</t>
  </si>
  <si>
    <t>שכירת רכב</t>
  </si>
  <si>
    <t>טלפון</t>
  </si>
  <si>
    <t>הוצ שונות לשכה</t>
  </si>
  <si>
    <t>הוצאות הנהלה</t>
  </si>
  <si>
    <t>תשורות-לישכה</t>
  </si>
  <si>
    <t>הוצ' שונות לשכת מ</t>
  </si>
  <si>
    <t>משכ נבחרים</t>
  </si>
  <si>
    <t>מבקר הרשות</t>
  </si>
  <si>
    <t>אח רכב מבקר עיריי</t>
  </si>
  <si>
    <t>הוצ מבקר העיריה</t>
  </si>
  <si>
    <t>שכר-מזכירות</t>
  </si>
  <si>
    <t>בדק בית</t>
  </si>
  <si>
    <t>חשמל-מזכירות</t>
  </si>
  <si>
    <t>מים</t>
  </si>
  <si>
    <t>חומרי ניקוי</t>
  </si>
  <si>
    <t>חשבון חשמל-מרכז</t>
  </si>
  <si>
    <t>מכונות משרד והחזק</t>
  </si>
  <si>
    <t>מיחשוב וריהוט</t>
  </si>
  <si>
    <t>מזכירות אירוח וכי</t>
  </si>
  <si>
    <t>מזכירות ספרות מקצ</t>
  </si>
  <si>
    <t>רכב מינהלה-הוצאות</t>
  </si>
  <si>
    <t>רכב מינהלה-דלק</t>
  </si>
  <si>
    <t>טלפון ותקשורת</t>
  </si>
  <si>
    <t>בולים ודואר</t>
  </si>
  <si>
    <t>הוצ פירסום עיריה</t>
  </si>
  <si>
    <t>הסעות סיור ולבית עלמין</t>
  </si>
  <si>
    <t>נקיון מבנים</t>
  </si>
  <si>
    <t>יועץ בטיחות וניהו</t>
  </si>
  <si>
    <t>תוכנית התחדשות</t>
  </si>
  <si>
    <t>משכ' דוברות והסברה</t>
  </si>
  <si>
    <t>דוברות והסברה</t>
  </si>
  <si>
    <t>שכר-מנגנון</t>
  </si>
  <si>
    <t>מכונות מישרד והחז</t>
  </si>
  <si>
    <t>שי פנסיונרים וזמנ</t>
  </si>
  <si>
    <t>השת. ועד עובדים</t>
  </si>
  <si>
    <t>דמ"ח-הסתדרות הפקי</t>
  </si>
  <si>
    <t>השתלמות עובדים</t>
  </si>
  <si>
    <t>מח' מישפטית</t>
  </si>
  <si>
    <t>הוצ' משפטיות</t>
  </si>
  <si>
    <t>השתתפות הרשות בתביעות משפטיות</t>
  </si>
  <si>
    <t>הוצ. מח.משפטית</t>
  </si>
  <si>
    <t>ספרות-מח' משפטית</t>
  </si>
  <si>
    <t>בחירות - הוצ. מער</t>
  </si>
  <si>
    <t>שכר-גיזברות</t>
  </si>
  <si>
    <t>רהוט ואחזקה-גזברו</t>
  </si>
  <si>
    <t>הגזברות אירוח וכי</t>
  </si>
  <si>
    <t>הגזברות ספרות מקצ</t>
  </si>
  <si>
    <t>הוצ. טלפון</t>
  </si>
  <si>
    <t>מערכות מיחשוב ותו</t>
  </si>
  <si>
    <t>פרוייקט המאיץ</t>
  </si>
  <si>
    <t>הוצ. קבלניות-מיקור חוץ גזברות</t>
  </si>
  <si>
    <t>שכר-הנהח"ש</t>
  </si>
  <si>
    <t>שכר-רכש</t>
  </si>
  <si>
    <t>הוצ משרד- ציוד מש</t>
  </si>
  <si>
    <t>טלפון ישיר לגביה</t>
  </si>
  <si>
    <t>עבודות קבלניות- (עמלת גבייה )</t>
  </si>
  <si>
    <t>עמלות</t>
  </si>
  <si>
    <t>הוצאות ריבית</t>
  </si>
  <si>
    <t>הוצ.מימון ספקים</t>
  </si>
  <si>
    <t>הנחות הסדר</t>
  </si>
  <si>
    <t>פרעון מלוות</t>
  </si>
  <si>
    <t>שכר-מינהל ח.העיר</t>
  </si>
  <si>
    <t>חשמל-מנהל חזות הע</t>
  </si>
  <si>
    <t>מים-מנהל חזות העי</t>
  </si>
  <si>
    <t>ליסינג-מינהל ח.הע</t>
  </si>
  <si>
    <t>דלק-מינהל ח.העיר</t>
  </si>
  <si>
    <t>מינהל תברואה-הוצ</t>
  </si>
  <si>
    <t>ביגוד אגף שפ"ע</t>
  </si>
  <si>
    <t>שכר-תברואה וגינון</t>
  </si>
  <si>
    <t>רכבי עבודה-הוצאות</t>
  </si>
  <si>
    <t>רכבי עבודה-דלק</t>
  </si>
  <si>
    <t>חמרים וכלים</t>
  </si>
  <si>
    <t>טיאוט-דלק</t>
  </si>
  <si>
    <t>טיאוט-הוצ.משתנות</t>
  </si>
  <si>
    <t>פינוי אשפה</t>
  </si>
  <si>
    <t>פ. פסולת-גרוטאות</t>
  </si>
  <si>
    <t>הדברה ולכידת בע"ח</t>
  </si>
  <si>
    <t>עבודות קבלניות</t>
  </si>
  <si>
    <t>הטמנת אשפה</t>
  </si>
  <si>
    <t>היטל הטמנה</t>
  </si>
  <si>
    <t>תח. מתקני משחקים</t>
  </si>
  <si>
    <t>רשות ניקוז כנרת</t>
  </si>
  <si>
    <t>שכר-פיקוח תברואה</t>
  </si>
  <si>
    <t>שכר-וטרינר</t>
  </si>
  <si>
    <t>איגוד ע ש וטרינרי</t>
  </si>
  <si>
    <t>פיקוח וטרינרי</t>
  </si>
  <si>
    <t>שירות וטרינריה אז</t>
  </si>
  <si>
    <t>מנהל מנהלות שכר</t>
  </si>
  <si>
    <t>רכז גינות שכר</t>
  </si>
  <si>
    <t>שכר-משא"ז</t>
  </si>
  <si>
    <t>משא"ז-הוצ' שונות</t>
  </si>
  <si>
    <t>שכר-מקלטים</t>
  </si>
  <si>
    <t>אחזקת מקלטים צבור</t>
  </si>
  <si>
    <t>מפקדת העיר )אחזקה</t>
  </si>
  <si>
    <t>סככות</t>
  </si>
  <si>
    <t>חשמל מיקלטים</t>
  </si>
  <si>
    <t>ביטוח מקלטים</t>
  </si>
  <si>
    <t>הוצ.רכב חירום+נגררים</t>
  </si>
  <si>
    <t>הג"א הוצאות פרסום</t>
  </si>
  <si>
    <t>הג"א ארצי</t>
  </si>
  <si>
    <t>שכר-מוקד עירוני</t>
  </si>
  <si>
    <t>אח.מוקד עירוני</t>
  </si>
  <si>
    <t>משכ מל"ח ופס"ח</t>
  </si>
  <si>
    <t>רכב ביטחון-הוצאות</t>
  </si>
  <si>
    <t>אח. גדר מערכת ריסוס</t>
  </si>
  <si>
    <t>רכבי בטחון(מרכיבי בטחון)</t>
  </si>
  <si>
    <t>חשמל גדר המערכת</t>
  </si>
  <si>
    <t>אח.גדר מערכת (חשמל)</t>
  </si>
  <si>
    <t>ביטוח הוועדה</t>
  </si>
  <si>
    <t>שכר-מהנדס העיר</t>
  </si>
  <si>
    <t>ליסינג-רכבי הנדסה</t>
  </si>
  <si>
    <t>דלק-רכבי הנדסה</t>
  </si>
  <si>
    <t>מיחשוב-אגף ההנדסה</t>
  </si>
  <si>
    <t>שונות-מהנדס העיר</t>
  </si>
  <si>
    <t>צווי הריסה</t>
  </si>
  <si>
    <t>תכנון עיר</t>
  </si>
  <si>
    <t>ועדה מקומית-שכר</t>
  </si>
  <si>
    <t>יועץ משפטי-ועדה</t>
  </si>
  <si>
    <t>יועצים שונים - הנ</t>
  </si>
  <si>
    <t>הוצ.שונות-ועדה</t>
  </si>
  <si>
    <t>שכר-אח' מוסדות</t>
  </si>
  <si>
    <t>הוצ. רכב</t>
  </si>
  <si>
    <t>חמרים</t>
  </si>
  <si>
    <t>טרקטורים-הוצאות</t>
  </si>
  <si>
    <t>טרקטורים-דלק</t>
  </si>
  <si>
    <t>שכר-מח' חשמל</t>
  </si>
  <si>
    <t>חשמל תאורה רחובות</t>
  </si>
  <si>
    <t>משאית מנוף-חשמל</t>
  </si>
  <si>
    <t>משאית מנוף-דלק</t>
  </si>
  <si>
    <t>אחזקת תאורה וחשמל</t>
  </si>
  <si>
    <t>הוצ. בטיחות בדרכי</t>
  </si>
  <si>
    <t>דלק-גינון</t>
  </si>
  <si>
    <t>חומרים וכלים-גינו</t>
  </si>
  <si>
    <t>משאית גזם-גינון</t>
  </si>
  <si>
    <t>משאית גזם+כלים-דל</t>
  </si>
  <si>
    <t>טיפול בגזם</t>
  </si>
  <si>
    <t>נקיון והסרת מפגעי</t>
  </si>
  <si>
    <t>אחזקת גני ילדים</t>
  </si>
  <si>
    <t>קבלן נקיון ניקוזים</t>
  </si>
  <si>
    <t>מים בריכת שחיה</t>
  </si>
  <si>
    <t>תשורות ראש העיר</t>
  </si>
  <si>
    <t>השמעת מוסיקה</t>
  </si>
  <si>
    <t>שותפות אשכול גליל</t>
  </si>
  <si>
    <t>מוסדות כלליים השת</t>
  </si>
  <si>
    <t>השתתפות ברכז צמיח</t>
  </si>
  <si>
    <t>ביטוחים כללים</t>
  </si>
  <si>
    <t>השתת. והסרת מפגעי</t>
  </si>
  <si>
    <t>שכר-שרותים עירוני</t>
  </si>
  <si>
    <t>שכר שיטור עירוני</t>
  </si>
  <si>
    <t>שיטור עירוני ליסינג</t>
  </si>
  <si>
    <t>שיטור עירוני דלק</t>
  </si>
  <si>
    <t>שיטור עירוני פעול</t>
  </si>
  <si>
    <t>שכר-רשו מקדמת תעסוקה</t>
  </si>
  <si>
    <t>רכב + דלק אגף תעש</t>
  </si>
  <si>
    <t>פעולות אגף תעשייה</t>
  </si>
  <si>
    <t>הוצאות אגף תעשייה</t>
  </si>
  <si>
    <t>שכר אגף תעשייה</t>
  </si>
  <si>
    <t>שכר-רשות חניה</t>
  </si>
  <si>
    <t>עמלת גביה- חניה</t>
  </si>
  <si>
    <t>חניה-הוצאות שונות</t>
  </si>
  <si>
    <t>שכר-מינהל החינוך</t>
  </si>
  <si>
    <t>הוצ.שוטפות-מבני ח</t>
  </si>
  <si>
    <t>תחזוקת מבני חינוך</t>
  </si>
  <si>
    <t>בטוח תאונות אישיו</t>
  </si>
  <si>
    <t>מחשבים-בטוח ואחזק</t>
  </si>
  <si>
    <t>טלפון-מינהל החינו</t>
  </si>
  <si>
    <t>הוצ' שונות-חינוך</t>
  </si>
  <si>
    <t>קבלן נקיון-מוס"ח</t>
  </si>
  <si>
    <t>כיבוי אש- מוס"ח</t>
  </si>
  <si>
    <t>התכנית הלאומית- ח</t>
  </si>
  <si>
    <t>שמירה במוסדות חנו</t>
  </si>
  <si>
    <t>יוזמות פדגוגיות</t>
  </si>
  <si>
    <t>מילגות תלמידים</t>
  </si>
  <si>
    <t>פרויקט פר"ח</t>
  </si>
  <si>
    <t>חינוך-יעודי</t>
  </si>
  <si>
    <t>שכר מנהלה-גני ילד</t>
  </si>
  <si>
    <t>שכר-גני ילדים</t>
  </si>
  <si>
    <t>חשמל-גני ילדים</t>
  </si>
  <si>
    <t>מים- גני ילדים</t>
  </si>
  <si>
    <t>טלפון-גני ילדים</t>
  </si>
  <si>
    <t>קרן קרב - ישובים</t>
  </si>
  <si>
    <t>פרויקטים-גנ"י</t>
  </si>
  <si>
    <t>גננות ע.מדינה</t>
  </si>
  <si>
    <t>גנ"י-שוטף</t>
  </si>
  <si>
    <t>שכר-גנים ארוכים</t>
  </si>
  <si>
    <t>גנים ארוכים-הוצאו</t>
  </si>
  <si>
    <t>שכר גנים ארוכים מחליפות</t>
  </si>
  <si>
    <t>שכר-מרכז לגיל הרך</t>
  </si>
  <si>
    <t>מרכז לגיל הרך</t>
  </si>
  <si>
    <t>חשמל-מעון רננים</t>
  </si>
  <si>
    <t>שכ"ע-בי"ס צד"ל</t>
  </si>
  <si>
    <t>קרן קרב-יסודיים</t>
  </si>
  <si>
    <t>הזנה-בי"ס יסודיים</t>
  </si>
  <si>
    <t>הש' במנהלת גליליו</t>
  </si>
  <si>
    <t>שכר-יצחק הנשיא</t>
  </si>
  <si>
    <t>חשמל-יצחק הנשיא</t>
  </si>
  <si>
    <t>מים-יצחק הנשיא</t>
  </si>
  <si>
    <t>הוצ' שונות-יצחק ה</t>
  </si>
  <si>
    <t>שכר-בי"ס מגינים</t>
  </si>
  <si>
    <t>חשמל-בי"ס מגינים</t>
  </si>
  <si>
    <t>הוצ' שונות-מגינים</t>
  </si>
  <si>
    <t>שכר-בי"ס מצודות</t>
  </si>
  <si>
    <t>חשמל-בי"ס מצודות</t>
  </si>
  <si>
    <t>הוצ' שונות-מצודות</t>
  </si>
  <si>
    <t>שכר-בי"ס עוזיאל</t>
  </si>
  <si>
    <t>חשמל-בי"ס עוזיאל</t>
  </si>
  <si>
    <t>מים-בי"ס עוזיאל</t>
  </si>
  <si>
    <t>הוצ' שונות-עוזיאל</t>
  </si>
  <si>
    <t>שכר-בי"ס קורצ'ק</t>
  </si>
  <si>
    <t>חשמל-בי"ס קורצ'ק</t>
  </si>
  <si>
    <t>מים-בי"ס קורצ'ק</t>
  </si>
  <si>
    <t>הוצ' שונות-קורצ'ק</t>
  </si>
  <si>
    <t>שכר-בי"ס רמב"ם</t>
  </si>
  <si>
    <t>חשמל-בי"ס רמב"ם</t>
  </si>
  <si>
    <t>מים-בי"ס רמב"ם</t>
  </si>
  <si>
    <t>הוצ' שונות-רמב"ם</t>
  </si>
  <si>
    <t>כסף יעודי-רמב"ם</t>
  </si>
  <si>
    <t>שכר-בי"ס תל-חי</t>
  </si>
  <si>
    <t>חשמל-בי"ס תל-חי</t>
  </si>
  <si>
    <t>מים-בי"ס תל-חי</t>
  </si>
  <si>
    <t>הוצ' שונות-תל-חי</t>
  </si>
  <si>
    <t>שכ"ע-בי"ס גוונים</t>
  </si>
  <si>
    <t>חפץ חיים הוצאות ש</t>
  </si>
  <si>
    <t>כסף יעודי-גוונים</t>
  </si>
  <si>
    <t>גוונים - הוצאות ש</t>
  </si>
  <si>
    <t>שכ"ע-בי"ס רננים</t>
  </si>
  <si>
    <t>חשמל-בי"ס רננים</t>
  </si>
  <si>
    <t>מים-בי"ס רננים</t>
  </si>
  <si>
    <t>שונות-בי"ס רננים</t>
  </si>
  <si>
    <t>משכורות מועדוניות</t>
  </si>
  <si>
    <t>חשמל-מועדוניות</t>
  </si>
  <si>
    <t>מים מועדוניות</t>
  </si>
  <si>
    <t>טלפון-מועדוניות</t>
  </si>
  <si>
    <t>הוצ' שונות-מועדונ</t>
  </si>
  <si>
    <t>חווה חקלאית-שכר</t>
  </si>
  <si>
    <t>הוצ חוה חקלאית</t>
  </si>
  <si>
    <t>מסגרות קיץ</t>
  </si>
  <si>
    <t>גני ילדים - שכר בקייטנות</t>
  </si>
  <si>
    <t>שונות-קייטנות פסח</t>
  </si>
  <si>
    <t>קייטנת אנגלית (תלמ""א)"</t>
  </si>
  <si>
    <t>משכ'-חט"ב</t>
  </si>
  <si>
    <t>שכר-אשכולות פיס</t>
  </si>
  <si>
    <t>תכנית מנע-שכר</t>
  </si>
  <si>
    <t>שכר מורים-דנציגר</t>
  </si>
  <si>
    <t>שכר מנהלה-דנציגר</t>
  </si>
  <si>
    <t>שכר מנהלה-המתמיד</t>
  </si>
  <si>
    <t>משכורת קב"ט</t>
  </si>
  <si>
    <t>שכר-מרפ"ד</t>
  </si>
  <si>
    <t>חשמל- מרפ"ד</t>
  </si>
  <si>
    <t>מים-מרפ"ד</t>
  </si>
  <si>
    <t>שכר-שפ"י</t>
  </si>
  <si>
    <t>חשמל-שפ"י</t>
  </si>
  <si>
    <t>מים-שפ"י</t>
  </si>
  <si>
    <t>טלפון-שפ"י</t>
  </si>
  <si>
    <t>שונות שפי</t>
  </si>
  <si>
    <t>שכ"ע-מנהלה שפ"י</t>
  </si>
  <si>
    <t>שעות הדרכה שפ"י-הוצאות</t>
  </si>
  <si>
    <t>שכר-רווחה חינוכית</t>
  </si>
  <si>
    <t>רווחה חינוכית</t>
  </si>
  <si>
    <t>שח"ר-הח' הוצ' (מותנה)</t>
  </si>
  <si>
    <t>משכ קב"ס</t>
  </si>
  <si>
    <t>לווי הסעות-שכר</t>
  </si>
  <si>
    <t>הסעת ילדים-ציבורי</t>
  </si>
  <si>
    <t>הסעות צד"ל</t>
  </si>
  <si>
    <t>סייעות צמודות-שכר</t>
  </si>
  <si>
    <t>סייעות רפואיות</t>
  </si>
  <si>
    <t>טיפול בפרט</t>
  </si>
  <si>
    <t>שכר-צד"ל ופרויקטי</t>
  </si>
  <si>
    <t>תנופה-הוצ' שונות</t>
  </si>
  <si>
    <t>סיפרייה עירונית</t>
  </si>
  <si>
    <t>שכר-מתנסי"ם</t>
  </si>
  <si>
    <t>השתתפות בחדר מס ה</t>
  </si>
  <si>
    <t>מרכזים לקהילה והת</t>
  </si>
  <si>
    <t>שכר-חינוך דתי</t>
  </si>
  <si>
    <t>מוזיאון קרית-שמונ</t>
  </si>
  <si>
    <t>עיר ללא אלימות-שכ</t>
  </si>
  <si>
    <t>יחידת הנוער-שכר</t>
  </si>
  <si>
    <t>חשמל-מועדוני נוער</t>
  </si>
  <si>
    <t>השת מנהל הנוער</t>
  </si>
  <si>
    <t>מועדון נוער- וונקובר</t>
  </si>
  <si>
    <t>מוערבות חברתית (קול קורא)</t>
  </si>
  <si>
    <t>מעמד האישה</t>
  </si>
  <si>
    <t>מגרש סנטטי</t>
  </si>
  <si>
    <t>משכורות-ספורט</t>
  </si>
  <si>
    <t>חשמל ספורט</t>
  </si>
  <si>
    <t>מים-ספורט</t>
  </si>
  <si>
    <t>טלפון ספורט</t>
  </si>
  <si>
    <t>מפעלי ספורט</t>
  </si>
  <si>
    <t>אצטדיון-חשמל</t>
  </si>
  <si>
    <t>אצטדיון-מים</t>
  </si>
  <si>
    <t>אצטדיון-תחזוקה</t>
  </si>
  <si>
    <t>בית יד לבנים</t>
  </si>
  <si>
    <t>השתתפות הרשות ביד שרה</t>
  </si>
  <si>
    <t>החז. מבנה טיפת חל</t>
  </si>
  <si>
    <t>הוצאות-משרד הבריאות</t>
  </si>
  <si>
    <t>השת בנט"ן</t>
  </si>
  <si>
    <t>רווחה-נילווים</t>
  </si>
  <si>
    <t>חשמל מנהל הרווחה</t>
  </si>
  <si>
    <t>הוצ. ארגוניות בלש</t>
  </si>
  <si>
    <t>שכר עובדת נקיון</t>
  </si>
  <si>
    <t>שמירה מחלקת רווחה</t>
  </si>
  <si>
    <t>מרכזי טפול באלימו</t>
  </si>
  <si>
    <t xml:space="preserve">מועדונית משותפת -טיפול בילד </t>
  </si>
  <si>
    <t>טיפול בילד בקהילה</t>
  </si>
  <si>
    <t>טפול במשפחות אומנ</t>
  </si>
  <si>
    <t>ת.לאומית נוער וצע</t>
  </si>
  <si>
    <t>ילדים במעונות יום</t>
  </si>
  <si>
    <t>טפול בזקן בקהילה</t>
  </si>
  <si>
    <t>ארוחות חמות</t>
  </si>
  <si>
    <t>דיור מוגן-אחזקה</t>
  </si>
  <si>
    <t>משכרות עובד המע"ש</t>
  </si>
  <si>
    <t>מסגרות יום ארוך</t>
  </si>
  <si>
    <t>מעונות יום טיפולי</t>
  </si>
  <si>
    <t>שכר מועדון לעיוור</t>
  </si>
  <si>
    <t>הדרכת עיוור ובני</t>
  </si>
  <si>
    <t>שיקום העיוור בקהי</t>
  </si>
  <si>
    <t>מרכזי אבחון ושיקו</t>
  </si>
  <si>
    <t>בדיקות למשתמשים ב</t>
  </si>
  <si>
    <t>פרוייקטים לנגמלים</t>
  </si>
  <si>
    <t>פעולות התנדבות</t>
  </si>
  <si>
    <t>לשכות יעוץ לאזרח</t>
  </si>
  <si>
    <t>שקום שכנות שכר</t>
  </si>
  <si>
    <t>שקום שכונות פעולו</t>
  </si>
  <si>
    <t>מעונות יום עולים</t>
  </si>
  <si>
    <t>ילד' בפנימיות עול</t>
  </si>
  <si>
    <t>מועצה דתית</t>
  </si>
  <si>
    <t>רזרבת השר</t>
  </si>
  <si>
    <t>שע"ל-שכר</t>
  </si>
  <si>
    <t>שע"ל-הוצ' שונות</t>
  </si>
  <si>
    <t>שכר-איכות הסביבה</t>
  </si>
  <si>
    <t>איכ"ס-מיחזור</t>
  </si>
  <si>
    <t>איכות הסביבה</t>
  </si>
  <si>
    <t>מענק תאגוד לרשות</t>
  </si>
  <si>
    <t>מט"ש-שכר</t>
  </si>
  <si>
    <t>פרעון מלוות-ביוב</t>
  </si>
  <si>
    <t>עב' אח' ביוב</t>
  </si>
  <si>
    <t>משכ נילוים</t>
  </si>
  <si>
    <t>שכר פנסיונרים</t>
  </si>
  <si>
    <t>פיצויים</t>
  </si>
  <si>
    <t>הוצ.חד-פעמיות וש</t>
  </si>
  <si>
    <t>פנסיונרים מיבטחים</t>
  </si>
  <si>
    <t>הכנסות מותנות נוער</t>
  </si>
  <si>
    <t>הוצאות מותנות נוער</t>
  </si>
  <si>
    <t>שכר</t>
  </si>
  <si>
    <t>טיפול בנוער וצעירים</t>
  </si>
  <si>
    <t>גנים ארוכים</t>
  </si>
  <si>
    <t>מרכז הגיל הרך</t>
  </si>
  <si>
    <t>מגינים</t>
  </si>
  <si>
    <t>מצודות</t>
  </si>
  <si>
    <t>עוזיאל</t>
  </si>
  <si>
    <t>קורצ'ק</t>
  </si>
  <si>
    <t>רמב"ם</t>
  </si>
  <si>
    <t>תל חי</t>
  </si>
  <si>
    <t>גוונים</t>
  </si>
  <si>
    <t>רננים</t>
  </si>
  <si>
    <t>מועדוניות</t>
  </si>
  <si>
    <t>קייטנות</t>
  </si>
  <si>
    <t>חט"ב</t>
  </si>
  <si>
    <t>מרפ"ד</t>
  </si>
  <si>
    <t>ליווי הסעות</t>
  </si>
  <si>
    <t>סייעות</t>
  </si>
  <si>
    <t>בי"ס צד"ל</t>
  </si>
  <si>
    <t>מנהל רווחה</t>
  </si>
  <si>
    <t>מפגרים</t>
  </si>
  <si>
    <t>ביצוע 2018</t>
  </si>
  <si>
    <t>תקציב 2019</t>
  </si>
  <si>
    <t>תקציב 2020 תוכנית הבראה</t>
  </si>
  <si>
    <t>0</t>
  </si>
  <si>
    <t>ביצוע 2019</t>
  </si>
  <si>
    <t>משרות 2019</t>
  </si>
  <si>
    <t>משרות 2020</t>
  </si>
  <si>
    <t xml:space="preserve">תקציב 2020 </t>
  </si>
  <si>
    <t>פרק</t>
  </si>
  <si>
    <t>ביצוע  2018</t>
  </si>
  <si>
    <t>תקציב  2019</t>
  </si>
  <si>
    <t>תקציב  2020 תוכנית הבראה</t>
  </si>
  <si>
    <t>סה"כ הכנסות</t>
  </si>
  <si>
    <t>מענק לכיסוי גרעון - הכנסות</t>
  </si>
  <si>
    <t>סה"כ הוצאות</t>
  </si>
  <si>
    <t>תקציב עיריית קריית שמונה 2020</t>
  </si>
  <si>
    <t>התפלגות התקציב הרגיל לשנת 2020 לפי פרקים</t>
  </si>
  <si>
    <t>שם הפרק</t>
  </si>
  <si>
    <t>1 מיסים ומענקים</t>
  </si>
  <si>
    <t>ארנונות</t>
  </si>
  <si>
    <t>אגרות</t>
  </si>
  <si>
    <t>מענקים כלליים</t>
  </si>
  <si>
    <t>סה"כ מסים ומענקים</t>
  </si>
  <si>
    <t>2 שירותים מקומיים</t>
  </si>
  <si>
    <t>תברואה</t>
  </si>
  <si>
    <t>שמירה ובטחון</t>
  </si>
  <si>
    <t>תכנון ובניין עיר</t>
  </si>
  <si>
    <t>נכסים ציבוריים</t>
  </si>
  <si>
    <t>שרותים עירוניים שונים</t>
  </si>
  <si>
    <t>סה"כ שירותים מקומיים</t>
  </si>
  <si>
    <t>שרותים ממלכתיים</t>
  </si>
  <si>
    <t>חינוך</t>
  </si>
  <si>
    <t>תרבות</t>
  </si>
  <si>
    <t>בריאות</t>
  </si>
  <si>
    <t>רווחה</t>
  </si>
  <si>
    <t>סה"כ שירותים ממלכתיים</t>
  </si>
  <si>
    <t>4 מפעלים</t>
  </si>
  <si>
    <t>נכסים</t>
  </si>
  <si>
    <t>מפעל הביוב</t>
  </si>
  <si>
    <t>סה"כ מפעלים</t>
  </si>
  <si>
    <t>5 תקבולים בלתי רגילים</t>
  </si>
  <si>
    <t>החזר מקרנות והכנסות מיוחדות</t>
  </si>
  <si>
    <t>סה"כ תקבולים בלתי רגילים</t>
  </si>
  <si>
    <t>סה"כ תקבולים</t>
  </si>
  <si>
    <t>תשלומים</t>
  </si>
  <si>
    <t>6 הנהלה וכלליות</t>
  </si>
  <si>
    <t>מנהל כללי</t>
  </si>
  <si>
    <t>מנהל כספי</t>
  </si>
  <si>
    <t>סה"כ הנהלה וכלליות</t>
  </si>
  <si>
    <t>7 שירותים מקומיים</t>
  </si>
  <si>
    <t>שמירה וביטחון</t>
  </si>
  <si>
    <t>חגיגות, מבצעים ואירועים</t>
  </si>
  <si>
    <t>פיתוח כלכלי</t>
  </si>
  <si>
    <t>פיקוח עירוני</t>
  </si>
  <si>
    <t>8 שירותים ממלכתיים</t>
  </si>
  <si>
    <t>דת</t>
  </si>
  <si>
    <t>9 מפעלים</t>
  </si>
  <si>
    <t>נכסים ומשרדים</t>
  </si>
  <si>
    <t>מפעלים אחרים</t>
  </si>
  <si>
    <t>סה"כ תשלומים</t>
  </si>
  <si>
    <t>עודף /גרעון</t>
  </si>
  <si>
    <t>קליטת עליה</t>
  </si>
  <si>
    <t>סה"כ ארנונה</t>
  </si>
  <si>
    <t>סה"כ אגרות</t>
  </si>
  <si>
    <t>מענקים כללים</t>
  </si>
  <si>
    <t>שרותים מקומים</t>
  </si>
  <si>
    <t>תקבולים בלתי רגילים</t>
  </si>
  <si>
    <t>מינהל כללי</t>
  </si>
  <si>
    <t>מינהל כספי</t>
  </si>
  <si>
    <t>תכנון ובנין עיר</t>
  </si>
  <si>
    <t>חגיגות וטקסים</t>
  </si>
  <si>
    <t>שירותים עירוניים שונים</t>
  </si>
  <si>
    <t>תשלומים בלתי רגילים</t>
  </si>
  <si>
    <t>חלוקת ההכנסה לפי סעיפים ראשיים</t>
  </si>
  <si>
    <t>פרטים</t>
  </si>
  <si>
    <t>השתתפות ממשלה</t>
  </si>
  <si>
    <t>באלפי ₪</t>
  </si>
  <si>
    <t>באחוזים</t>
  </si>
  <si>
    <t>הרכב הכנסות לפי סעיפים</t>
  </si>
  <si>
    <t>השתתפות משרד החינוך</t>
  </si>
  <si>
    <t>השתתפות משרד הרווחה</t>
  </si>
  <si>
    <t>מענק כללי לאיזון</t>
  </si>
  <si>
    <t>משרדי ממשלה אחרים</t>
  </si>
  <si>
    <t>חלוקת הצעת התקציב לפי סעיפי ההוצאה</t>
  </si>
  <si>
    <t>פעולות</t>
  </si>
  <si>
    <t>חלוקת התקציב לפי פרקי ההוצאה</t>
  </si>
  <si>
    <t>מנהל כללי וכספי</t>
  </si>
  <si>
    <t>שרותיים מקומיים</t>
  </si>
  <si>
    <t>שרותיים ממלכתיים</t>
  </si>
  <si>
    <t>מפעלים ותשלומים בלתי רגילים</t>
  </si>
  <si>
    <t>פרעון מלוות והוצאות מימון</t>
  </si>
  <si>
    <t>הצעת תקציב לשנת 2020</t>
  </si>
  <si>
    <t>מס'</t>
  </si>
  <si>
    <t>תקציב 2020</t>
  </si>
  <si>
    <t>מס' משרות</t>
  </si>
  <si>
    <t>עלות</t>
  </si>
  <si>
    <t>הנהלה וכלליות</t>
  </si>
  <si>
    <t>נבחרים</t>
  </si>
  <si>
    <t>שירותים מקומיים</t>
  </si>
  <si>
    <t>מפעלים</t>
  </si>
  <si>
    <t>גימלאים</t>
  </si>
  <si>
    <t>סה"כ כללי</t>
  </si>
  <si>
    <t>ביצוע בפועל 2019</t>
  </si>
  <si>
    <t xml:space="preserve"> ביצוע 2019</t>
  </si>
  <si>
    <t>הכנסות עצמיות</t>
  </si>
  <si>
    <t>סינון שכר</t>
  </si>
  <si>
    <t>תקבולים באלפי ₪</t>
  </si>
  <si>
    <t>תשלומים באלפי ₪</t>
  </si>
  <si>
    <t>שיפוי מ.איכ"ס בגין סגירת אתר תאנים</t>
  </si>
  <si>
    <t>ביצוע 2019 בפועל</t>
  </si>
  <si>
    <t>תקציב 2020  מוחמד</t>
  </si>
  <si>
    <t>חודשי ביצוע צפוי</t>
  </si>
  <si>
    <t>חודשי שנה</t>
  </si>
  <si>
    <t xml:space="preserve">תקציב 2020 מותאם מצב חרום </t>
  </si>
  <si>
    <t>תקציב</t>
  </si>
  <si>
    <t>ביצוע</t>
  </si>
  <si>
    <t>הכ. מביטוח</t>
  </si>
  <si>
    <t>רשות חניה</t>
  </si>
  <si>
    <t>מועדניות תק.חד פעמי</t>
  </si>
  <si>
    <t>ציוד ומכשרים חנ"ג מגינים</t>
  </si>
  <si>
    <t>ציוד ומכשרים חנ"ג מצודות</t>
  </si>
  <si>
    <t>ציוד ומכשרים חנ"ג תל חי</t>
  </si>
  <si>
    <t>ציוד ומכשרים חנ"ג עוזיאל</t>
  </si>
  <si>
    <t>ציוד ומכשרים חנ"ג-קורצ'אק</t>
  </si>
  <si>
    <t>ציוד ומכשרים חנ"ג רננים</t>
  </si>
  <si>
    <t>מסיבות כיתתיות-גנים</t>
  </si>
  <si>
    <t>מסיבות כיתות -מגינים</t>
  </si>
  <si>
    <t>מסיבות כיתתיות -מצודות</t>
  </si>
  <si>
    <t>מסיבות כיתתיות -תל חי</t>
  </si>
  <si>
    <t>מסיבות כיתתיות -עוזיאל</t>
  </si>
  <si>
    <t>מסיבות כיתתיות-רמב"מ</t>
  </si>
  <si>
    <t>מסיבות כיתתיות-קורצ'אק</t>
  </si>
  <si>
    <t>מסיבות כיתתיות יצחק הנשיא</t>
  </si>
  <si>
    <t>מסיבות כיתתיות-רננים</t>
  </si>
  <si>
    <t>אגרת שכפול יסודי</t>
  </si>
  <si>
    <t>אגרת שכפול פר תלמיד</t>
  </si>
  <si>
    <t>בתי ספר מקדמי בריאות</t>
  </si>
  <si>
    <t>ילדים בפנימיות-עו</t>
  </si>
  <si>
    <t>היחידה לאיכות הסב</t>
  </si>
  <si>
    <t>מיחזור הלוואות</t>
  </si>
  <si>
    <t>משכ דובר העיריה</t>
  </si>
  <si>
    <t>הוצ. קבלניות</t>
  </si>
  <si>
    <t>הוצ.רכב חירום</t>
  </si>
  <si>
    <t>רכבי ביטחון(מרכיבי ביטחון)הוצאות</t>
  </si>
  <si>
    <t>אח.גדר מערכת</t>
  </si>
  <si>
    <t>ארועי תרבות</t>
  </si>
  <si>
    <t>שכר-ר.מ.תעסוקה</t>
  </si>
  <si>
    <t>שכר-לימודים בחופש</t>
  </si>
  <si>
    <t>מועדון נוער</t>
  </si>
  <si>
    <t>מועדונית משותפת</t>
  </si>
  <si>
    <t>עמותה למען הקשיש</t>
  </si>
  <si>
    <t>תקבולים פחות תשלומים</t>
  </si>
  <si>
    <t>הערות מוחמד</t>
  </si>
  <si>
    <t>הערות תקציב חירום</t>
  </si>
  <si>
    <t>לפי ביצוע 2019</t>
  </si>
  <si>
    <t>לפי ביצוע 2019 ותקציב תוכנית ההבראה</t>
  </si>
  <si>
    <t>עלייה בגובה  צפי הפטור וההנחות בתקופת המשבר</t>
  </si>
  <si>
    <t>צפי לירידה בגבייה כתוצאה ממשבר הקורונה</t>
  </si>
  <si>
    <t>אילן לב, נועם אזרד,+ איתי שפירא ( צוער חדש רישוי עסקים)+אינה מחלקת הנדסה, ממוצע 20,000 לכל צוער בכל רבעון(קיים פער גדול מתקציב תוכנית ההבראה)</t>
  </si>
  <si>
    <t>מדובר במענק חד פעמי ב 2019</t>
  </si>
  <si>
    <t>תקבול חודשי בסך 144,000</t>
  </si>
  <si>
    <t>ביצוע 2019 כלל הכנסות עבור שנים קודמות</t>
  </si>
  <si>
    <t>השתתפות שכר רכז גינות - לוי ליאור</t>
  </si>
  <si>
    <t>השתתפות עבור חפץ חיים -קרייה צםונית ממשרד השיכון</t>
  </si>
  <si>
    <t>השתתפות משרד הביטחון , הכנסה נמוכה ביחס לתקציב 2019 לברר אם קיימת יתרה שלא שולמה</t>
  </si>
  <si>
    <t>אגרת מידע הנדסי- בהתאם לביצוע 2019- יש סעיף אחר אגרת מידע</t>
  </si>
  <si>
    <t>צפי אגף הנדסה (500 אשח)אשח בהתאם לנתונים 12/19, השתתפות מהקרנות לכיסוי הוצאות הועדה לתכנון ובניה+15% תקורה על פי ההנחיות היטל השבחה</t>
  </si>
  <si>
    <t>ביצוע 2018+2018</t>
  </si>
  <si>
    <t>הכנסות ארנונה מועצה אזורית גליל עליון - עודכן לפי ביצוע שנים קודמות</t>
  </si>
  <si>
    <t>פרעון מלוות חברה כלכלית</t>
  </si>
  <si>
    <t>קול קורא מעורבות חברתית 187.5 מתוך הוצאה של 250 אש"ח (שכר ופעולות)+ בשנת 2019 לא נתקבלה השתתפות בכלל לבדוק אם נעשו דיווחים</t>
  </si>
  <si>
    <t>הכנסה בגין רשות מקדמת תעסוקה ממשרד המסחר ותעסוקה - הוצאת הרשות עד סך 680 אש"ח - לפי הערות אבנר בוטל בשנת 2020</t>
  </si>
  <si>
    <t>מימון מהתכנית הון אנושי בגין מנהל אגף שפע+דובר רוסית+קשרי חוץ ותרומות- לא נתקבל השתתפות בפועל לבדוק אם לתקצב בשנת 2020</t>
  </si>
  <si>
    <t>ביצוע 2019 - קנסות בתי משפט אכיפה שיטור וחנייה</t>
  </si>
  <si>
    <t>הכנסות מבתי ספר עבור ביטוח וסל תלמיד</t>
  </si>
  <si>
    <t>השתתפות המשרד בגין מרכז פסגה כ40אש"ח(רישום ותמיכה) ומנהל תחום התנדבותי כ20 אש"ח בשנה</t>
  </si>
  <si>
    <t>קוד 32 ו31 העשרה ונלוות לגנים חנ"מ בחופשות (חנוכה פסח וקיץ קוד 133 ו132 - השתתפות בשכר דירה וקידום וותק+ קוד 297 -החזר עובד בקרן</t>
  </si>
  <si>
    <t>תכנית 360 - יחידה טיפולים רגשיים, חב"ק, הפוך - לבדוק שלימות דיווח 2019 עד מלוא התקציב</t>
  </si>
  <si>
    <t>לפי ביצוע 2019 , צפוי ירידה כתוצאה מהפסקת פעילות קרונה</t>
  </si>
  <si>
    <t>קייטנת קיץ , לא ברור שתתקיים ב 2020</t>
  </si>
  <si>
    <t>תכנית קרב לביה"ס יסודי ודנציגר בהתאם לנייר עבודה מסיגל לפי 1949 תלמידים (יסודי ודצניגר)תעריפים :ביסודי גובים לפי 250 ₪ לילד לפי 80% ובדרכא חט"ב 100%</t>
  </si>
  <si>
    <t>צפויה ירידה כתוצאה מהפסקת הלימודים</t>
  </si>
  <si>
    <t>1015*799+987*604</t>
  </si>
  <si>
    <t>גבייה מבתי הספר ניהול עצמי בגין ביטוח -49 ₪ לשנה לכל תלמיד(גבייה מבתי הספר לפי 100%</t>
  </si>
  <si>
    <t>השתתפות משרד החינוך בבית ספר -בגין שרתים ומזכירים +חומרים תוצב בהתאם לתעריף תשע"ט ותחזית 2019</t>
  </si>
  <si>
    <t>לברר עם עוז אם תהיה ירידה</t>
  </si>
  <si>
    <t>השתתפות משרד החינוך בבית ספר.(בגין מזכירים,שרתים,סייעות,שכפול)</t>
  </si>
  <si>
    <t>בפסח ופורים לא היו קייטנות</t>
  </si>
  <si>
    <t>חיוב רשת דרכא בשכר עובדים מושאלים בתוספת 14.83%- ראה גיליון שכר</t>
  </si>
  <si>
    <t>השתתפות בפסיכולוגים לפי 8.25 תקנים כפול 21,347כפול 13כפול 68%</t>
  </si>
  <si>
    <t>השתתפות במתי"א בגין שרתים ומזכירים(כולל אג' שכפול|)בטיפולם כל נושא החנ"מ</t>
  </si>
  <si>
    <t>מתקבל בהתאם לדיווח</t>
  </si>
  <si>
    <t>מועדוניות, תגבורי "אומץ", מרכז אם לגיל הרך אומנויות ומדעים ועוד.</t>
  </si>
  <si>
    <t>תקציב שנתי - משרד החינוךבהתאם לאישור של תשע"ט</t>
  </si>
  <si>
    <t>שיפוי בגין גבייה סל בהם פטורים אנשי צדל כ30אש"ח לעשרה חודשי חינוך</t>
  </si>
  <si>
    <t>בהתאם לתכנית שיקום שכונות (ריקי מזרחי) בניהול של מימי צדוק (מיצוי זכויות ופרסום, פיתוח מנהיגות)</t>
  </si>
  <si>
    <t xml:space="preserve"> בהתאם לחוזה עם משרד הביטחון 45 אש"ח לחצי שנה יש לבדוק קבלת הסכם חדש- מתקבל חידוש במהלך שנת 2020 במידה ולא יתקבל יש להפחית מחצית גם בהכנסה וגם בהוצאה</t>
  </si>
  <si>
    <t>הכנסה של 85% מההוצאה - תקציב חדש מול הוצאה</t>
  </si>
  <si>
    <t xml:space="preserve">הכנסה של 85% מההוצאה </t>
  </si>
  <si>
    <t>השתתפות משרד החינוך בפרויקטים חינוכים . יש סעיף הוצאה מקביל בהשת.מנהל הנוער (50) 300 מועצה דתית  +500 אש"ח מותנה בגין מודלרית</t>
  </si>
  <si>
    <t>הכנסות מהמשרד לפיתוח נגב גליל-בגין מרכז צעירים. בהתאם להסכם 2019 טרם נחתם הסכם לשנת 2020- 306 אש"ח כולל שכר 40 אש"ח השתתפות ו93 אש"ח בגין מנהל המרכז</t>
  </si>
  <si>
    <t>הכנסות מהחכ"ל בגין קיוסוק + השכרת המגרש לקבוצות מחוץ העיר</t>
  </si>
  <si>
    <t xml:space="preserve">השתתפות סל ספורט משרד התרבות </t>
  </si>
  <si>
    <t>הורדה כנגד הכנסות סל ספורט</t>
  </si>
  <si>
    <t>תכנית 360, סעיף הוצאה מקביל</t>
  </si>
  <si>
    <t>משרד הבריאת מקביל להכנסה</t>
  </si>
  <si>
    <t>הכנסות בגין אירוע ויטירנים, בני מנשה ופעילוית חברתיות לעולים-הוצאה מקבילה -ב2019 קוצץ ע"י המשרד משמעותית - (טיפול דינה ואלכס)</t>
  </si>
  <si>
    <t>בגין סגירת אתר תאנים (שיפוי המשרד)</t>
  </si>
  <si>
    <t>נתקבל רק 106 אלף מההכנסה - לברר אם נעשה דיווח מתאים</t>
  </si>
  <si>
    <t>בהתאם ל2 קולות קוראים - ההוצאה בוצעה במלואה שורה 745 יש לבדוק אם נעשה דיווח מתאים</t>
  </si>
  <si>
    <t xml:space="preserve"> חייוב החכל ב200 אלף לרבעון+ 24 אלף לרבעון אנטנות בת.+500אש"ח בגין הכנ' מעונות הבראה תוקצבגידול של 200 אש"ח - (טרם נתקבל אנטנות ומעונות עבור 2019)</t>
  </si>
  <si>
    <t>לפי 22497 לחודש בניכוי קיזוז צפוי בגין תחזוקת ואיטום גג בית ספר מיגנים 132</t>
  </si>
  <si>
    <t xml:space="preserve">עקב מחזור המלוות , אפשר לנצל את כל הקרן פרעון מלוות ביוב על סך 8 מליון בערך </t>
  </si>
  <si>
    <t>קבלת 85% מההשתתפות 61.2 אלף לרבעון , מתקבל בתשלום אחד מרשות ניקוז כנרת ב2019 קיזזו הוצאה</t>
  </si>
  <si>
    <t>השתתפות רשויות אחרות בתשלומי הפנסיה ב2020 מתוקצב בהתאם לביצוע 2019</t>
  </si>
  <si>
    <t>מתוקצב בהתאם לתחזית 2019 בגין דמי פגיעה, מילואים וכדו'</t>
  </si>
  <si>
    <t>בגין תשולם למס הכנסה(1000חודש)</t>
  </si>
  <si>
    <t>בגין טלפון וכבלים )הוט( 104 לחודש</t>
  </si>
  <si>
    <t>הוצאות שונות בלשכה(כנסים, רכישות ללשכה וכדו)כולל תכנון פרוייקטים, 50000 תמיכות - לברר למה בתקציב קודם היה 478 אלף</t>
  </si>
  <si>
    <t xml:space="preserve">הוצאות תפעול SOS לטובת מנכ"ל הרשות </t>
  </si>
  <si>
    <t>4500 לרכב. דלק- 300 ליטר</t>
  </si>
  <si>
    <t>תחזוקה וחומרי ניקוי בניין העירייה</t>
  </si>
  <si>
    <t>מדפסות ברשות - ק. מונה- חיוב לפי כמות הדפסה+ שכירות מכונה</t>
  </si>
  <si>
    <t>רכישת ציוד וריהוט בבניין העיירה</t>
  </si>
  <si>
    <t>שכירות רכב גזבר 5000 +רכב מנכל 4500+ רכב מנהל נכסים (חנונה)3200</t>
  </si>
  <si>
    <t>תקשורות וטלפון כולל סלולר- חסרה פקודת טלפון ב2019</t>
  </si>
  <si>
    <t xml:space="preserve">בגין הסעות מיוחדות לאגפים </t>
  </si>
  <si>
    <t>יועץ תחוברה ובטיחות 4680+5000 כולל 10 אש"ח בצ"מ</t>
  </si>
  <si>
    <t>הוצאות פרסום 200 אש"ח ו50 אשח לטובת הקלטת ישיבות מועצה, פייסבוק, צילומי ם, גרפיקה- ראה גיליון דוברות</t>
  </si>
  <si>
    <t>שיי מתנות לעובדים פעמיים בשנה לכבוד חג פסח וראש השנה(פנסיונרים +עובדי עירייה תוקצב לפי ביצוע 2019</t>
  </si>
  <si>
    <t>השתתפות הרשות בוועד עובדים - ע"פ הסכם עם הוועד 12/19</t>
  </si>
  <si>
    <t>גמלאי המעוף ועמיתים הסתדרות העובדים ("שלך") כ130 פנסיונרים+280 עמיתים+20 אש" בצ"מ</t>
  </si>
  <si>
    <t xml:space="preserve">הוצאות בגין חוות דעת, ייצוג משפטי,תביעות </t>
  </si>
  <si>
    <t>השתתפות הרשות בגין תביעות נזקין, יועץ ביטוח , שמאי ביטוח וכדו'</t>
  </si>
  <si>
    <t>הוצואת המחלקה,כיבוד,הדפסות,ציוד</t>
  </si>
  <si>
    <t>תוספת ריהוט לגזברות- שיפוץ במשרדים</t>
  </si>
  <si>
    <t>פרויקט המאיץ- עבר לניהול של אינה - ימומש ב2020 , אין ביצוע ב 2019 בהוצאות ובהכנסות</t>
  </si>
  <si>
    <t>פרויקט המאיץ יש גליון - תכנית נמצאת אצל אינה-מימון מלא משרד הפנים</t>
  </si>
  <si>
    <t>ציוד משרדי לעירייה</t>
  </si>
  <si>
    <t>בגין משלוח הודעות חיוב לתושב (6 פעמים בשנה )ואישור תושב, התראות ראשנה ושנייה לפחות פעמיים שנה)</t>
  </si>
  <si>
    <t>בגין עמלת מילגם כ190 אש"ח לחודש 190/10*12) כולל תוספת בחישוב ל190 אש"ח לחודש במקום 175 ותוספת גבייה 200 אש"ח</t>
  </si>
  <si>
    <t>עקב הפסקת פעילות הגבייה והצפי לירידה בהכנסות</t>
  </si>
  <si>
    <t>ירידה כתוצאה מפרעון מוקדם בשנת 2019</t>
  </si>
  <si>
    <t>הוצאות חשמל בגין מחסני האגף ברחוב הנשיא. בהתאם לביצוע 2019</t>
  </si>
  <si>
    <t>שכירות 7 רכבים:(בועז 3300,מאיר אוחנה2200,אבי אלמקייס2,2200 רכבי קנגו*3500, מחלקת גני ילדים 2200)+אלישע אלימלך 2050+ 2 רכבי פיקנטו במקום 2 רנגרים</t>
  </si>
  <si>
    <t xml:space="preserve">לפי הקצבת דלק לרכב במכפלה ל6.3 שח לליטר+10 אש"ח דלק לרכבי עבודה </t>
  </si>
  <si>
    <t>פעולות שונות באגף צמחים , בצ"מ , מיחשוב,שילוט,דפוס,טסטים, וריהוט</t>
  </si>
  <si>
    <t>ביגוד מלא לכ19עובדים</t>
  </si>
  <si>
    <t xml:space="preserve">מקטין את הוצאות מסך ביצוע 2019 50 אש"ח  רכבי עבודה - רק עבור טרקטורים וכדו ה50 נוספים תוקצבו ברכסי עבודה למנהלי רובע </t>
  </si>
  <si>
    <t xml:space="preserve">עלייה ככמויות האשפה כתוצאה מהמשבר </t>
  </si>
  <si>
    <t>עלות משאיתגזם 1755 ₪ ליום*25 ימים*12 חודשים</t>
  </si>
  <si>
    <t xml:space="preserve"> בגין הדברה 31,239(לכל חודש)</t>
  </si>
  <si>
    <t>עלות הטמנה לאשפה ביתית 395.28*900*12+עלות גזם 175 לטון*200 טון *12(והכל כולל היטלים וכדו)</t>
  </si>
  <si>
    <t>גני משחקים .  כוללבצ"מ להחלפת ונדליזם - רוב התקצוב בגין תקנון הגנים</t>
  </si>
  <si>
    <t>ע"פ הסכם -מכסות ניקוז</t>
  </si>
  <si>
    <t>תשלום לאיגוד- מקוזז מהתשלום שועבר לאשכול בגין וטרינר</t>
  </si>
  <si>
    <t>מעבר לאשכול -התשלום נטו לאחר שכר</t>
  </si>
  <si>
    <t>הוצאות טלפון,כיבוד,מונה מדפסת כו- איחוד סעיפים</t>
  </si>
  <si>
    <t>1200*12 כיבוד</t>
  </si>
  <si>
    <t xml:space="preserve">הקמת סוכת אבלים </t>
  </si>
  <si>
    <t>בגין תחזוקה מקלטים - בעיקר איטום ושיפוץ חד פעמיים בשנת 2019</t>
  </si>
  <si>
    <t>מיון מביטוחים כללי</t>
  </si>
  <si>
    <t>בהתאם לתקציב הגא(פיקוד העורף)</t>
  </si>
  <si>
    <t>אחזקת מרכז הפעלה15 אש"ח ומוקד 20 אש"ח( הסכם גלבוע און ליין -1.46 לשיחה)</t>
  </si>
  <si>
    <t>בהתאם לתקציב מרכיבי בטחון-פקע"ר</t>
  </si>
  <si>
    <t>שרות לתוכנאה בינארית ,קריאת מונהל5 מכונות,כיבוד,סיורים מיקצועיים+סיום שיפוץ באגף</t>
  </si>
  <si>
    <t xml:space="preserve">צווי הריסה למבנים </t>
  </si>
  <si>
    <t>מכרז חדש יועמש  לוועדה 15 אש"ח בחודש - לא כמו בת..הבראה+ ערעורים</t>
  </si>
  <si>
    <t>תקציב שמאי וועדה + חוות דעת מהנדס חיצוני כולל תקצוב בימת תל חיויובלים</t>
  </si>
  <si>
    <t>תיקצוב העתקות -מדגף , הקלטטות ועדה, ספרות מקצועית</t>
  </si>
  <si>
    <t>תוקצב לפי 19 עובדים*60.6 ₪ לשעה*21 ימים בחודש ממוצע*12 חודשים + תוספת של 5 עובדים</t>
  </si>
  <si>
    <t>הוצאות מתפרצות לדרישת רה"ע כולל אגרנים 60</t>
  </si>
  <si>
    <t>הפחתה כנגד סעיף חירום קרונה</t>
  </si>
  <si>
    <t>היערכות מצב חירום קרונה</t>
  </si>
  <si>
    <t>הוצאה שנתית של 220 אלף + דמי חבר 60 אלף , בביצוע שנת 2019 נרשם הוצאות עבור שנים קודמות</t>
  </si>
  <si>
    <t xml:space="preserve">דמי חבר מרכז שלטון מוקמי 61 אש"ח </t>
  </si>
  <si>
    <t>לא הופעלה התוכנית</t>
  </si>
  <si>
    <t>השתתפות הרשות בתביעות נזקין</t>
  </si>
  <si>
    <t>רכבי פיקוח- 3300*2</t>
  </si>
  <si>
    <t>לעקוב אחרי קבלת השתתפות - לא תוקצב ב 2020</t>
  </si>
  <si>
    <t>הפחתת כנגד הפסקת פעילות האכיפה</t>
  </si>
  <si>
    <t>השתתפות הרשות בנטן כ48 אש"ח לרבעון</t>
  </si>
  <si>
    <t xml:space="preserve"> דירת בנות שירותחשמל ומים ושכ"ד לעמידר כ14 אש"ח לרבעון (ברחוב קרן היסוד)</t>
  </si>
  <si>
    <t>תחזוקת מוסדות - כולל שער לבית ספר רננים וגוונים תוספת לשיפור ליקויי בטיחות וכדו.</t>
  </si>
  <si>
    <t>49 ₪ ל-4600 תלמידים</t>
  </si>
  <si>
    <t>קיזוז הרשות ע"י משרד החינוך בגין מימון תקשוב ואינטרנט שמספק מ. החינוך,כולל חותם, הסכם מול מקירוספט</t>
  </si>
  <si>
    <t>הוצאות שוטפות ,כיבוד,ישיבות,רכישת ציוד מתכלה וכו</t>
  </si>
  <si>
    <t>הפסקת הפעילות עקב משבר קרונה</t>
  </si>
  <si>
    <t>חיוב ע"י משרד החינוך בגין קרן קרב. ראה ניר מסיגל</t>
  </si>
  <si>
    <t>בהתאם לחיוב משרד החינוך בגין גננות+ פקודה סוף שנה (הכנסה והוצאה מקבילה -גננות עודפות) בניכוי יחסי של סגירת 3 גני ילדים - נאידה וליאת</t>
  </si>
  <si>
    <t>חיוב משרד החינוך בגין תכנית קרב(חוגים והעשרה בבתי ספר יסודיים) בהתאם לביצוע 2019</t>
  </si>
  <si>
    <t>חיוב משרד החינוך בגין הזנה לביתי הספר</t>
  </si>
  <si>
    <t>לא ברור אם תתקיים ב 2020</t>
  </si>
  <si>
    <t>הפחתה בעקבות הפסקת הסעות</t>
  </si>
  <si>
    <t>36000 עובד בהיכל תרבות. 300,000 ספריה</t>
  </si>
  <si>
    <t xml:space="preserve">השתתפות הרשות בחדרי מס הכנסה </t>
  </si>
  <si>
    <t>השתתפות הרשות בחשמל ארתור פוקוס,בית החן והיכל תרבות ובית וונקובר.נקיון ארתור פוקוס  .מים ארתור פוקוס ובית החן</t>
  </si>
  <si>
    <t>הוצאה הכנסה</t>
  </si>
  <si>
    <t>כולל מיון שכר פעילות חברתית</t>
  </si>
  <si>
    <t xml:space="preserve">תקציב בגין פעולות המרכז התקציב הינו 306 שמחולק ל 173 אש"ח פעולות ו93 אש"ח שכר מנהלת מרכז צעירים (מימון חלקי, ורכזת פיתוח קהילה 40 אש"ח (מימון חלקי)-העובדות רשומות ברשות </t>
  </si>
  <si>
    <t>קול קורא המשרד לשויון חברתי 250 אש"ח מנגד הכנסות 187.5 אש"ח</t>
  </si>
  <si>
    <t>רישום ע"י קיזוז הכנסות מהחכל- השתתפות הרשות עד 200 אש"ח</t>
  </si>
  <si>
    <t>בגין ויטרנים,בני מנשה,אני בארץ ישראל ואירועים ע"פ בקשות משרד הקליטה - קוצץ משמעותית החל משנת 2019</t>
  </si>
  <si>
    <t>תיקצוב מינמום לטובת קולות קוראים ותכנית נוספות</t>
  </si>
  <si>
    <t>סינון</t>
  </si>
  <si>
    <t>משרות 2020 מוחמד</t>
  </si>
  <si>
    <t>ליאת+שירז+ליטל - הסטייה מביצוע שנת 2019 כנראה עבור מיון עובד</t>
  </si>
  <si>
    <t>כנראה פרישת 4 עובדים , מסומנים בגליון 2019</t>
  </si>
  <si>
    <t>לבדוק אם מתוכנן משרה חדשה</t>
  </si>
  <si>
    <t>שנה קודמת היה עוד 4 עובדים שכנראה פרשו</t>
  </si>
  <si>
    <t>לבדוק האם תוכנן לפטר עובדים</t>
  </si>
  <si>
    <t>בשנת 2019 היוא 6 משרות , כנראה 2 פרשו</t>
  </si>
  <si>
    <t>עובדים שלא התחילו מתחילת שנת 2019</t>
  </si>
  <si>
    <t>קימים עובדים חדשים מסוף 2019</t>
  </si>
  <si>
    <t>היתה שטרית מרים שיצאה לפנסיה , לברר מי החליף ב 2020</t>
  </si>
  <si>
    <t>משרה חדשה מ 12.2019</t>
  </si>
  <si>
    <t>תוקצב כמו ביצוע שנה קודמת למרות שצפוי ירידה עקב מיון עובדים במחלקות שונות</t>
  </si>
  <si>
    <t xml:space="preserve">תוקצב כמו ביצוע שנת 2019 </t>
  </si>
  <si>
    <t>שנה שעברה מיון עם מנהל דנציגר</t>
  </si>
  <si>
    <t>שנה שעברה מיון עם מנהל דנציגר - לברר אם מתוגנן עטבד חדש</t>
  </si>
  <si>
    <t>שנה שעברה היה יותר עובדים</t>
  </si>
  <si>
    <t>ממוצע 130 אלף כל חודש , שנה קודמת היה מתוקצב עם סייעת רגילה</t>
  </si>
  <si>
    <t>אין ביצוע בשנת 2020 , למעט העובד זמר מיתר שתוקצב בסעיף שכ"ר ב"ס צדל</t>
  </si>
  <si>
    <t xml:space="preserve">כלל הוצאות עבור שנה קודמת , </t>
  </si>
  <si>
    <t>תחזית 2019 בקידום 1.5% זחילת שכר לפי גליון " תקציב שכר 2020 "+ קלטית עובדתחדשה מנהל מרכזצערים</t>
  </si>
  <si>
    <t>מול גידול בהכנסה</t>
  </si>
  <si>
    <t>עלייה ל 4 משרות</t>
  </si>
  <si>
    <t>לעדכן אחרי עדכון פורשים חדשים</t>
  </si>
  <si>
    <t>אחוזים והשתתפויות</t>
  </si>
  <si>
    <t>ארנונה מסה"כ תקציב</t>
  </si>
  <si>
    <t>שכר מסה"כ הוצאות (ללא פנסיה)</t>
  </si>
  <si>
    <t>פנסיה מהוצאות</t>
  </si>
  <si>
    <t>הפרש בין מוחמד ללואי</t>
  </si>
  <si>
    <t>העלאה על סמך ביצוע שנה קודמת והוספת גבייה בתביעות צומן</t>
  </si>
  <si>
    <t>הגדלת העברה מקרנות הרשות למחלקת הנדסה+גהכנסות חנייה + הכנסות שונות בהתאם לביצוע שנת 2019</t>
  </si>
  <si>
    <t>הפרש נובע מתקצוב זהה לביצוע סופי 2019 , ב שמירה משטרה + תלמידי חוץ + ג"י טרום חובה</t>
  </si>
  <si>
    <t>עודכן בהתאם לביצוע בפועל 2019</t>
  </si>
  <si>
    <t>בדיקה שנתית שכר</t>
  </si>
  <si>
    <t>שכר לפי דוח 66</t>
  </si>
  <si>
    <t>תקופה</t>
  </si>
  <si>
    <t>רבעון 1.20</t>
  </si>
  <si>
    <t>שנתי משוער(13 חודשים)</t>
  </si>
  <si>
    <t>השינוי נובע מהפרשים בתקצוב הכנסות : סל מדע+עיר ללא אלימות+מנהל הנוער+משרד הבריאות+שע"ל הכנסות</t>
  </si>
  <si>
    <t>רוב הפעילות הושלמה בדצמבר</t>
  </si>
  <si>
    <t>לפי התקציב של לואי ההשתתפות 78%</t>
  </si>
  <si>
    <t>שנה קודמת חלק מהעובדים היוא מפוצלים עם מחלקות אחרות , מנגד יהיה קיטון בתקציבים אחרים בחינוך - בתקציב לואי תוקצב במסגרת גני ילדים רגיל</t>
  </si>
  <si>
    <t>כללי</t>
  </si>
  <si>
    <t>סה"כ 2019</t>
  </si>
  <si>
    <t>חודשי ממוצע (רבעון 1.20)</t>
  </si>
  <si>
    <t>כמו ביצוע 2019 -2.5 מליון ממשרד הביטחון נתקבלו בחודש מרץ , 600 אש"ח התקבלו משופרסל ואלקטרו .יש לציין שמול הכנסה זו קיימת הוצאות שכ"ט עו"ד בסך 30% מהגבייה</t>
  </si>
  <si>
    <t>תוקצב בהתאם לתחזית גבייה שיעור עדכון אוטמטי 2.58% בתוספת 43אלף מטר שהוטמע מהסקר נכסים+2.367% בגין העלאה חריגה וסקר נכסים 2020 1 מליון</t>
  </si>
  <si>
    <t xml:space="preserve">לפי אחוז ביצוע 2019 </t>
  </si>
  <si>
    <t>הכנסות שנרשמו כנגד בנק דיסקונט - מדובר בשחרור כספים מקופת הרשות - כנראה שחרור כנגד פיטורי עובדים</t>
  </si>
  <si>
    <t>ביצוע 2019 - לבירור בגלל פירעון ההלוואה</t>
  </si>
  <si>
    <t>הכנסות בגין השתתפות בשכר ועדה מקומית (תיקון לחוק התכנוןוהבנייה רפרומה 101)- לברר למה לא היה תקבול בשנת 2019 - לפי חשבת הנדסה נקבל רק 330 אלף בשנת 2020</t>
  </si>
  <si>
    <t>לבדוק עם רווית תקבול 85% , מבתי הספר שמשתמשים בסעיף הזה</t>
  </si>
  <si>
    <t>לבדוק עם רווית אם היה גידול במספר הילדים תלמידי חוץ</t>
  </si>
  <si>
    <t xml:space="preserve">בהמשך לבדיקה עם עו"ז , נקבל 115 על ססך שנים קודמות - </t>
  </si>
  <si>
    <t>אחרי בדיקת התקבולים</t>
  </si>
  <si>
    <t>גני ילדים</t>
  </si>
  <si>
    <t>תחזית -הכנסות גנים ארוכים  -שנה"ל תש"פ 01/09/2019-31/08/2020</t>
  </si>
  <si>
    <t>מס"ד</t>
  </si>
  <si>
    <t>שם הגן</t>
  </si>
  <si>
    <t>מספר ילדים עפ"י נתוני משרד החינוך</t>
  </si>
  <si>
    <t>תשלומי הורים</t>
  </si>
  <si>
    <t>אורן</t>
  </si>
  <si>
    <t>גולן</t>
  </si>
  <si>
    <t>חבצלת</t>
  </si>
  <si>
    <t>דרור</t>
  </si>
  <si>
    <t>רותם</t>
  </si>
  <si>
    <t>רמה</t>
  </si>
  <si>
    <t>נרקיס</t>
  </si>
  <si>
    <t>סה"כ</t>
  </si>
  <si>
    <t>לפי תחשיב עוז בנייר עבודה חינוך</t>
  </si>
  <si>
    <t>לשאול סיגל כמה ילדי חובה בלבד ולהכפיל בתעריף ילד חובה כפול תעריף</t>
  </si>
  <si>
    <t>סייעות חובה</t>
  </si>
  <si>
    <t>שכל"ם</t>
  </si>
  <si>
    <t xml:space="preserve">השתתפות בשכר עוזרות לגננת, סייעת שנייה, השתתפות בשכ"ל טרום חובה +תוספת גננות עובדות מדינה 2.4 מיליון -גם בהוצאה גננות עובדות מדינה </t>
  </si>
  <si>
    <t>עוזרות יוחיא</t>
  </si>
  <si>
    <t>סייעת 2</t>
  </si>
  <si>
    <t>לפי עוז לא מושפע מקורונה</t>
  </si>
  <si>
    <t xml:space="preserve">ב"ס יסגר בסוף שנת הלימודים </t>
  </si>
  <si>
    <t>אין השפעת קורונה</t>
  </si>
  <si>
    <t>חודש חישוב</t>
  </si>
  <si>
    <t>שם מוטב</t>
  </si>
  <si>
    <t>סמל מוטב</t>
  </si>
  <si>
    <t>חודש תחולה</t>
  </si>
  <si>
    <t>סוג רשות</t>
  </si>
  <si>
    <t>תאור סוג הרשות</t>
  </si>
  <si>
    <t>קוד נושא</t>
  </si>
  <si>
    <t>נושא</t>
  </si>
  <si>
    <t>חודש תחולה_1</t>
  </si>
  <si>
    <t>מספר משרות</t>
  </si>
  <si>
    <t>אחוז השתתפות</t>
  </si>
  <si>
    <t>סכום מחושב</t>
  </si>
  <si>
    <t>סכום מחושב קודם</t>
  </si>
  <si>
    <t>הפרש מחושב</t>
  </si>
  <si>
    <t>עירית קרית שמונה</t>
  </si>
  <si>
    <t>רשויות קטנות</t>
  </si>
  <si>
    <t>פסיכולוגים חינוכיים</t>
  </si>
  <si>
    <t>שפ"י (שעות הדרכה)</t>
  </si>
  <si>
    <t>שפ"י</t>
  </si>
  <si>
    <t>הורדת 2 חודשים</t>
  </si>
  <si>
    <t>לא מושפע מקורונה - שכר עובדים</t>
  </si>
  <si>
    <t>סייעת רפואית</t>
  </si>
  <si>
    <t>חוק שילוב</t>
  </si>
  <si>
    <t>חריגות</t>
  </si>
  <si>
    <t>לבדיקה</t>
  </si>
  <si>
    <t xml:space="preserve">סעיפי הכנסות 574+573 לבדוק איפה נרשמו ולהוריד 1.5 חודשים בהכנסות </t>
  </si>
  <si>
    <t>בערך 50,000</t>
  </si>
  <si>
    <t>שכר 2019</t>
  </si>
  <si>
    <t>סבסוד חינוך</t>
  </si>
  <si>
    <t>סבסוד</t>
  </si>
  <si>
    <t>סבסוד רווחה</t>
  </si>
  <si>
    <t>שכר כללי (כולל פנסיה)</t>
  </si>
  <si>
    <t>גבייה מארנונה</t>
  </si>
  <si>
    <t>פעילות כללית</t>
  </si>
  <si>
    <t>יעד גרעון</t>
  </si>
  <si>
    <t>נתקבל בפועל כשיפוי ממשרד הפנים</t>
  </si>
  <si>
    <t>שיפוי קורונה מ.הפנים</t>
  </si>
  <si>
    <t>שיפוי קורונה איכ"ס</t>
  </si>
  <si>
    <t>נתקבל כשיפוי על צריכת פסולת מאיכות הסביבה</t>
  </si>
  <si>
    <t xml:space="preserve"> כולל הכנסות מחברות ביטוח , השתתפות תביעות ביטוח - תוקצב בהתאם לביצוע שנה קודמת</t>
  </si>
  <si>
    <t>אין פרעון מלוות ב 2020 , מלוות ביוב בפרעון מוקדם - התאגיד המשיך לשלם לעירייה עבור פרעון המלווה ב 2020</t>
  </si>
  <si>
    <t>אין פרעון מלוות ב 2020 , מלוות ביוב בפרעון מוקדם - אבל יש קרן ביוב עדיין - התאדיג המשיך לשלם לעירייה עבור פרעון המלווה</t>
  </si>
  <si>
    <t>צפי לפטור ל 3 חודשים ועלייה בהנחות כתוצה משיעור האנשים המובטלים הזכאים להנחות -להערכת מוטי ההנחות יהיו בין 6 ל 8 מליון שח</t>
  </si>
  <si>
    <t>בי"ס שנסגר השנה , העובדים יועברו למקום אחר</t>
  </si>
  <si>
    <t>הפחתת 25 אל"ש עבור רבעון 1 בשנה הבאה עקב סגירת ב"ס</t>
  </si>
  <si>
    <t xml:space="preserve">ההפרש נוביע מתוכנית פיתוח ארגוני תוקצב 600 אלף אצל לואי + יחידה אסטרטיגית 175 אלף - והפרש בתקצוב קרן צמצום פערים </t>
  </si>
  <si>
    <t>השינו בעיקר נובע מתקצוב 1100 אל"שח עבור שכ"ט עו"ד צומן</t>
  </si>
  <si>
    <t>הפרש הנחות לקבל ממשרד הפנים</t>
  </si>
  <si>
    <t>שומה 2020</t>
  </si>
  <si>
    <t>הנחות</t>
  </si>
  <si>
    <t>סה"כ גבייה</t>
  </si>
  <si>
    <t>צומן</t>
  </si>
  <si>
    <t>פיגורים</t>
  </si>
  <si>
    <t>סקר נכסים</t>
  </si>
  <si>
    <t>הוספת 100 אלף לכל שנה 2019-2020 עבור ערעור הרשות</t>
  </si>
  <si>
    <t xml:space="preserve">חלק בסך 208 אלף נתקבלו בשנת 2019 </t>
  </si>
  <si>
    <t>תוקן ל 150 בעקבות צמצום קורונה</t>
  </si>
  <si>
    <t xml:space="preserve">  ימי עיון מקצועייים, גזבר,מבקר, מהנדס וכדו. קורס הנה"ח , קורס מפקחים ושיטור עירוני </t>
  </si>
  <si>
    <t>ביטול הרשאה</t>
  </si>
  <si>
    <t>חישוב ליאת</t>
  </si>
  <si>
    <t>ביצוע 2019 בשיקלול חסכון 25% התיעלות אנרגטית</t>
  </si>
  <si>
    <t>עבור שנתיים 2019+2020</t>
  </si>
  <si>
    <t xml:space="preserve"> -  בנוסף 80 אלף לשנה 69 אלף משנה שעברה , מול הכנסה ממשרד הפנים</t>
  </si>
  <si>
    <t>תקציב ממשרד הפנים למבקר הרשות</t>
  </si>
  <si>
    <t>השתתפות מבקר הפנים</t>
  </si>
  <si>
    <t>השתתפות שכר לינק תום פרויקט מצוינות</t>
  </si>
  <si>
    <t>משרד</t>
  </si>
  <si>
    <t>אגף</t>
  </si>
  <si>
    <t>יחידה</t>
  </si>
  <si>
    <t>שם יחידה</t>
  </si>
  <si>
    <t>מספר עובד</t>
  </si>
  <si>
    <t>שם עובד</t>
  </si>
  <si>
    <t>חלקיות</t>
  </si>
  <si>
    <t>משולב + תוספות</t>
  </si>
  <si>
    <t>עבודה נוספת</t>
  </si>
  <si>
    <t>שעות, טלפון</t>
  </si>
  <si>
    <t>רכב + ביטוחים</t>
  </si>
  <si>
    <t>תשלומים שנתיים</t>
  </si>
  <si>
    <t>שונות</t>
  </si>
  <si>
    <t>ברוטו</t>
  </si>
  <si>
    <t>ביטוח לאומי</t>
  </si>
  <si>
    <t>מס שכר</t>
  </si>
  <si>
    <t>מס מעסיקים</t>
  </si>
  <si>
    <t>הפרשה לקופות</t>
  </si>
  <si>
    <t>סה"כ עלות</t>
  </si>
  <si>
    <t>ממוצע חודשי</t>
  </si>
  <si>
    <t>סה"כ שנתי 2020 לפי חודש 1.20</t>
  </si>
  <si>
    <t>סה"כ שנתי 2020 לפי חודש 3.20</t>
  </si>
  <si>
    <t>סה"כ שנתי 2020 לפי ממוצע 3 חודשים ב 2020</t>
  </si>
  <si>
    <t>הבראה 2020 אבנר</t>
  </si>
  <si>
    <t>תקציב 2020 ליאת</t>
  </si>
  <si>
    <t>ממוצע שכר</t>
  </si>
  <si>
    <t>תוספות חד פעמית</t>
  </si>
  <si>
    <t>תקציב 2020 מוחמד</t>
  </si>
  <si>
    <t>משכורת הנהלה</t>
  </si>
  <si>
    <t>ממן יורם</t>
  </si>
  <si>
    <t>שטרן אביחי</t>
  </si>
  <si>
    <t>יחזקאל אופיר</t>
  </si>
  <si>
    <t>מבקר עיריה</t>
  </si>
  <si>
    <t>מלכה מירב</t>
  </si>
  <si>
    <t>ירמיהו אורן</t>
  </si>
  <si>
    <t>עובד חדש גייס משאבים</t>
  </si>
  <si>
    <t>הנהלת החינוך</t>
  </si>
  <si>
    <t>וענונו איריס</t>
  </si>
  <si>
    <t>צריך להעביר ללשכה</t>
  </si>
  <si>
    <t>הנהלת חשבונות</t>
  </si>
  <si>
    <t>נועם מוריה</t>
  </si>
  <si>
    <t>לא עבדה שנה שלמה 2019</t>
  </si>
  <si>
    <t>מזכירות</t>
  </si>
  <si>
    <t>פרי רותי</t>
  </si>
  <si>
    <t>לרדו פאר</t>
  </si>
  <si>
    <t>לוי שושנה</t>
  </si>
  <si>
    <t>זעפרני אילן</t>
  </si>
  <si>
    <t>זפרני פאני</t>
  </si>
  <si>
    <t>כהן חנניה</t>
  </si>
  <si>
    <t>ביטון יורם</t>
  </si>
  <si>
    <t>יצחקי אהובה</t>
  </si>
  <si>
    <t>נויזדה שולה</t>
  </si>
  <si>
    <t>בן זקן דינה</t>
  </si>
  <si>
    <t>אלגריסי יוסי</t>
  </si>
  <si>
    <t>דרי תמר</t>
  </si>
  <si>
    <t>בן שיטרית אסתר</t>
  </si>
  <si>
    <t>כהן שמחה</t>
  </si>
  <si>
    <t>פרישה 30.4</t>
  </si>
  <si>
    <t>תקציבית</t>
  </si>
  <si>
    <t>דובר העיריה</t>
  </si>
  <si>
    <t>בן סימון לוזית</t>
  </si>
  <si>
    <t>שנפר דורון</t>
  </si>
  <si>
    <t>מנגנון</t>
  </si>
  <si>
    <t>ציטרון אופירה</t>
  </si>
  <si>
    <t>כהן אושרת</t>
  </si>
  <si>
    <t>וקנין חנה</t>
  </si>
  <si>
    <t>תוספת שעות כוננות</t>
  </si>
  <si>
    <t>מחלקה משפטית</t>
  </si>
  <si>
    <t>לב אילן</t>
  </si>
  <si>
    <t>לא עבד שנה מלאה ב 2019</t>
  </si>
  <si>
    <t>בר יוסף אריאל</t>
  </si>
  <si>
    <t>שטרית דורית</t>
  </si>
  <si>
    <t>תוספת חד פעמית 35,000 בחודש 3.20</t>
  </si>
  <si>
    <t>ברק ענבל</t>
  </si>
  <si>
    <t>גיזברות</t>
  </si>
  <si>
    <t>מזרחי ליאת</t>
  </si>
  <si>
    <t>לא עבד שנה מלאה 2019</t>
  </si>
  <si>
    <t>סילוק ליטל</t>
  </si>
  <si>
    <t>חופש לידה החל מ 4.20</t>
  </si>
  <si>
    <t>סבאגי-יפרח שירז</t>
  </si>
  <si>
    <t>מור אושרת</t>
  </si>
  <si>
    <t>קבסה יוכי</t>
  </si>
  <si>
    <t>ווקנין שרה</t>
  </si>
  <si>
    <t>פורשת ב 30.6</t>
  </si>
  <si>
    <t>רחמים מרים</t>
  </si>
  <si>
    <t>גוסין איבגניה</t>
  </si>
  <si>
    <t>אפסנאות</t>
  </si>
  <si>
    <t>רז גלית</t>
  </si>
  <si>
    <t>רחמים רבקה</t>
  </si>
  <si>
    <t>מינהלה חזות העיר</t>
  </si>
  <si>
    <t>דהן חנה</t>
  </si>
  <si>
    <t>בן ציון בועז</t>
  </si>
  <si>
    <t>הועבר מהרווחה עם שכר בכירים 60% מחודש יולי</t>
  </si>
  <si>
    <t>אסור אילנה</t>
  </si>
  <si>
    <t>אוחיון אשר</t>
  </si>
  <si>
    <t>עובד חדש גינון</t>
  </si>
  <si>
    <t>לא ידוע</t>
  </si>
  <si>
    <t>בוטבול משה מאיר</t>
  </si>
  <si>
    <t>פרץ נחום</t>
  </si>
  <si>
    <t>אלמקייס אבי</t>
  </si>
  <si>
    <t>סבתי שמואל</t>
  </si>
  <si>
    <t>טוויטו שלום שרלי</t>
  </si>
  <si>
    <t>אלגריסי יורם</t>
  </si>
  <si>
    <t>אוחיון רפאל</t>
  </si>
  <si>
    <t>אוחנה מאיר</t>
  </si>
  <si>
    <t>רחימי עופר</t>
  </si>
  <si>
    <t>דהן ארמונד</t>
  </si>
  <si>
    <t>מתוכנן פרישה באוקטובר</t>
  </si>
  <si>
    <t>אלבז מקסים</t>
  </si>
  <si>
    <t>עמר עמי</t>
  </si>
  <si>
    <t>גוררי מיכאל</t>
  </si>
  <si>
    <t>וטרינר</t>
  </si>
  <si>
    <t>ליפלנדסקי ברוניסלב</t>
  </si>
  <si>
    <t>מנהל מינהלות</t>
  </si>
  <si>
    <t>יניב עדי</t>
  </si>
  <si>
    <t>עובד חדש</t>
  </si>
  <si>
    <t>מיקלטים והג"א</t>
  </si>
  <si>
    <t>אזולאי שלומי</t>
  </si>
  <si>
    <t>פיטורם ב 11.5 , מחלוקת מול הוועד</t>
  </si>
  <si>
    <t>סעדיה שמעון</t>
  </si>
  <si>
    <t>פרש ב 30.4</t>
  </si>
  <si>
    <t>אטיאס בני</t>
  </si>
  <si>
    <t>אזולאי שמעון</t>
  </si>
  <si>
    <t>הסטיה מביצוע 2019 שני עובדים שכנראה פרשו , מסומן בגליון 2019</t>
  </si>
  <si>
    <t>עובד חדש דובר רוסית</t>
  </si>
  <si>
    <t>מוקד עירוני</t>
  </si>
  <si>
    <t>מלכה מדלן מזל</t>
  </si>
  <si>
    <t>אלמקייס אורלי</t>
  </si>
  <si>
    <t>פסח מלח</t>
  </si>
  <si>
    <t>אריה דקל</t>
  </si>
  <si>
    <t>הסטיה מביצוע 2019  עובד שכנראה פרש , מסומן בגליון 2019</t>
  </si>
  <si>
    <t>סגן מהנדס חדש</t>
  </si>
  <si>
    <t>מהנדסים</t>
  </si>
  <si>
    <t>פחימה רותי</t>
  </si>
  <si>
    <t>אמסלם שמעון</t>
  </si>
  <si>
    <t>אלדן שני</t>
  </si>
  <si>
    <t>אלימלך איילה</t>
  </si>
  <si>
    <t>ועדה מקומית</t>
  </si>
  <si>
    <t>השאש גיל</t>
  </si>
  <si>
    <t>בורשטיין אינה</t>
  </si>
  <si>
    <t>קבילו אברהם</t>
  </si>
  <si>
    <t>בן שושן גיתית</t>
  </si>
  <si>
    <t>קיבלת תשלום חד פעמי ב 2.21</t>
  </si>
  <si>
    <t>טלביץ דוד</t>
  </si>
  <si>
    <t>קיבל 12 א בחודש 2.20 חד פעמי</t>
  </si>
  <si>
    <t>שנה קודמת היה 10 משרות , ג מסומנים פרשו</t>
  </si>
  <si>
    <t>דוידי צביאל</t>
  </si>
  <si>
    <t>קיבלת תשלום חד פעמי ב 2.20</t>
  </si>
  <si>
    <t>דנן מרסל</t>
  </si>
  <si>
    <t>קיבלת תשלום חד פעמי ב 2.22</t>
  </si>
  <si>
    <t>בן אבו מורן</t>
  </si>
  <si>
    <t>קיבלת תשלום חד פעמי ב 2.23</t>
  </si>
  <si>
    <t>אקוסטה מתי</t>
  </si>
  <si>
    <t>טוקר סמיון</t>
  </si>
  <si>
    <t>קורסן אלכסיי</t>
  </si>
  <si>
    <t>קידום בדרגה ושעות כוננות</t>
  </si>
  <si>
    <t>בשנת 2019 היה 10 עובדים</t>
  </si>
  <si>
    <t>חנונה שמעון</t>
  </si>
  <si>
    <t>איבגי יצחק מאיר</t>
  </si>
  <si>
    <t>בן שטרית דני</t>
  </si>
  <si>
    <t>יונה עופר</t>
  </si>
  <si>
    <t>שני עובדים נוספים היו ב 2019 כנראה פרשו</t>
  </si>
  <si>
    <t>חשמל</t>
  </si>
  <si>
    <t>יעקב משה</t>
  </si>
  <si>
    <t>דניאל דרור</t>
  </si>
  <si>
    <t>יפרח איתן</t>
  </si>
  <si>
    <t>כהן ליאור</t>
  </si>
  <si>
    <t>תהיה עליית שגר</t>
  </si>
  <si>
    <t>אזולאי משה</t>
  </si>
  <si>
    <t>כהן ערן</t>
  </si>
  <si>
    <t>כהן יוגב</t>
  </si>
  <si>
    <t>דור עידן</t>
  </si>
  <si>
    <t>מרציאנו שלומי</t>
  </si>
  <si>
    <t>חן רפאל</t>
  </si>
  <si>
    <t>בוזגלו מתן</t>
  </si>
  <si>
    <t>מלול קורל</t>
  </si>
  <si>
    <t>אתעשיה ועסקים</t>
  </si>
  <si>
    <t>קבסה קאתי</t>
  </si>
  <si>
    <t>גואטה סימה</t>
  </si>
  <si>
    <t>לא עבד מתחילת השנה</t>
  </si>
  <si>
    <t>גוסלקר קרן הודיה</t>
  </si>
  <si>
    <t>ארליך ירדן</t>
  </si>
  <si>
    <t>עמוס שולמית</t>
  </si>
  <si>
    <t>שפירא איתי</t>
  </si>
  <si>
    <t>עוזרד נעם</t>
  </si>
  <si>
    <t>רשות החניה</t>
  </si>
  <si>
    <t>לא היתה מתחילת שנת 2019</t>
  </si>
  <si>
    <t>מלכה ניסים</t>
  </si>
  <si>
    <t>וענונו אשר</t>
  </si>
  <si>
    <t>אוחיון גיא</t>
  </si>
  <si>
    <t>מדר שרית</t>
  </si>
  <si>
    <t>סולטני ראובן</t>
  </si>
  <si>
    <t>שנה קודמת היו 9 עובדים</t>
  </si>
  <si>
    <t>אלגריסי רבית</t>
  </si>
  <si>
    <t>כלפון יפעת</t>
  </si>
  <si>
    <t>להעביר למגינים</t>
  </si>
  <si>
    <t>מלכה זוהר</t>
  </si>
  <si>
    <t>כהן סיגל</t>
  </si>
  <si>
    <t>ליניק תום</t>
  </si>
  <si>
    <t>התחילה ב 11.19</t>
  </si>
  <si>
    <t>אמסלם רבקה</t>
  </si>
  <si>
    <t>עובדת חדשה</t>
  </si>
  <si>
    <t>שבת דוד</t>
  </si>
  <si>
    <t>אמור לפרוש ביוני</t>
  </si>
  <si>
    <t>שלמה יפה</t>
  </si>
  <si>
    <t>פרישה ב 30.5</t>
  </si>
  <si>
    <t>שושן יעקב</t>
  </si>
  <si>
    <t>מרציאנו מור</t>
  </si>
  <si>
    <t>עברה מסייעת למנהל חינוך</t>
  </si>
  <si>
    <t>גוהריאן שילי</t>
  </si>
  <si>
    <t>קמרי דליה</t>
  </si>
  <si>
    <t>בן גויה אירית</t>
  </si>
  <si>
    <t>אוחנה מיכל</t>
  </si>
  <si>
    <t>שמולה דינה</t>
  </si>
  <si>
    <t>אמסלם מרגלית</t>
  </si>
  <si>
    <t>קדוש ליאת</t>
  </si>
  <si>
    <t>ויצמן שושנה</t>
  </si>
  <si>
    <t>דעדוש יעל</t>
  </si>
  <si>
    <t>ברדה קלריס</t>
  </si>
  <si>
    <t>אוחנה ענת</t>
  </si>
  <si>
    <t>בעדאש סיגל</t>
  </si>
  <si>
    <t>אוסקר חדווה</t>
  </si>
  <si>
    <t>פרץ רימונד</t>
  </si>
  <si>
    <t>טל סיגל</t>
  </si>
  <si>
    <t>ביטון מירב</t>
  </si>
  <si>
    <t>טויטו הודיה</t>
  </si>
  <si>
    <t>אטדגי טלי</t>
  </si>
  <si>
    <t>שמואל רויטל</t>
  </si>
  <si>
    <t>חקון אושרת</t>
  </si>
  <si>
    <t>פדידה איריס</t>
  </si>
  <si>
    <t>עובד חדש מ 2.20</t>
  </si>
  <si>
    <t>יפרח זוהר</t>
  </si>
  <si>
    <t>לוי מירב</t>
  </si>
  <si>
    <t>התחיל לעבוד ב 10.2019</t>
  </si>
  <si>
    <t>כהן דבורה</t>
  </si>
  <si>
    <t>אליהו אידית</t>
  </si>
  <si>
    <t>אבן צור זהבה</t>
  </si>
  <si>
    <t>אזולאי עליזה</t>
  </si>
  <si>
    <t>דן אורלי</t>
  </si>
  <si>
    <t>בנגו יערית</t>
  </si>
  <si>
    <t>פרידמן קרן</t>
  </si>
  <si>
    <t>שרעבי נעמי</t>
  </si>
  <si>
    <t>נווה גלית</t>
  </si>
  <si>
    <t>לוי ליאת</t>
  </si>
  <si>
    <t>דהן מור</t>
  </si>
  <si>
    <t>התחיל לעבוד ב 3.19</t>
  </si>
  <si>
    <t>כהן עליזה</t>
  </si>
  <si>
    <t>גוסיינוב מיטל</t>
  </si>
  <si>
    <t>אטיאס רחל</t>
  </si>
  <si>
    <t>בבלסקי רחל</t>
  </si>
  <si>
    <t>אלגריסי רוזה</t>
  </si>
  <si>
    <t>ביטון שרה</t>
  </si>
  <si>
    <t>סרמילי בת-שבע</t>
  </si>
  <si>
    <t>אברגל אורה</t>
  </si>
  <si>
    <t>בשן אודליה</t>
  </si>
  <si>
    <t>קורליקר בטי</t>
  </si>
  <si>
    <t>פרץ דליה</t>
  </si>
  <si>
    <t>סייג אריאלה</t>
  </si>
  <si>
    <t>דנינו שולה</t>
  </si>
  <si>
    <t>זוויגי עליזה</t>
  </si>
  <si>
    <t>יהודה שולה</t>
  </si>
  <si>
    <t>מלכה יפה</t>
  </si>
  <si>
    <t>תפרוש ב 30.5</t>
  </si>
  <si>
    <t>זגורי ורדה</t>
  </si>
  <si>
    <t>אטיאס מזל</t>
  </si>
  <si>
    <t>תפרוש ב 30.6</t>
  </si>
  <si>
    <t>איבגי רחל</t>
  </si>
  <si>
    <t>פרץ סתיו</t>
  </si>
  <si>
    <t>שטרית לידור</t>
  </si>
  <si>
    <t>אפלבאום הודיה</t>
  </si>
  <si>
    <t>קדוש קורין</t>
  </si>
  <si>
    <t>שנה קודמת היתה סייעת צמודה</t>
  </si>
  <si>
    <t>בן-דהן דניאל</t>
  </si>
  <si>
    <t>חגג מסודי</t>
  </si>
  <si>
    <t>עוזבת 30.8</t>
  </si>
  <si>
    <t>מלכה רונית</t>
  </si>
  <si>
    <t>בשנת 2019 היה מפוצל עם סייעת</t>
  </si>
  <si>
    <t>בן שטרית יהודית</t>
  </si>
  <si>
    <t>עזיז גילה</t>
  </si>
  <si>
    <t>צדיק סמדר</t>
  </si>
  <si>
    <t>דוידי יעל</t>
  </si>
  <si>
    <t>אהרון רבקה</t>
  </si>
  <si>
    <t>גינו דגנית</t>
  </si>
  <si>
    <t>אזולאי ליאן</t>
  </si>
  <si>
    <t>ממן איריס</t>
  </si>
  <si>
    <t>אלוק סימה</t>
  </si>
  <si>
    <t>רונן ליז</t>
  </si>
  <si>
    <t>אלגריסי שירי</t>
  </si>
  <si>
    <t>עובד חדש מ 3.20</t>
  </si>
  <si>
    <t>צרפתי קרן</t>
  </si>
  <si>
    <t>ביטון טלי</t>
  </si>
  <si>
    <t>תורגמן יהודית</t>
  </si>
  <si>
    <t>טויזר פנינה</t>
  </si>
  <si>
    <t>צדוק יפה</t>
  </si>
  <si>
    <t>טלקר סימה</t>
  </si>
  <si>
    <t>אוחנה רחלי</t>
  </si>
  <si>
    <t>מוסרי רותי</t>
  </si>
  <si>
    <t>כהן שולמית</t>
  </si>
  <si>
    <t>שלו אוולין</t>
  </si>
  <si>
    <t>טפירו זהבה</t>
  </si>
  <si>
    <t>דהן שיראל</t>
  </si>
  <si>
    <t>אבי שלקוב הנאדי</t>
  </si>
  <si>
    <t>אוחנה עדנה</t>
  </si>
  <si>
    <t>רווח זהבה</t>
  </si>
  <si>
    <t>אבוטבול דינה</t>
  </si>
  <si>
    <t>עובדי ביה"ס צד"ל</t>
  </si>
  <si>
    <t>זרד מיתר</t>
  </si>
  <si>
    <t>לפי חנה להעביר לגן ארוך</t>
  </si>
  <si>
    <t>ביה"ס יצחק הנשיא</t>
  </si>
  <si>
    <t>אפרגן זהבה</t>
  </si>
  <si>
    <t>עובר למצודות</t>
  </si>
  <si>
    <t>חסין אתי</t>
  </si>
  <si>
    <t>בן לולו ליאורה</t>
  </si>
  <si>
    <t>ניוד</t>
  </si>
  <si>
    <t>ביטון יעל</t>
  </si>
  <si>
    <t>לוי אלינור</t>
  </si>
  <si>
    <t>ריבלין עמרי</t>
  </si>
  <si>
    <t>זוהר חיים</t>
  </si>
  <si>
    <t>תמסות אסתר</t>
  </si>
  <si>
    <t>פרישה 30.6</t>
  </si>
  <si>
    <t>ביה"ס המגינים</t>
  </si>
  <si>
    <t>סויסה מאיר</t>
  </si>
  <si>
    <t>בן שימול ענת</t>
  </si>
  <si>
    <t>ארביל סיגל</t>
  </si>
  <si>
    <t>להעביר לרננים</t>
  </si>
  <si>
    <t>עמר מרים</t>
  </si>
  <si>
    <t>דהן נטלי</t>
  </si>
  <si>
    <t>אלימלך רוית</t>
  </si>
  <si>
    <t>כראדי לי</t>
  </si>
  <si>
    <t>ביטון ציונה</t>
  </si>
  <si>
    <t>סאינה אורית</t>
  </si>
  <si>
    <t>תורגמן כוכבה</t>
  </si>
  <si>
    <t>אביסדריס שושנה</t>
  </si>
  <si>
    <t>וקנין אסתר</t>
  </si>
  <si>
    <t>דהן דניז</t>
  </si>
  <si>
    <t>דוק זר</t>
  </si>
  <si>
    <t>תשובה אמנה הודיה</t>
  </si>
  <si>
    <t>סיעות צמודות</t>
  </si>
  <si>
    <t>יחזקאלי אריאלה</t>
  </si>
  <si>
    <t>לפי 66 עובדת בעיר ללא אלימות + רננים</t>
  </si>
  <si>
    <t>ביה"ס מצודות</t>
  </si>
  <si>
    <t>עמר שמעון</t>
  </si>
  <si>
    <t>טויזר אהובה</t>
  </si>
  <si>
    <t>פחימה גילה</t>
  </si>
  <si>
    <t>כהן כרמית</t>
  </si>
  <si>
    <t>בן אור מיטל</t>
  </si>
  <si>
    <t>ביטון חיה</t>
  </si>
  <si>
    <t>סמעאן גמילה</t>
  </si>
  <si>
    <t>סמעאן איבתיסם</t>
  </si>
  <si>
    <t>ביה"ס עוזיאל</t>
  </si>
  <si>
    <t>כליף עליזה</t>
  </si>
  <si>
    <t>פרפרה ליליאן</t>
  </si>
  <si>
    <t>אוחיון חני</t>
  </si>
  <si>
    <t>חסין כהלית</t>
  </si>
  <si>
    <t>אלקובי ענב</t>
  </si>
  <si>
    <t>בן-אהרון הילה</t>
  </si>
  <si>
    <t>לוגסי סמדר</t>
  </si>
  <si>
    <t>גרוס גאולה</t>
  </si>
  <si>
    <t>וקנין יהודית</t>
  </si>
  <si>
    <t>בן שיטרית אלינס</t>
  </si>
  <si>
    <t>עזרן אסתר</t>
  </si>
  <si>
    <t>פרשה ב 3.20</t>
  </si>
  <si>
    <t>שפריר יפה</t>
  </si>
  <si>
    <t>ביה"ס קורצאק</t>
  </si>
  <si>
    <t>גבאי שמחה</t>
  </si>
  <si>
    <t>בוטבול ויקטוריה</t>
  </si>
  <si>
    <t>בן סימון יפעת</t>
  </si>
  <si>
    <t>רחמים בת שבע</t>
  </si>
  <si>
    <t>חסן ציפי</t>
  </si>
  <si>
    <t>עמרני סטלה</t>
  </si>
  <si>
    <t>בן אבו גנט</t>
  </si>
  <si>
    <t>רחמים ניני</t>
  </si>
  <si>
    <t>ביה"ס רמב"ם</t>
  </si>
  <si>
    <t>דנינו נאוה</t>
  </si>
  <si>
    <t>חימי מרים</t>
  </si>
  <si>
    <t>וקנין יוגב</t>
  </si>
  <si>
    <t>שנה שעברה היה בבית ספר גוונים</t>
  </si>
  <si>
    <t>שנה שעברה היה 5 עובדים</t>
  </si>
  <si>
    <t>ביה"ס תל חי</t>
  </si>
  <si>
    <t>פרץ אביבה</t>
  </si>
  <si>
    <t>ממן איתן</t>
  </si>
  <si>
    <t>יפרח גלית</t>
  </si>
  <si>
    <t>זמיר שושנה</t>
  </si>
  <si>
    <t>זוהר שרית</t>
  </si>
  <si>
    <t>נחמני יוכבד</t>
  </si>
  <si>
    <t>אבן צור שושנה</t>
  </si>
  <si>
    <t>אוחיון מרים</t>
  </si>
  <si>
    <t>וייס_גסטי דיאנה</t>
  </si>
  <si>
    <t>בית ספר גוונים</t>
  </si>
  <si>
    <t>שושן שושנה</t>
  </si>
  <si>
    <t>אמסלם חני</t>
  </si>
  <si>
    <t>אוחיון אסתר</t>
  </si>
  <si>
    <t>בן אבו מיכל</t>
  </si>
  <si>
    <t>גבאי אביבית</t>
  </si>
  <si>
    <t>צרויה לילך</t>
  </si>
  <si>
    <t>בן שטרית יפה</t>
  </si>
  <si>
    <t>בן אלול מרצי</t>
  </si>
  <si>
    <t>בוקריס יפה</t>
  </si>
  <si>
    <t>כהן אפרים</t>
  </si>
  <si>
    <t>אוטולנגי אורטל</t>
  </si>
  <si>
    <t>גרסנר גינה</t>
  </si>
  <si>
    <t>מעון רננים וביהס רננ</t>
  </si>
  <si>
    <t>מלכה לינדה</t>
  </si>
  <si>
    <t>מלכה פאני</t>
  </si>
  <si>
    <t>שנה שעברה היה במחלקרה אחרת</t>
  </si>
  <si>
    <t>בן שימול יפה</t>
  </si>
  <si>
    <t>בן שושן זיוה אורני</t>
  </si>
  <si>
    <t>אלגריסי אסתר</t>
  </si>
  <si>
    <t>דרי אירית</t>
  </si>
  <si>
    <t>אדרי עליזה</t>
  </si>
  <si>
    <t>מלכה זהבה</t>
  </si>
  <si>
    <t>אטיאס ענת</t>
  </si>
  <si>
    <t>כהן שלומי</t>
  </si>
  <si>
    <t>טויזר אשר</t>
  </si>
  <si>
    <t>אלימלך עופרה</t>
  </si>
  <si>
    <t>בוחבוט צביקה</t>
  </si>
  <si>
    <t>רווח יערה</t>
  </si>
  <si>
    <t>התחיל לעבוד ב 10/19</t>
  </si>
  <si>
    <t>מלכה שירן</t>
  </si>
  <si>
    <t>עזבה ב 2.20</t>
  </si>
  <si>
    <t>שושן חופית</t>
  </si>
  <si>
    <t>אלגאלי אילת</t>
  </si>
  <si>
    <t>אדרי לאה</t>
  </si>
  <si>
    <t>אטיאס דבורה</t>
  </si>
  <si>
    <t>פורטל שמעון</t>
  </si>
  <si>
    <t>שנה שעברה היה בלשכת ראש העיר</t>
  </si>
  <si>
    <t>דהן סמדר</t>
  </si>
  <si>
    <t>פרשה ב 30.3</t>
  </si>
  <si>
    <t>דהן אורה</t>
  </si>
  <si>
    <t>סבג רותי</t>
  </si>
  <si>
    <t>ביטון שמעון</t>
  </si>
  <si>
    <t>אוחיון מוריה</t>
  </si>
  <si>
    <t>הרוש אידית</t>
  </si>
  <si>
    <t>אוחנה רימונד</t>
  </si>
  <si>
    <t>רחמים ליאת</t>
  </si>
  <si>
    <t>דהן מירי</t>
  </si>
  <si>
    <t>מסורי פנינה</t>
  </si>
  <si>
    <t>מועדונית.......</t>
  </si>
  <si>
    <t>מנחם אורית</t>
  </si>
  <si>
    <t>פרץ סיגלית</t>
  </si>
  <si>
    <t>יעקב מרגלית</t>
  </si>
  <si>
    <t>אמסלם יהודית</t>
  </si>
  <si>
    <t>חווה חקלאית....</t>
  </si>
  <si>
    <t>דדון שולה</t>
  </si>
  <si>
    <t>סוכרי אביבית</t>
  </si>
  <si>
    <t>אלגרבלי יקיר מרדכי</t>
  </si>
  <si>
    <t>שנה שעברה היו 8 עובדים</t>
  </si>
  <si>
    <t>בית ספר דנציגר</t>
  </si>
  <si>
    <t>דניאל רחל</t>
  </si>
  <si>
    <t>אברהם אמנון</t>
  </si>
  <si>
    <t>ברנדס חנה</t>
  </si>
  <si>
    <t>שיפרין אלה</t>
  </si>
  <si>
    <t>לויטן יהודית</t>
  </si>
  <si>
    <t>פניסה</t>
  </si>
  <si>
    <t>מנהלה דנציר.....</t>
  </si>
  <si>
    <t>מינהלה מתמיד.....</t>
  </si>
  <si>
    <t>יונה זקלין</t>
  </si>
  <si>
    <t>דהרי בנימין</t>
  </si>
  <si>
    <t>מרכזיה פדגוגיה</t>
  </si>
  <si>
    <t>אברהם אמירה</t>
  </si>
  <si>
    <t>קידום בדרגה מעמד האישה</t>
  </si>
  <si>
    <t>וקנין יעל</t>
  </si>
  <si>
    <t>בן סימון דליה</t>
  </si>
  <si>
    <t xml:space="preserve">שנת 2019 היה שני עובדים יותר </t>
  </si>
  <si>
    <t>שירות הפסיכולוג....</t>
  </si>
  <si>
    <t>ברגר לילך</t>
  </si>
  <si>
    <t>פלד לילך</t>
  </si>
  <si>
    <t>גור רואי</t>
  </si>
  <si>
    <t>לחיאני עינב</t>
  </si>
  <si>
    <t>מנצור שבלת</t>
  </si>
  <si>
    <t>יעקובי מיכאל</t>
  </si>
  <si>
    <t>סלאמה אמיר</t>
  </si>
  <si>
    <t>אבירם ענבל</t>
  </si>
  <si>
    <t>שאכר מוחמד</t>
  </si>
  <si>
    <t>קלמר גל</t>
  </si>
  <si>
    <t>בחודש 2.20 היה גידול בשכר המחלקה</t>
  </si>
  <si>
    <t>מנהלת שפי</t>
  </si>
  <si>
    <t>עמשי לאה</t>
  </si>
  <si>
    <t>וקנין ירדנה</t>
  </si>
  <si>
    <t>מתיא........</t>
  </si>
  <si>
    <t>איפרגן ורד</t>
  </si>
  <si>
    <t>האס אלין</t>
  </si>
  <si>
    <t>לפי ביצוע שנה קודמת לא אותו שכר בכל חודש , תלוי בתוכנית</t>
  </si>
  <si>
    <t>יוסקוביץ נורית</t>
  </si>
  <si>
    <t>בנארי שבטיאל אביטל</t>
  </si>
  <si>
    <t>קופרברג ליבנה</t>
  </si>
  <si>
    <t>סובול לימור</t>
  </si>
  <si>
    <t>כהן דן</t>
  </si>
  <si>
    <t>גביש נועם</t>
  </si>
  <si>
    <t>דהן מורן</t>
  </si>
  <si>
    <t>קב"ס........</t>
  </si>
  <si>
    <t>פרי חגית</t>
  </si>
  <si>
    <t>אזולאי ישראל</t>
  </si>
  <si>
    <t>ליוי ילדים.......</t>
  </si>
  <si>
    <t>מלכה נורית</t>
  </si>
  <si>
    <t>מרציאנו זוהר</t>
  </si>
  <si>
    <t>עמאר איילה</t>
  </si>
  <si>
    <t>אזולאי סמדר</t>
  </si>
  <si>
    <t>בן שיטרית נורית</t>
  </si>
  <si>
    <t>כהן מלכה</t>
  </si>
  <si>
    <t>קריספיל יהודית</t>
  </si>
  <si>
    <t>כהן יעל</t>
  </si>
  <si>
    <t>פורטל אביבה</t>
  </si>
  <si>
    <t>רבן חנה</t>
  </si>
  <si>
    <t>זריהן מרי</t>
  </si>
  <si>
    <t>ביטון עתו</t>
  </si>
  <si>
    <t>וקנין מרדכי</t>
  </si>
  <si>
    <t>סמעאן נגאת</t>
  </si>
  <si>
    <t>חצבאני דיאנה</t>
  </si>
  <si>
    <t>שנה שעברה היה יותר מלוות</t>
  </si>
  <si>
    <t>תורגמן שמחה</t>
  </si>
  <si>
    <t>אשריאן רונית</t>
  </si>
  <si>
    <t>בן שושן אורנה</t>
  </si>
  <si>
    <t>רנקנפור חדווה</t>
  </si>
  <si>
    <t>בן זקן מאיה</t>
  </si>
  <si>
    <t>לוי רויטל</t>
  </si>
  <si>
    <t>עמוס מרים</t>
  </si>
  <si>
    <t>בן חמו לילך</t>
  </si>
  <si>
    <t>דנינו יערית</t>
  </si>
  <si>
    <t>דנאן רויטל</t>
  </si>
  <si>
    <t>מכלוף מיטל</t>
  </si>
  <si>
    <t>מחפודה יוכבד</t>
  </si>
  <si>
    <t>כהן רחל</t>
  </si>
  <si>
    <t>אזולאי מרים</t>
  </si>
  <si>
    <t>מרדכי איילה</t>
  </si>
  <si>
    <t>מסטרס ברקאי גל</t>
  </si>
  <si>
    <t>סיום עבודה 30.4</t>
  </si>
  <si>
    <t>חנונה שקד</t>
  </si>
  <si>
    <t>ריניסקאן אלונה</t>
  </si>
  <si>
    <t>ברייב אור</t>
  </si>
  <si>
    <t>אטיאס אילנה</t>
  </si>
  <si>
    <t>סיננסקי ענת</t>
  </si>
  <si>
    <t>דרי שגית</t>
  </si>
  <si>
    <t>שבתאי ענת</t>
  </si>
  <si>
    <t>פרץ שגית</t>
  </si>
  <si>
    <t>בן ברוך איריס</t>
  </si>
  <si>
    <t>דנינו כרמית</t>
  </si>
  <si>
    <t>טייב מירי</t>
  </si>
  <si>
    <t>חדד טויזר אלינור</t>
  </si>
  <si>
    <t>אזרזר שיקמה</t>
  </si>
  <si>
    <t>זרד איילת</t>
  </si>
  <si>
    <t>פרץ אורטל</t>
  </si>
  <si>
    <t>חן הילה</t>
  </si>
  <si>
    <t>וקנין אילנה</t>
  </si>
  <si>
    <t>כהן בת שבע</t>
  </si>
  <si>
    <t>חטואל שולה</t>
  </si>
  <si>
    <t>אסרף גורגט.</t>
  </si>
  <si>
    <t>עייש עדן</t>
  </si>
  <si>
    <t xml:space="preserve">מיון שונה שנת 2019 - לפי ממוצע 3 חודשים ראשונים </t>
  </si>
  <si>
    <t>שכר מתנסים</t>
  </si>
  <si>
    <t>פרץ ציון</t>
  </si>
  <si>
    <t>ניניו נועה</t>
  </si>
  <si>
    <t>סנה סילבן</t>
  </si>
  <si>
    <t>הרשקוביץ עינת</t>
  </si>
  <si>
    <t>דמארי אופיר</t>
  </si>
  <si>
    <t>נידם מיכל</t>
  </si>
  <si>
    <t>נדלר ענבל</t>
  </si>
  <si>
    <t>סאינה עינב</t>
  </si>
  <si>
    <t>ויצמן אושרת</t>
  </si>
  <si>
    <t>בניה אבישי</t>
  </si>
  <si>
    <t>שוורצקר גולן</t>
  </si>
  <si>
    <t>כהן ליז</t>
  </si>
  <si>
    <t>אבוטבול אור</t>
  </si>
  <si>
    <t>תוכנית שעתית הוצאה הכנסה</t>
  </si>
  <si>
    <t>מינהל הנוער</t>
  </si>
  <si>
    <t>יעקב שמעון</t>
  </si>
  <si>
    <t>דיאור תהילה</t>
  </si>
  <si>
    <t>עובדים חדשים</t>
  </si>
  <si>
    <t>מינהלה ספורט.....</t>
  </si>
  <si>
    <t>אורן אופיר</t>
  </si>
  <si>
    <t>שעות נוספות</t>
  </si>
  <si>
    <t>קמרי אליהו</t>
  </si>
  <si>
    <t>פרש , מתוכנן לקלוט מחליף</t>
  </si>
  <si>
    <t>ארביל מרדכי</t>
  </si>
  <si>
    <t>נתן טיטי</t>
  </si>
  <si>
    <t>לפי ממוצע החודשי 1 עד 3</t>
  </si>
  <si>
    <t>עובדי לשכות רווחה</t>
  </si>
  <si>
    <t>מקונן אימבט אירי</t>
  </si>
  <si>
    <t>גרונר עינת</t>
  </si>
  <si>
    <t>בוכבזה נעמי</t>
  </si>
  <si>
    <t>פחימה שלומית</t>
  </si>
  <si>
    <t>צדוק סימי</t>
  </si>
  <si>
    <t>שלוו סופיה</t>
  </si>
  <si>
    <t>טולדו שביט</t>
  </si>
  <si>
    <t>עדי טיני עלי</t>
  </si>
  <si>
    <t>בונה בת שבע</t>
  </si>
  <si>
    <t>בן זקן ורד</t>
  </si>
  <si>
    <t>טייב גלינה</t>
  </si>
  <si>
    <t>מלכה יפית</t>
  </si>
  <si>
    <t>סוקולובסקי אורן</t>
  </si>
  <si>
    <t>הלוי מיטל</t>
  </si>
  <si>
    <t>שנהב נורית</t>
  </si>
  <si>
    <t>עטיה משה</t>
  </si>
  <si>
    <t>לב עינת</t>
  </si>
  <si>
    <t>בן שושן מאיה</t>
  </si>
  <si>
    <t>אדלר אוסנת</t>
  </si>
  <si>
    <t>עמדי רותי</t>
  </si>
  <si>
    <t>בלדאב יצחק</t>
  </si>
  <si>
    <t>מרדכי תירזה</t>
  </si>
  <si>
    <t>לוי יהודית</t>
  </si>
  <si>
    <t>היימן שרית</t>
  </si>
  <si>
    <t>פלדמן גל</t>
  </si>
  <si>
    <t>בן שבת חנה</t>
  </si>
  <si>
    <t>לחיאני שושי</t>
  </si>
  <si>
    <t>מרב רטנר</t>
  </si>
  <si>
    <t>בסטקר בת שבע</t>
  </si>
  <si>
    <t>טלקר לירון</t>
  </si>
  <si>
    <t>טולדנו-בן לולו חן</t>
  </si>
  <si>
    <t>יוספאן גיא</t>
  </si>
  <si>
    <t>חבני גבאי נועה</t>
  </si>
  <si>
    <t>משיח שי-לי</t>
  </si>
  <si>
    <t>בוגוליובוב דן</t>
  </si>
  <si>
    <t>גופמן גלינה</t>
  </si>
  <si>
    <t>וקנין מרים</t>
  </si>
  <si>
    <t>קורסן אירנה</t>
  </si>
  <si>
    <t>לפי ממוצע 1 עד 3</t>
  </si>
  <si>
    <t>אלימות</t>
  </si>
  <si>
    <t>סויסה קרליק אתי</t>
  </si>
  <si>
    <t>יזרעאלי שיר</t>
  </si>
  <si>
    <t>סלפיאן לאוניד</t>
  </si>
  <si>
    <t>מועדוניות משותפות</t>
  </si>
  <si>
    <t>גור מירב</t>
  </si>
  <si>
    <t>מעש אהבה</t>
  </si>
  <si>
    <t>מלכה לימור</t>
  </si>
  <si>
    <t>דנינו יהודה</t>
  </si>
  <si>
    <t>ניוד לרננים</t>
  </si>
  <si>
    <t>מלכה אורית</t>
  </si>
  <si>
    <t>קריספיל אידה</t>
  </si>
  <si>
    <t>פרישה 8/20</t>
  </si>
  <si>
    <t>סולטני כוכבה</t>
  </si>
  <si>
    <t>עייש אסתר</t>
  </si>
  <si>
    <t>פרישה 6.20</t>
  </si>
  <si>
    <t>מעונות יום טיפולים</t>
  </si>
  <si>
    <t>סבג אילנה</t>
  </si>
  <si>
    <t>אזרד אסתר</t>
  </si>
  <si>
    <t>חורב אליה</t>
  </si>
  <si>
    <t>שושן יפה</t>
  </si>
  <si>
    <t>עמר עליזה</t>
  </si>
  <si>
    <t>מועדון לעיוור</t>
  </si>
  <si>
    <t>אברהמי בנימין</t>
  </si>
  <si>
    <t>שעל</t>
  </si>
  <si>
    <t>סינגסון יהודה</t>
  </si>
  <si>
    <t>שושן שלמה</t>
  </si>
  <si>
    <t>אלימלך אלישע</t>
  </si>
  <si>
    <t>חסד אסף</t>
  </si>
  <si>
    <t>מזרחי שחר</t>
  </si>
  <si>
    <t>פנסיונרים</t>
  </si>
  <si>
    <t>שטרן רינה</t>
  </si>
  <si>
    <t>גולד יוכבד</t>
  </si>
  <si>
    <t>גרובר יעל</t>
  </si>
  <si>
    <t>מיליקה כרמלה</t>
  </si>
  <si>
    <t>אייל שיפרה רחל</t>
  </si>
  <si>
    <t>קרפל אסתר</t>
  </si>
  <si>
    <t>פרוידנברג ידידיה</t>
  </si>
  <si>
    <t>גולן מיכה</t>
  </si>
  <si>
    <t>רוזן גלינה</t>
  </si>
  <si>
    <t>עובד אלי</t>
  </si>
  <si>
    <t>פרץ רחל שושנה</t>
  </si>
  <si>
    <t>וילנר שרה</t>
  </si>
  <si>
    <t>שדה צבי</t>
  </si>
  <si>
    <t>מסוארי יואב</t>
  </si>
  <si>
    <t>גואטה יצחק</t>
  </si>
  <si>
    <t>גוטליב בתיה</t>
  </si>
  <si>
    <t>נזרי יוהנה</t>
  </si>
  <si>
    <t>גור סלביה</t>
  </si>
  <si>
    <t>אמר עדה</t>
  </si>
  <si>
    <t>וויט יהודית</t>
  </si>
  <si>
    <t>דיויס ליליאנה</t>
  </si>
  <si>
    <t>פרי תמי</t>
  </si>
  <si>
    <t>כהן בנימין</t>
  </si>
  <si>
    <t>אוחנה רחל</t>
  </si>
  <si>
    <t>מלכה דניאל</t>
  </si>
  <si>
    <t>אזולאי חנה</t>
  </si>
  <si>
    <t>אלמקיאס אליס</t>
  </si>
  <si>
    <t>ממן חנה</t>
  </si>
  <si>
    <t>אפרגן פרלה</t>
  </si>
  <si>
    <t>סויסה כוכבה</t>
  </si>
  <si>
    <t>אברגל מוניק</t>
  </si>
  <si>
    <t>אבוחסירה רחל</t>
  </si>
  <si>
    <t>חליוה סלומון</t>
  </si>
  <si>
    <t>חליוה יצחק</t>
  </si>
  <si>
    <t>טובול אסתר</t>
  </si>
  <si>
    <t>אוחיון חיים</t>
  </si>
  <si>
    <t>לופו קרול</t>
  </si>
  <si>
    <t>מלכה חנה</t>
  </si>
  <si>
    <t>פרש אשר</t>
  </si>
  <si>
    <t>בירקנטל שרה</t>
  </si>
  <si>
    <t>וקנין יחיא</t>
  </si>
  <si>
    <t>אלימלך יהודית</t>
  </si>
  <si>
    <t>אשטמקר תמר</t>
  </si>
  <si>
    <t>אוחנה ניסן</t>
  </si>
  <si>
    <t>חסין חגית</t>
  </si>
  <si>
    <t>מלכין גבי</t>
  </si>
  <si>
    <t>דמרי זוהרה</t>
  </si>
  <si>
    <t>ונונו שרון</t>
  </si>
  <si>
    <t>בן שיטרית ליבי</t>
  </si>
  <si>
    <t>שניידר לידיה</t>
  </si>
  <si>
    <t>ראובן נסימה</t>
  </si>
  <si>
    <t>רז כרמלה</t>
  </si>
  <si>
    <t>אפללו גאולה</t>
  </si>
  <si>
    <t>טקיאר יוסף</t>
  </si>
  <si>
    <t>אדרי אלברט</t>
  </si>
  <si>
    <t>מיכאל מרים</t>
  </si>
  <si>
    <t>זאב אברהם</t>
  </si>
  <si>
    <t>יואל אברהם</t>
  </si>
  <si>
    <t>סבתי זיוה</t>
  </si>
  <si>
    <t>אברהם גורגיה</t>
  </si>
  <si>
    <t>יעקב נרקיס</t>
  </si>
  <si>
    <t>שלום שושנה</t>
  </si>
  <si>
    <t>אהרון דינה</t>
  </si>
  <si>
    <t>עמר בתיה</t>
  </si>
  <si>
    <t>איזיק יונה</t>
  </si>
  <si>
    <t>ידען רותי</t>
  </si>
  <si>
    <t>יהודה אסתר</t>
  </si>
  <si>
    <t>ממוקה עופרה</t>
  </si>
  <si>
    <t>בטיטו שלום</t>
  </si>
  <si>
    <t>מוראד סביחה</t>
  </si>
  <si>
    <t>אברהם נזימה</t>
  </si>
  <si>
    <t>בירקנטל קרול</t>
  </si>
  <si>
    <t>יונה פנחס</t>
  </si>
  <si>
    <t>רודה אליהו</t>
  </si>
  <si>
    <t>שמולה רחמים</t>
  </si>
  <si>
    <t>חיים סבריה</t>
  </si>
  <si>
    <t>נפתלי אמנון</t>
  </si>
  <si>
    <t>פרש תקוה</t>
  </si>
  <si>
    <t>וינשטיין אביבה</t>
  </si>
  <si>
    <t>דוד דורה</t>
  </si>
  <si>
    <t>ארם איתן</t>
  </si>
  <si>
    <t>ברום שלמה</t>
  </si>
  <si>
    <t>הררי רפי</t>
  </si>
  <si>
    <t>עגמי בתיה</t>
  </si>
  <si>
    <t>שחר תמר</t>
  </si>
  <si>
    <t>פינקלשטיין דוד</t>
  </si>
  <si>
    <t>לביא בני</t>
  </si>
  <si>
    <t>עמרם נעומי</t>
  </si>
  <si>
    <t>שמיאן ציון</t>
  </si>
  <si>
    <t>שמולה יפה</t>
  </si>
  <si>
    <t>גולן פנינה</t>
  </si>
  <si>
    <t>סיטון גלילה</t>
  </si>
  <si>
    <t>בן ימינה אילנה</t>
  </si>
  <si>
    <t>טהר מאיר</t>
  </si>
  <si>
    <t>בן אשר הרצל</t>
  </si>
  <si>
    <t>פרץ לאה</t>
  </si>
  <si>
    <t>אליהו אורי</t>
  </si>
  <si>
    <t>ראובני רינה</t>
  </si>
  <si>
    <t>בניטח אסתר</t>
  </si>
  <si>
    <t>שחר אסתר</t>
  </si>
  <si>
    <t>מלול טוני</t>
  </si>
  <si>
    <t>ביטון זהבה</t>
  </si>
  <si>
    <t>ברוך רחל</t>
  </si>
  <si>
    <t>אברהמי שושנה</t>
  </si>
  <si>
    <t>לוי שולמית</t>
  </si>
  <si>
    <t>סעדה אריה</t>
  </si>
  <si>
    <t>אברזל אלי</t>
  </si>
  <si>
    <t>מויאל יעל</t>
  </si>
  <si>
    <t>שכטר רותי</t>
  </si>
  <si>
    <t>משעלי ורד</t>
  </si>
  <si>
    <t>אלמדווי חנה</t>
  </si>
  <si>
    <t>בן לולו שושנה</t>
  </si>
  <si>
    <t>שפיגלר ענת</t>
  </si>
  <si>
    <t>שושן דליה</t>
  </si>
  <si>
    <t>אמיר שמעון</t>
  </si>
  <si>
    <t>קמרי שולה</t>
  </si>
  <si>
    <t>משה רונית</t>
  </si>
  <si>
    <t>בן שיטרית פנינה</t>
  </si>
  <si>
    <t>סיסי תקוה</t>
  </si>
  <si>
    <t>מלכה תמר</t>
  </si>
  <si>
    <t>סבג פרחיה</t>
  </si>
  <si>
    <t>סולימני דוד</t>
  </si>
  <si>
    <t>דהן קלרה</t>
  </si>
  <si>
    <t>בן ברוך גבריאל</t>
  </si>
  <si>
    <t>אפרגן אסתר</t>
  </si>
  <si>
    <t>אלבז שושנה</t>
  </si>
  <si>
    <t>בן-שבת אורלי</t>
  </si>
  <si>
    <t>חזן ברוריה</t>
  </si>
  <si>
    <t>דהן רותי</t>
  </si>
  <si>
    <t>לוי תמי</t>
  </si>
  <si>
    <t>כהן ברכה</t>
  </si>
  <si>
    <t>גמליאל רינה</t>
  </si>
  <si>
    <t>אשריאן גלילה</t>
  </si>
  <si>
    <t>עמר דורית ליזה</t>
  </si>
  <si>
    <t>אזרן יפה</t>
  </si>
  <si>
    <t>אברהם פנינה</t>
  </si>
  <si>
    <t>אוקנין סוזן</t>
  </si>
  <si>
    <t>פרץ רחמים</t>
  </si>
  <si>
    <t>בן חיון רחל</t>
  </si>
  <si>
    <t>בן-אדיבה חוה</t>
  </si>
  <si>
    <t>לוי פני</t>
  </si>
  <si>
    <t>שריקי ניקול</t>
  </si>
  <si>
    <t>מלול סמי</t>
  </si>
  <si>
    <t>עזריה שולמית</t>
  </si>
  <si>
    <t>נגר רחל</t>
  </si>
  <si>
    <t>קקון מזל</t>
  </si>
  <si>
    <t>סיסו אנט</t>
  </si>
  <si>
    <t>אלנקרי יצחק</t>
  </si>
  <si>
    <t>סעדה לאון יהודה</t>
  </si>
  <si>
    <t>אזולאי שושנה</t>
  </si>
  <si>
    <t>כהן אלבירה</t>
  </si>
  <si>
    <t>אדרי שושנה</t>
  </si>
  <si>
    <t>אורן אלי</t>
  </si>
  <si>
    <t>מלכה מלכה</t>
  </si>
  <si>
    <t>טובול מוניק חוה</t>
  </si>
  <si>
    <t>חימי יוסף</t>
  </si>
  <si>
    <t>פינטו סימי</t>
  </si>
  <si>
    <t>אזולאי מישלין</t>
  </si>
  <si>
    <t>אסור אלי</t>
  </si>
  <si>
    <t>נעים עוזי</t>
  </si>
  <si>
    <t>אדרי שמחה</t>
  </si>
  <si>
    <t>אזרן פרוספר</t>
  </si>
  <si>
    <t>מאירוביץ גולייט</t>
  </si>
  <si>
    <t>אפללו רבקה</t>
  </si>
  <si>
    <t>שמעוני פרזי</t>
  </si>
  <si>
    <t>אוחנה שלום</t>
  </si>
  <si>
    <t>אוחנה אסתר</t>
  </si>
  <si>
    <t>אבוטבול ריקה</t>
  </si>
  <si>
    <t>ססי אילנה</t>
  </si>
  <si>
    <t>ניזר זאן</t>
  </si>
  <si>
    <t>רופא מדלן</t>
  </si>
  <si>
    <t>מויאל שמעון</t>
  </si>
  <si>
    <t>מלכה לאה</t>
  </si>
  <si>
    <t>בוחבוט כרמלה</t>
  </si>
  <si>
    <t>בן אדיבה מימון</t>
  </si>
  <si>
    <t>אוחיון חנניה</t>
  </si>
  <si>
    <t>פורטל כליפה</t>
  </si>
  <si>
    <t>אלון שרה</t>
  </si>
  <si>
    <t>יפרח טובה</t>
  </si>
  <si>
    <t>בן דיין פאני</t>
  </si>
  <si>
    <t>אלון סימי</t>
  </si>
  <si>
    <t>ממן יצחק</t>
  </si>
  <si>
    <t>אסור עליזה</t>
  </si>
  <si>
    <t>אלימלך אלברט</t>
  </si>
  <si>
    <t>פרץ דבורה</t>
  </si>
  <si>
    <t>אדרי שלום</t>
  </si>
  <si>
    <t>וקנין עמרם</t>
  </si>
  <si>
    <t>כהן יוסף</t>
  </si>
  <si>
    <t>בן חיון אברהם</t>
  </si>
  <si>
    <t>אוחיון טובה</t>
  </si>
  <si>
    <t>מלכה מינה</t>
  </si>
  <si>
    <t>בן שושן שבה</t>
  </si>
  <si>
    <t>כהן שלום</t>
  </si>
  <si>
    <t>קמרי יפה</t>
  </si>
  <si>
    <t>אפללו יפה</t>
  </si>
  <si>
    <t>שפונגין פני</t>
  </si>
  <si>
    <t>בן דהן שרה</t>
  </si>
  <si>
    <t>דהן ורדה</t>
  </si>
  <si>
    <t>בן-שושן תמר</t>
  </si>
  <si>
    <t>סעדיה מרים</t>
  </si>
  <si>
    <t>ביטון גרציה</t>
  </si>
  <si>
    <t>בן אבו אליס</t>
  </si>
  <si>
    <t>דהן זיוה</t>
  </si>
  <si>
    <t>מור יוסף מיכאל</t>
  </si>
  <si>
    <t>סננס מזל</t>
  </si>
  <si>
    <t>אלבז חיים</t>
  </si>
  <si>
    <t>טוביהו מרים</t>
  </si>
  <si>
    <t>ממן סול</t>
  </si>
  <si>
    <t>ברדה אהרון</t>
  </si>
  <si>
    <t>כהן דינה</t>
  </si>
  <si>
    <t>אמר חנה</t>
  </si>
  <si>
    <t>הוטא ברוריה</t>
  </si>
  <si>
    <t>יפרח יצחק</t>
  </si>
  <si>
    <t>יפרח יהודה</t>
  </si>
  <si>
    <t>טורגמן שולה</t>
  </si>
  <si>
    <t>ממן שמעון</t>
  </si>
  <si>
    <t>דנן רחל</t>
  </si>
  <si>
    <t>מלכה דוד</t>
  </si>
  <si>
    <t>מלכה סעדה</t>
  </si>
  <si>
    <t>לוי חנה</t>
  </si>
  <si>
    <t>שבח סוכר רחל</t>
  </si>
  <si>
    <t>אוחיון ציפורה</t>
  </si>
  <si>
    <t>בן שמעון סימונה</t>
  </si>
  <si>
    <t>בן הרוש רחל</t>
  </si>
  <si>
    <t>כהן אברהם</t>
  </si>
  <si>
    <t>טורגמן מרי</t>
  </si>
  <si>
    <t>ממן אמיל</t>
  </si>
  <si>
    <t>אבוטבול זוהרה</t>
  </si>
  <si>
    <t>זגורי מאיר</t>
  </si>
  <si>
    <t>מלכה משה</t>
  </si>
  <si>
    <t>בוטבול סוזי</t>
  </si>
  <si>
    <t>אזולאי פלורה</t>
  </si>
  <si>
    <t>בן שלוש זוהרה</t>
  </si>
  <si>
    <t>פרדי סול</t>
  </si>
  <si>
    <t>יוחנן רחל</t>
  </si>
  <si>
    <t>אהרון אסתר</t>
  </si>
  <si>
    <t>רונן אמיל</t>
  </si>
  <si>
    <t>אברגל חנה</t>
  </si>
  <si>
    <t>טויטו רינה</t>
  </si>
  <si>
    <t>סלומון אברהם</t>
  </si>
  <si>
    <t>משען תמר</t>
  </si>
  <si>
    <t>דוקרקר נורית</t>
  </si>
  <si>
    <t>בן חמו אסתר</t>
  </si>
  <si>
    <t>אברהם מרטה</t>
  </si>
  <si>
    <t>אזולאי אלי</t>
  </si>
  <si>
    <t>לחמני ציפורה</t>
  </si>
  <si>
    <t>בן מרגי כוכבה</t>
  </si>
  <si>
    <t>וקנין אברהם</t>
  </si>
  <si>
    <t>בניתח שרה</t>
  </si>
  <si>
    <t>פיניאן אשר</t>
  </si>
  <si>
    <t>אלגריסי סעדה</t>
  </si>
  <si>
    <t>פרץ אנט</t>
  </si>
  <si>
    <t>אדרי אלגריה</t>
  </si>
  <si>
    <t>יפרח כוכבה</t>
  </si>
  <si>
    <t>גרד פנינה</t>
  </si>
  <si>
    <t>יעקובי יהודית</t>
  </si>
  <si>
    <t>ברביבאי חיים</t>
  </si>
  <si>
    <t>קבסה זקלין</t>
  </si>
  <si>
    <t>אטיאס דוד</t>
  </si>
  <si>
    <t>עמר חיים</t>
  </si>
  <si>
    <t>דדון משה</t>
  </si>
  <si>
    <t>פרץ שמעון</t>
  </si>
  <si>
    <t>בוחבוט יצחק</t>
  </si>
  <si>
    <t>נאמן איילה</t>
  </si>
  <si>
    <t>קקון יצחק</t>
  </si>
  <si>
    <t>אמסלם זקלין</t>
  </si>
  <si>
    <t>אלביליה מרסל</t>
  </si>
  <si>
    <t>אברגל סוליקה</t>
  </si>
  <si>
    <t>קורליקר סינורה</t>
  </si>
  <si>
    <t>בן שושן יוסף</t>
  </si>
  <si>
    <t>וקנין פיבי</t>
  </si>
  <si>
    <t>סויסה זוהרה</t>
  </si>
  <si>
    <t>שושן מאיר</t>
  </si>
  <si>
    <t>זריהן מלכה</t>
  </si>
  <si>
    <t>שושנה יוסף</t>
  </si>
  <si>
    <t>דהן סימי</t>
  </si>
  <si>
    <t>אטדגי רבקה</t>
  </si>
  <si>
    <t>אפנדוביץ רבקה</t>
  </si>
  <si>
    <t>אפרגן זוהרה</t>
  </si>
  <si>
    <t>פרץ תמר</t>
  </si>
  <si>
    <t>בלדב סוזי</t>
  </si>
  <si>
    <t>בן עיון סימונה</t>
  </si>
  <si>
    <t>עמר גבי</t>
  </si>
  <si>
    <t>בן שיטרית אידה</t>
  </si>
  <si>
    <t>אוחנונה דוד</t>
  </si>
  <si>
    <t>נזרי חנינה</t>
  </si>
  <si>
    <t>מלכה ארמונד</t>
  </si>
  <si>
    <t>אסולין מסעוד</t>
  </si>
  <si>
    <t>אסולין איזה</t>
  </si>
  <si>
    <t>עמוס מסודי</t>
  </si>
  <si>
    <t>קבילו יוסף</t>
  </si>
  <si>
    <t>אלון מסודי</t>
  </si>
  <si>
    <t>חסין רפאל</t>
  </si>
  <si>
    <t>מלכה שרה</t>
  </si>
  <si>
    <t>כהן מזל</t>
  </si>
  <si>
    <t>סבג ליליאן</t>
  </si>
  <si>
    <t>אזולאי פיבי</t>
  </si>
  <si>
    <t>לוי עליה</t>
  </si>
  <si>
    <t>בוקובזה ברוריה</t>
  </si>
  <si>
    <t>גינו ארמונד</t>
  </si>
  <si>
    <t>ביטון דוד</t>
  </si>
  <si>
    <t>לוי אסתר</t>
  </si>
  <si>
    <t>שטרית מרים</t>
  </si>
  <si>
    <t>רחמים מזיאנה</t>
  </si>
  <si>
    <t>אלימלך צפורה</t>
  </si>
  <si>
    <t>פרץ משה</t>
  </si>
  <si>
    <t>סויסה שלום</t>
  </si>
  <si>
    <t>דניאלי חנה</t>
  </si>
  <si>
    <t>לזר פרידה</t>
  </si>
  <si>
    <t>שם טוב דבורה</t>
  </si>
  <si>
    <t>קולני יולנדה</t>
  </si>
  <si>
    <t>חוסרבי טליה</t>
  </si>
  <si>
    <t>אנקור חוה</t>
  </si>
  <si>
    <t>שקלים רחל פרי</t>
  </si>
  <si>
    <t>נפתלי שרה</t>
  </si>
  <si>
    <t>לוי מאיר</t>
  </si>
  <si>
    <t>יצחקי פנחס</t>
  </si>
  <si>
    <t>בארי מרים</t>
  </si>
  <si>
    <t>גבריאל בתיה</t>
  </si>
  <si>
    <t>קאשן דוד סבח</t>
  </si>
  <si>
    <t>בן-אבו לאה</t>
  </si>
  <si>
    <t>סהר מנשה</t>
  </si>
  <si>
    <t>אהרון מרים</t>
  </si>
  <si>
    <t>יונה חיים</t>
  </si>
  <si>
    <t>שמיאן נעומי</t>
  </si>
  <si>
    <t>בנימיני אמנון</t>
  </si>
  <si>
    <t>מרדכי אביגיל</t>
  </si>
  <si>
    <t>מיכאל חנה</t>
  </si>
  <si>
    <t>עמרם חיים</t>
  </si>
  <si>
    <t>אוחנה כרמלה</t>
  </si>
  <si>
    <t>בן חמו אירן</t>
  </si>
  <si>
    <t>פרץ לטיפה</t>
  </si>
  <si>
    <t>יונה גילה</t>
  </si>
  <si>
    <t>שיין כרמלה</t>
  </si>
  <si>
    <t>אהרון אשר</t>
  </si>
  <si>
    <t>מועלם בנימין</t>
  </si>
  <si>
    <t>אברהם משה</t>
  </si>
  <si>
    <t>צברי מלכה</t>
  </si>
  <si>
    <t>יעקוביאן שיקופה</t>
  </si>
  <si>
    <t>אגמון גליה</t>
  </si>
  <si>
    <t>צדיק זאדה אסתר</t>
  </si>
  <si>
    <t>יחזקאלי יפה</t>
  </si>
  <si>
    <t>יעקובי זוהרה</t>
  </si>
  <si>
    <t>אפרים שמחה</t>
  </si>
  <si>
    <t>מועלם מלכה</t>
  </si>
  <si>
    <t>מסיקי עזיז</t>
  </si>
  <si>
    <t>יצחקי נוצרת</t>
  </si>
  <si>
    <t>אפללו מרים</t>
  </si>
  <si>
    <t>גמרסני יונה</t>
  </si>
  <si>
    <t>אלנקרי יהודית</t>
  </si>
  <si>
    <t>זפרני חנה</t>
  </si>
  <si>
    <t>שושן שלום</t>
  </si>
  <si>
    <t>רז סילביה</t>
  </si>
  <si>
    <t>אלמדווי יעקב</t>
  </si>
  <si>
    <t>שוקרון רותי</t>
  </si>
  <si>
    <t>ממן מזל</t>
  </si>
  <si>
    <t>גבאי אסתר</t>
  </si>
  <si>
    <t>דרי אסתר</t>
  </si>
  <si>
    <t>בן אור ........ אסתר</t>
  </si>
  <si>
    <t>חלואני רחל</t>
  </si>
  <si>
    <t>אטיאס מרדכי</t>
  </si>
  <si>
    <t>אטיאס עזיזה</t>
  </si>
  <si>
    <t>דהן מזל</t>
  </si>
  <si>
    <t>אהרון מרי</t>
  </si>
  <si>
    <t>פרץ אליס עליז</t>
  </si>
  <si>
    <t>ביטון סימי</t>
  </si>
  <si>
    <t>ליסיינקו ולרי</t>
  </si>
  <si>
    <t>מזבובסקי לריסה</t>
  </si>
  <si>
    <t>סודקו אירינה</t>
  </si>
  <si>
    <t>קפלן גניה</t>
  </si>
  <si>
    <t>וסרמן הלנה</t>
  </si>
  <si>
    <t>סטריקוב נחום</t>
  </si>
  <si>
    <t>שרשבסקי אירינה</t>
  </si>
  <si>
    <t>לומזוב מרים</t>
  </si>
  <si>
    <t>טארנפולסקי ליודמילה</t>
  </si>
  <si>
    <t>מילמן רוזיקה</t>
  </si>
  <si>
    <t>לשציוב אולג</t>
  </si>
  <si>
    <t>אקסלרוד איליה</t>
  </si>
  <si>
    <t>ביילין לאוניד</t>
  </si>
  <si>
    <t>רונד אלכסנדר</t>
  </si>
  <si>
    <t>דומברוביאן ויקטור</t>
  </si>
  <si>
    <t>ביטון מרדכי</t>
  </si>
  <si>
    <t>שנקל שולמית</t>
  </si>
  <si>
    <t>יצחקי שושנה</t>
  </si>
  <si>
    <t>פדידה סוזן</t>
  </si>
  <si>
    <t>אוחנונה יוסף</t>
  </si>
  <si>
    <t>גמר חשבון</t>
  </si>
  <si>
    <t>ללא גמר חשבון</t>
  </si>
  <si>
    <t>הפרש תקציב מוחמד לתקציב לואי</t>
  </si>
  <si>
    <t>אחוז</t>
  </si>
  <si>
    <t>אחרי הערות ליאת</t>
  </si>
  <si>
    <t>הערות ליאת</t>
  </si>
  <si>
    <t>תוקצב עם שכר מזכירות , לפי דוח 66</t>
  </si>
  <si>
    <t>למיין</t>
  </si>
  <si>
    <t>רק שעפרני שמעון מופיע במזכירות , השאר במחלקות אחרות</t>
  </si>
  <si>
    <t>עדכון שכר אבי חי , והסגנים</t>
  </si>
  <si>
    <t xml:space="preserve">לחשב לפי שכר אפריל </t>
  </si>
  <si>
    <t>לתקצב מבקר לפי 75% ולא 70% שכר בכירים</t>
  </si>
  <si>
    <t>לבדוק משרות</t>
  </si>
  <si>
    <t xml:space="preserve">לתקצב פאר לרדו עליה ל-70% ומזכירה נוספת בלשכה, לתקצב גייס משאבים במימון תכנית הון אנושי </t>
  </si>
  <si>
    <t>בתוכנית הבראה לוזית היתה אמורה לפרוש ולא פרשה - מעבר דורון שכר בכירים</t>
  </si>
  <si>
    <t>לתקצב את דורון 60% בכירים</t>
  </si>
  <si>
    <t>לתקצב חנה תוספת 15 שעות כוננות</t>
  </si>
  <si>
    <t xml:space="preserve">בן ציון בועז - טעות בעלות שכרו. ואין קשר לדקל אריה </t>
  </si>
  <si>
    <t>לתקצב עובד נוסף 120,000</t>
  </si>
  <si>
    <t>להעלות ל-310000</t>
  </si>
  <si>
    <t>לתקצב עובד נוסף 70000</t>
  </si>
  <si>
    <t>לתקצב מוקדן רוסית 60000 במימון תכנית הון אנושי</t>
  </si>
  <si>
    <t>בלדב סוזי היתה במחלקה זו</t>
  </si>
  <si>
    <t>להפחית טלביץ 5 חודשים. להגדיל 5 חודשים לסגן מהנדס חדש בעלות חודשית 24 אש"ח</t>
  </si>
  <si>
    <t>עובדים שפוטרו ב 2019 נקלט במקומם עובדם חדשים , בנוסף לשני פקחי בנייה חדשים בנקלטו ב 2020</t>
  </si>
  <si>
    <t>לתקצב את אינה בנובמבר דצמבר לפי עלות חודשית 20,000</t>
  </si>
  <si>
    <t xml:space="preserve">להוסיף לליאור כהן 20,000 תוספת שכר </t>
  </si>
  <si>
    <t xml:space="preserve">שולה עמוס 15 כוננות מיוני וקאתי קבסה 10 כוננות מתחילת שנה </t>
  </si>
  <si>
    <t>איריס וענונו להעביר ללשכת ראש העיר. כלפון יפעת לבית ספר מגינים. ליניק תום יש תקצוב. האם נרשם?</t>
  </si>
  <si>
    <t>היתה שטרית מרים שיצאה לפנסיה , עד מאי לא נקלט עובד מחליף , תוקצב 6 חודשים לפי ביצוע שנה קודמת</t>
  </si>
  <si>
    <t>תוקצב כח אדם</t>
  </si>
  <si>
    <t>להוריד 4 חודשי שכר ולהעבר לפנסיונרים</t>
  </si>
  <si>
    <t xml:space="preserve">פרישת עובדת בן חמו אסתר </t>
  </si>
  <si>
    <t>עובדת שפרשה</t>
  </si>
  <si>
    <t>הפרש גדול מידי</t>
  </si>
  <si>
    <t>שנה שעברה אב בית לא עבד כל השנה</t>
  </si>
  <si>
    <t>לא היו קייטנות בפסח ואביב , לא ידוע מה יקרה בקיץ - תוקצב חצי משנה שעברה</t>
  </si>
  <si>
    <t>שנה שעברה מיון עם מנהל דנציגר - ירידה כתוצאה מפרישת אברהם פנינה + ולויתן יהודית</t>
  </si>
  <si>
    <t>לפי השכר החדש צריכה להיות ההכנסה מרשת התיכון. צריך להעביר את הפורשים לפנסיה.</t>
  </si>
  <si>
    <t>להעלות בקצת שלא ניתקע</t>
  </si>
  <si>
    <t>עליה לא סבירה</t>
  </si>
  <si>
    <t>אין ביצוע בשנת 2020 ,לפי חנה הפרויקט לא פעיל בכלל</t>
  </si>
  <si>
    <t>תיקון שכר ענבל שהיתה במנהל חינוך שנה קודמת</t>
  </si>
  <si>
    <t>תיקנו כבר בקובץ התקציב</t>
  </si>
  <si>
    <t>לתקצב 266,000 שח עובדת חדשה מרכז צעירים</t>
  </si>
  <si>
    <t>לתקצב שני עובדים חדשים חצי שנה 140,000 שח. ולתקן שכר לעובדים קיימים.</t>
  </si>
  <si>
    <t>הוחלף בקבלן</t>
  </si>
  <si>
    <t>איפה מתוקצב הקבלן?</t>
  </si>
  <si>
    <t>להגדיל את עייש אסתר ולבדוק שקריספיל הןעברה לפנסיה.</t>
  </si>
  <si>
    <t xml:space="preserve">יש לבדוק עדכון פורשים </t>
  </si>
  <si>
    <t xml:space="preserve">למה אין תקציב? </t>
  </si>
  <si>
    <t>ממיון שכר מזכירות</t>
  </si>
  <si>
    <t>הפרש מול תכנית הבראה</t>
  </si>
  <si>
    <t>הסבר להפרש מול תכנית הבראה</t>
  </si>
  <si>
    <t>אחוז גבייה 90%</t>
  </si>
  <si>
    <t>יש גליון</t>
  </si>
  <si>
    <t>רשות מקדמת תעסוקה, בני מנשה ופרוייקטים חינוכיים</t>
  </si>
  <si>
    <t>מול ירידה בפנסיה</t>
  </si>
  <si>
    <t xml:space="preserve">משרות 2020 </t>
  </si>
  <si>
    <t xml:space="preserve">תקציב 2020  </t>
  </si>
  <si>
    <t>מימון משרד השיכון בגין עדי יניב בלבד(מנהל שכונה) הוגש קול קורא ע"י המתנס במידה ולא יאושר יש לסגור את הפרויקט (עדי תוקצב כ160 אש"ח שנתי)</t>
  </si>
  <si>
    <t>אג' שלטים</t>
  </si>
  <si>
    <t xml:space="preserve">ניהול נכסים חכ"ל </t>
  </si>
  <si>
    <t xml:space="preserve">תקציב  2020  </t>
  </si>
  <si>
    <t>מכרז חדש מטרופולינט 43195 ללא מעמ. רשיון מיקרוספט 80 אש"ח +200 אש"ח שדרוג מערכת שיצא מת"ר בחלקו +בצ"מ- מועבר 180 לחד פעמיות ולא נרשם כאן</t>
  </si>
  <si>
    <t xml:space="preserve">חשבות שכר </t>
  </si>
  <si>
    <t>תוספת מנהל שפע במימון משרד הפנים</t>
  </si>
  <si>
    <t>הוצאות חד פעמיות ושנים קודמות כולל 1.1 מליון צומן+180 מערכות מידע+80 יועצים+152.5 הנדסה+75 גזברות</t>
  </si>
  <si>
    <t>שכר יחידת קידום נוער</t>
  </si>
  <si>
    <t xml:space="preserve">קליטת יחידת נוער בעיריה </t>
  </si>
  <si>
    <t>קרןקרבףמילא"ת והזנה - קיזוז מבוצע ע"י משרד החינוך + 115 יעדים לצפון</t>
  </si>
  <si>
    <t>שכירות רכב יו"ר הרשות</t>
  </si>
  <si>
    <t>עבור ייעוץ חינוך רינה ויסנר - שנה שעברה הוצג עם גזברות</t>
  </si>
  <si>
    <t>יועץ רווחה</t>
  </si>
  <si>
    <t>ייעוץ חינוך</t>
  </si>
  <si>
    <t xml:space="preserve">בגין 2 משרות מלאות באגף הגזברות40 אש"ח() +מוטי חן - קולות קוראים 5850+ אש"ח +60 אשח בצמ+ עובד חדש + 80אלף בדיקות נוספות +בגזברות 6 חודשים 13 אלף </t>
  </si>
  <si>
    <t>יועץ קולות קוראים</t>
  </si>
  <si>
    <t>מוטי חן שירותי קולות קורים-שנה שעברה עבד 0.5 שנה</t>
  </si>
  <si>
    <t>נוטרל מביצוע השתתפות אשכול</t>
  </si>
  <si>
    <t>חודש 1.20</t>
  </si>
  <si>
    <t>חודש 2.20</t>
  </si>
  <si>
    <t>חודש 3.20</t>
  </si>
  <si>
    <t>חודש 4.20</t>
  </si>
  <si>
    <t>חודש 5.20</t>
  </si>
  <si>
    <t>שנתי</t>
  </si>
  <si>
    <t>שנתי משוער</t>
  </si>
  <si>
    <t>צריכה בשנת 2020</t>
  </si>
  <si>
    <t>הסכם חודש 54 אלף ₪</t>
  </si>
  <si>
    <t>עד 30/5</t>
  </si>
  <si>
    <t>ביצוע בפועל 2020</t>
  </si>
  <si>
    <t>השתתפות חד פעמית בפעילות מתנ"ס</t>
  </si>
  <si>
    <t>פקודה</t>
  </si>
  <si>
    <t>יתרה 2019</t>
  </si>
  <si>
    <t>תקציב 2020  מתוקן</t>
  </si>
  <si>
    <t>פ יומן</t>
  </si>
  <si>
    <t>השתת. והסרת מפגעים- נזיקין</t>
  </si>
  <si>
    <t>השתתפות במכינה</t>
  </si>
  <si>
    <t>פורגרמה עירונית,הנחיות מרחביות, הקמה ותחזוקת gis- יבוצע דרך מינהל תכנון</t>
  </si>
  <si>
    <t>105000 נועד לחקר גבולות</t>
  </si>
  <si>
    <t>חלקיות מותאם</t>
  </si>
  <si>
    <t>מזכירה חדשה ראש העיר</t>
  </si>
  <si>
    <t>מזכירה יו"ר העיר</t>
  </si>
  <si>
    <t>עובד חדש רל"ש</t>
  </si>
  <si>
    <t>רל"ש מ 1.7.20</t>
  </si>
  <si>
    <t>הועברה ללשכה ב 1.7</t>
  </si>
  <si>
    <t>מחודש 4 עד 8</t>
  </si>
  <si>
    <t>צפי לשכר בכירים 70% מאוגוסט</t>
  </si>
  <si>
    <t>פורש ב 30.6 לפי מכתב המנכל</t>
  </si>
  <si>
    <t>15 שעות כוננות</t>
  </si>
  <si>
    <t>תוספת 15 שעות כוננות חודשית</t>
  </si>
  <si>
    <t>10 שעות כוננות</t>
  </si>
  <si>
    <t>30 שעות כוננות</t>
  </si>
  <si>
    <t>תוספת 30 שעות כוננות לחודש - כנראה קיבל תוספת מחודש 2.20</t>
  </si>
  <si>
    <t>הוספת 10 שעות כוננות לחודש + כנראה קיבל תוספת מחודש 2.20</t>
  </si>
  <si>
    <t>הוספת 20 אלף אחזקת רכב לפי מכתב המנכ"ל</t>
  </si>
  <si>
    <t>פורש</t>
  </si>
  <si>
    <t>מעבר למצודות לפי מכתב המנכל</t>
  </si>
  <si>
    <t>מחודש 8 עד 12- כמזכירה יחידה עוזיאל</t>
  </si>
  <si>
    <t>מעהר לב"ס רמב"מ לפי מכתב המנכ"ל</t>
  </si>
  <si>
    <t>ניוד מכתב המנכ"ל</t>
  </si>
  <si>
    <t>גלוזמן מרים</t>
  </si>
  <si>
    <t>אלוני שושנה</t>
  </si>
  <si>
    <t>דורית קיבלה תוספת חד פעמית בחודש 3 , ואילן לא עסד שנה שלמה ב 2019</t>
  </si>
  <si>
    <t xml:space="preserve">ליאת+שירז+ליטל - הסטייה מביצוע שנת 2019 כנראה עבור מיון עובד </t>
  </si>
  <si>
    <t>מיון העובדת מוריה , למחלקת מזכירות</t>
  </si>
  <si>
    <t>העובד דקל אריה היה מתוקצב עד שנת 2019 , ועבר פסח מלח ביטחון</t>
  </si>
  <si>
    <t>כנראה פרישת העובד דן ארמוד באוקטובר</t>
  </si>
  <si>
    <t>בתקציב לואי נכללו שכר גנים ארוכים</t>
  </si>
  <si>
    <t>3 עובדים שפרשו ו 3 במחלקות אחריות ב 2019</t>
  </si>
  <si>
    <t xml:space="preserve">שנה שעברה היה יותר עובדים - </t>
  </si>
  <si>
    <t>משרו מתואם</t>
  </si>
  <si>
    <t>שכר נוער סעיף חדש</t>
  </si>
  <si>
    <t>תקציב 2020 מעודכן</t>
  </si>
  <si>
    <t xml:space="preserve">ארנונה כללית </t>
  </si>
  <si>
    <t xml:space="preserve">סה"כ עצמיות </t>
  </si>
  <si>
    <t>פירוט אבני דרך 2020</t>
  </si>
  <si>
    <t>העלאת הגבייה מארנונה</t>
  </si>
  <si>
    <t>העלאת הכנסות העצמיות מחינוך</t>
  </si>
  <si>
    <t>סבסוד מחלקת החינוך</t>
  </si>
  <si>
    <t>סבסוד מחלקת הרווחה</t>
  </si>
  <si>
    <t>מענקים מיועדים</t>
  </si>
  <si>
    <t xml:space="preserve">שכר כללי (ללא פנסיה) </t>
  </si>
  <si>
    <t xml:space="preserve">פעולות כלליות </t>
  </si>
  <si>
    <t>סה"כ הכנסות לפני כיסוי גרעון מצטבר</t>
  </si>
  <si>
    <t>מענק לכיסוי גרעון מצטבר הכנסות</t>
  </si>
  <si>
    <t>הנחות בארנונה (הכנסות)</t>
  </si>
  <si>
    <t xml:space="preserve">סה"כ הכנסות </t>
  </si>
  <si>
    <t>סה"כ כלליות</t>
  </si>
  <si>
    <t>סה"כ חינוך</t>
  </si>
  <si>
    <t>סה"כ רווחה</t>
  </si>
  <si>
    <t>סה"כ הוצאות לפני פרעון מלוות מימון</t>
  </si>
  <si>
    <t xml:space="preserve">פרעון מלוות מים וביוב </t>
  </si>
  <si>
    <t>סה"כ פרעון מלוות</t>
  </si>
  <si>
    <t xml:space="preserve">הוצאות מימון </t>
  </si>
  <si>
    <t xml:space="preserve">העברות והוצאות חד פעמיות </t>
  </si>
  <si>
    <t xml:space="preserve">סה"כ הוצאות לפני כיסוי גרעון מצטבר </t>
  </si>
  <si>
    <t>העברה לכיסוי גרעון</t>
  </si>
  <si>
    <t xml:space="preserve">הוצאה מותנת </t>
  </si>
  <si>
    <t xml:space="preserve">הנחות בארנונה (הוצאות) </t>
  </si>
  <si>
    <t>עודף (גרעון)</t>
  </si>
  <si>
    <t>תשלומי פרישה - כלולים במסגרת ההוצאות הבלתי רגילות</t>
  </si>
  <si>
    <t>סה"כ גרעון בניכוי תשלומי פרישה</t>
  </si>
  <si>
    <t>שינויים בין תוכנית הבראה לתקציב 2020</t>
  </si>
  <si>
    <t>תקציב 2020 חירום</t>
  </si>
  <si>
    <t xml:space="preserve">הפרש </t>
  </si>
  <si>
    <t>הפרש לחירום</t>
  </si>
  <si>
    <t>יעד כספי ת.הבראה</t>
  </si>
  <si>
    <t>יעד כספי תקציב 2020</t>
  </si>
  <si>
    <t>אגף תיירות שהיה ב 2019 ולא מופיע ב 2020</t>
  </si>
  <si>
    <t>מפעל</t>
  </si>
  <si>
    <t>מחלקה</t>
  </si>
  <si>
    <t>תאור מחלקה</t>
  </si>
  <si>
    <t>ת"ז</t>
  </si>
  <si>
    <t>שם משפחה</t>
  </si>
  <si>
    <t>שם פרטי</t>
  </si>
  <si>
    <t>ת.תחילת עבודה</t>
  </si>
  <si>
    <t>ק"ג / קרן ידע</t>
  </si>
  <si>
    <t>ועד</t>
  </si>
  <si>
    <t>היטל עובד זר</t>
  </si>
  <si>
    <t>שכר כללי ט1</t>
  </si>
  <si>
    <t>שעות נוספות ט2</t>
  </si>
  <si>
    <t>טלפון ט3</t>
  </si>
  <si>
    <t>רכב ט4</t>
  </si>
  <si>
    <t>פנסיה ט5</t>
  </si>
  <si>
    <t>הבראה ט6</t>
  </si>
  <si>
    <t>מעונות ט7</t>
  </si>
  <si>
    <t>סהכ עלות</t>
  </si>
  <si>
    <t>חלקיות משרה</t>
  </si>
  <si>
    <t>קוד תפקיד</t>
  </si>
  <si>
    <t>תאור תפקיד</t>
  </si>
  <si>
    <t>סמל עיסוק</t>
  </si>
  <si>
    <t>תאור עיסוק</t>
  </si>
  <si>
    <t>מתואם</t>
  </si>
  <si>
    <t>לישכת ראש העיר</t>
  </si>
  <si>
    <t>זפרני</t>
  </si>
  <si>
    <t>פאני</t>
  </si>
  <si>
    <t>מזכירת אגף ברשות א)לא אישית(</t>
  </si>
  <si>
    <t>מזכירה כללית-פקידי ע</t>
  </si>
  <si>
    <t>פורטל</t>
  </si>
  <si>
    <t>שמעון</t>
  </si>
  <si>
    <t>נהג</t>
  </si>
  <si>
    <t>בלדב</t>
  </si>
  <si>
    <t>סוזי</t>
  </si>
  <si>
    <t>מזכירת מזכיר/גזבר/מהנדס/יועמ"ש ר מ</t>
  </si>
  <si>
    <t>מזכירה א"</t>
  </si>
  <si>
    <t>טימסית-אלון</t>
  </si>
  <si>
    <t>תהל</t>
  </si>
  <si>
    <t>ראש מנהל</t>
  </si>
  <si>
    <t>611000 סה"כ</t>
  </si>
  <si>
    <t>בוזגלו</t>
  </si>
  <si>
    <t>יגאל</t>
  </si>
  <si>
    <t>סגן ראש הרשות</t>
  </si>
  <si>
    <t>שטרן</t>
  </si>
  <si>
    <t>אביחי</t>
  </si>
  <si>
    <t>ראש הרשות</t>
  </si>
  <si>
    <t>יחזקאל</t>
  </si>
  <si>
    <t>אופיר</t>
  </si>
  <si>
    <t>מלכה</t>
  </si>
  <si>
    <t>ניסים</t>
  </si>
  <si>
    <t>סידלקובסקי</t>
  </si>
  <si>
    <t>בוריס</t>
  </si>
  <si>
    <t>ממן</t>
  </si>
  <si>
    <t>יורם</t>
  </si>
  <si>
    <t>611100 סה"כ</t>
  </si>
  <si>
    <t>מירב</t>
  </si>
  <si>
    <t>מזכירת מחלקה ברשות רמה ב-ג</t>
  </si>
  <si>
    <t>עוזרת מנהלית באגף</t>
  </si>
  <si>
    <t>ירמיהו</t>
  </si>
  <si>
    <t>612000 סה"כ</t>
  </si>
  <si>
    <t>נועם</t>
  </si>
  <si>
    <t>מוריה</t>
  </si>
  <si>
    <t>מזכירה ב"</t>
  </si>
  <si>
    <t>דהן</t>
  </si>
  <si>
    <t>חנה</t>
  </si>
  <si>
    <t>פועל נקיון</t>
  </si>
  <si>
    <t>פרי</t>
  </si>
  <si>
    <t>רותי</t>
  </si>
  <si>
    <t>ביטון</t>
  </si>
  <si>
    <t>לימור</t>
  </si>
  <si>
    <t>מזכירת ראש הרשות</t>
  </si>
  <si>
    <t>נידם</t>
  </si>
  <si>
    <t>מיכל</t>
  </si>
  <si>
    <t>מורה בביס יסודי</t>
  </si>
  <si>
    <t>לרדו</t>
  </si>
  <si>
    <t>פאר</t>
  </si>
  <si>
    <t>עוזר ראש מנהל</t>
  </si>
  <si>
    <t>לוי</t>
  </si>
  <si>
    <t>שושנה</t>
  </si>
  <si>
    <t>אדד חי</t>
  </si>
  <si>
    <t>ניר</t>
  </si>
  <si>
    <t>אחראי נושא</t>
  </si>
  <si>
    <t>זעפרני</t>
  </si>
  <si>
    <t>אילן</t>
  </si>
  <si>
    <t>מוקדן</t>
  </si>
  <si>
    <t>כהן</t>
  </si>
  <si>
    <t>חנניה</t>
  </si>
  <si>
    <t>אחראי על טלפונאים 1 או יותר ט בכיר</t>
  </si>
  <si>
    <t>טלפונאי עיוור</t>
  </si>
  <si>
    <t>מנכל רשות</t>
  </si>
  <si>
    <t>יצחקי</t>
  </si>
  <si>
    <t>אהובה</t>
  </si>
  <si>
    <t>מזכירת סגן ראש הרשות</t>
  </si>
  <si>
    <t>נויזדה</t>
  </si>
  <si>
    <t>שולה</t>
  </si>
  <si>
    <t>פקיד כללי</t>
  </si>
  <si>
    <t>בן זקן</t>
  </si>
  <si>
    <t>דינה</t>
  </si>
  <si>
    <t>פועל נקיוןן-בי"ס/משרדים</t>
  </si>
  <si>
    <t>פועל נקיון בבתי ספר</t>
  </si>
  <si>
    <t>אלגריסי</t>
  </si>
  <si>
    <t>יוסי</t>
  </si>
  <si>
    <t>עוזר לאמרכל</t>
  </si>
  <si>
    <t>סמדר</t>
  </si>
  <si>
    <t>פקיד</t>
  </si>
  <si>
    <t>דרי</t>
  </si>
  <si>
    <t>תמר</t>
  </si>
  <si>
    <t>אלבז</t>
  </si>
  <si>
    <t>חיים</t>
  </si>
  <si>
    <t>מדריך מקצועי</t>
  </si>
  <si>
    <t>בן שיטרית</t>
  </si>
  <si>
    <t>אסתר</t>
  </si>
  <si>
    <t>אם בית</t>
  </si>
  <si>
    <t>שמחה</t>
  </si>
  <si>
    <t>אבו-מוראד</t>
  </si>
  <si>
    <t>תרז</t>
  </si>
  <si>
    <t>רכז מקצוע</t>
  </si>
  <si>
    <t>אלקובי</t>
  </si>
  <si>
    <t>ענב</t>
  </si>
  <si>
    <t>פועל נקיון במשרדים</t>
  </si>
  <si>
    <t>חימי</t>
  </si>
  <si>
    <t>מרים</t>
  </si>
  <si>
    <t>גרוס</t>
  </si>
  <si>
    <t>גאולה</t>
  </si>
  <si>
    <t>יעל</t>
  </si>
  <si>
    <t>מלווה ילד בודד</t>
  </si>
  <si>
    <t>נחמני</t>
  </si>
  <si>
    <t>יוכבד</t>
  </si>
  <si>
    <t>סייעת פדגוגית</t>
  </si>
  <si>
    <t>אוחנה</t>
  </si>
  <si>
    <t>רימונד</t>
  </si>
  <si>
    <t>613000 סה"כ</t>
  </si>
  <si>
    <t>בן סימון</t>
  </si>
  <si>
    <t>לוזית</t>
  </si>
  <si>
    <t>שנפר</t>
  </si>
  <si>
    <t>דורון</t>
  </si>
  <si>
    <t>דובר הרשות</t>
  </si>
  <si>
    <t>614000 סה"כ</t>
  </si>
  <si>
    <t>ציטרון</t>
  </si>
  <si>
    <t>אופירה</t>
  </si>
  <si>
    <t>מנהל אגף</t>
  </si>
  <si>
    <t>אושרת</t>
  </si>
  <si>
    <t>פקיד כח אדם אחראי לנושא</t>
  </si>
  <si>
    <t>וקנין</t>
  </si>
  <si>
    <t>מנהל מנגנון</t>
  </si>
  <si>
    <t>615000 סה"כ</t>
  </si>
  <si>
    <t>לב</t>
  </si>
  <si>
    <t>משפטן</t>
  </si>
  <si>
    <t>בר יוסף</t>
  </si>
  <si>
    <t>אריאל</t>
  </si>
  <si>
    <t>יועץ משפטי</t>
  </si>
  <si>
    <t>שטרית</t>
  </si>
  <si>
    <t>דורית</t>
  </si>
  <si>
    <t>תובע עירוני</t>
  </si>
  <si>
    <t>ברק</t>
  </si>
  <si>
    <t>ענבל</t>
  </si>
  <si>
    <t>617000 סה"כ</t>
  </si>
  <si>
    <t>קונפורטי</t>
  </si>
  <si>
    <t>בנימין</t>
  </si>
  <si>
    <t>גזבר</t>
  </si>
  <si>
    <t>מזרחי</t>
  </si>
  <si>
    <t>ליאת</t>
  </si>
  <si>
    <t>סילוק</t>
  </si>
  <si>
    <t>ליטל</t>
  </si>
  <si>
    <t>מזכיר/גזבר רשות מקומית רמה ב</t>
  </si>
  <si>
    <t>מזכירת בי"ס יסודי</t>
  </si>
  <si>
    <t>סבאגי-יפרח</t>
  </si>
  <si>
    <t>שירז</t>
  </si>
  <si>
    <t>621000 סה"כ</t>
  </si>
  <si>
    <t>מור</t>
  </si>
  <si>
    <t>סאינה</t>
  </si>
  <si>
    <t>עינב</t>
  </si>
  <si>
    <t>עוזרת לגננת א</t>
  </si>
  <si>
    <t>קבסה</t>
  </si>
  <si>
    <t>יוכי</t>
  </si>
  <si>
    <t>פקיד זכאות</t>
  </si>
  <si>
    <t>אברהמי</t>
  </si>
  <si>
    <t>פקידי חשבונות</t>
  </si>
  <si>
    <t>ווקנין</t>
  </si>
  <si>
    <t>שרה</t>
  </si>
  <si>
    <t>חשב משכורת</t>
  </si>
  <si>
    <t>רחמים</t>
  </si>
  <si>
    <t>גוסין</t>
  </si>
  <si>
    <t>איבגניה</t>
  </si>
  <si>
    <t>מרכז/ת</t>
  </si>
  <si>
    <t>621300 סה"כ</t>
  </si>
  <si>
    <t>מחלקת רכש</t>
  </si>
  <si>
    <t>רז</t>
  </si>
  <si>
    <t>גלית</t>
  </si>
  <si>
    <t>קניין ראשי של הרשות</t>
  </si>
  <si>
    <t>רבקה</t>
  </si>
  <si>
    <t>621400 סה"כ</t>
  </si>
  <si>
    <t>בן ציון</t>
  </si>
  <si>
    <t>בועז</t>
  </si>
  <si>
    <t>אסור</t>
  </si>
  <si>
    <t>אילנה</t>
  </si>
  <si>
    <t>אוחיון</t>
  </si>
  <si>
    <t>אשר</t>
  </si>
  <si>
    <t>חשב אגף</t>
  </si>
  <si>
    <t>711000 סה"כ</t>
  </si>
  <si>
    <t>בוטבול</t>
  </si>
  <si>
    <t>משה מאיר</t>
  </si>
  <si>
    <t>פרץ</t>
  </si>
  <si>
    <t>נחום</t>
  </si>
  <si>
    <t>פועל גנים</t>
  </si>
  <si>
    <t>אריק</t>
  </si>
  <si>
    <t>פקח חוקי עזר</t>
  </si>
  <si>
    <t>אלמקייס</t>
  </si>
  <si>
    <t>אבי</t>
  </si>
  <si>
    <t>פועל בלתי מקצועי</t>
  </si>
  <si>
    <t>אליהו</t>
  </si>
  <si>
    <t>אורי</t>
  </si>
  <si>
    <t>אב בית</t>
  </si>
  <si>
    <t>סבתי</t>
  </si>
  <si>
    <t>שמואל</t>
  </si>
  <si>
    <t>נהג טרקטור</t>
  </si>
  <si>
    <t>טוויטו</t>
  </si>
  <si>
    <t>שלום שרלי</t>
  </si>
  <si>
    <t>פועל נקיון ותברואה</t>
  </si>
  <si>
    <t>תברואן</t>
  </si>
  <si>
    <t>עובד תברואה ללא תעוד</t>
  </si>
  <si>
    <t>רפאל</t>
  </si>
  <si>
    <t>נהג מפעיל צמ"ה כבד מכולות ודחסניות</t>
  </si>
  <si>
    <t>מאיר</t>
  </si>
  <si>
    <t>מנהל מחלקה -רשות-רמה-ב</t>
  </si>
  <si>
    <t>מחסנאי</t>
  </si>
  <si>
    <t>רחימי</t>
  </si>
  <si>
    <t>עופר</t>
  </si>
  <si>
    <t>ארמונד</t>
  </si>
  <si>
    <t>עוזר חשמלאי</t>
  </si>
  <si>
    <t>מקסים</t>
  </si>
  <si>
    <t>עמר</t>
  </si>
  <si>
    <t>עמי</t>
  </si>
  <si>
    <t>גינו</t>
  </si>
  <si>
    <t>מנהל מחלקה</t>
  </si>
  <si>
    <t>גוררי</t>
  </si>
  <si>
    <t>מיכאל</t>
  </si>
  <si>
    <t>712300 סה"כ</t>
  </si>
  <si>
    <t>פיקוח תברואה</t>
  </si>
  <si>
    <t>לשציוב</t>
  </si>
  <si>
    <t>אולג</t>
  </si>
  <si>
    <t>פנסיונר</t>
  </si>
  <si>
    <t>713000 סה"כ</t>
  </si>
  <si>
    <t>ליפלנדסקי</t>
  </si>
  <si>
    <t>ברוניסלב</t>
  </si>
  <si>
    <t>רופא וטרינרי</t>
  </si>
  <si>
    <t>714000 סה"כ</t>
  </si>
  <si>
    <t>יניב</t>
  </si>
  <si>
    <t>עדי</t>
  </si>
  <si>
    <t>מנהל יחידה</t>
  </si>
  <si>
    <t>715000 סה"כ</t>
  </si>
  <si>
    <t>רכז גינות</t>
  </si>
  <si>
    <t>ליאור</t>
  </si>
  <si>
    <t>רכזת גנים</t>
  </si>
  <si>
    <t>715100 סה"כ</t>
  </si>
  <si>
    <t>א.תעשיה תיירות ורישי</t>
  </si>
  <si>
    <t>גואטה</t>
  </si>
  <si>
    <t>סימה</t>
  </si>
  <si>
    <t>אברזל</t>
  </si>
  <si>
    <t>אלי</t>
  </si>
  <si>
    <t>סגן מנהל מחלקה</t>
  </si>
  <si>
    <t>עמוס</t>
  </si>
  <si>
    <t>שולמית</t>
  </si>
  <si>
    <t>722100 סה"כ</t>
  </si>
  <si>
    <t>אזולאי</t>
  </si>
  <si>
    <t>שלומי</t>
  </si>
  <si>
    <t>שמיאן</t>
  </si>
  <si>
    <t>ציון</t>
  </si>
  <si>
    <t>סעדיה</t>
  </si>
  <si>
    <t>אטיאס</t>
  </si>
  <si>
    <t>בני</t>
  </si>
  <si>
    <t>723000 סה"כ</t>
  </si>
  <si>
    <t>מדלן מזל</t>
  </si>
  <si>
    <t>אורלי</t>
  </si>
  <si>
    <t>723100 סה"כ</t>
  </si>
  <si>
    <t>אריה</t>
  </si>
  <si>
    <t>דקל</t>
  </si>
  <si>
    <t>מזכירה מנהל אגף</t>
  </si>
  <si>
    <t>726000 סה"כ</t>
  </si>
  <si>
    <t>פחימה</t>
  </si>
  <si>
    <t>קול</t>
  </si>
  <si>
    <t>חגי</t>
  </si>
  <si>
    <t>מהנדס הרשות</t>
  </si>
  <si>
    <t>אמסלם</t>
  </si>
  <si>
    <t>שרטט</t>
  </si>
  <si>
    <t>בן שושן</t>
  </si>
  <si>
    <t>גיתית</t>
  </si>
  <si>
    <t>פקח בניה</t>
  </si>
  <si>
    <t>אלדן</t>
  </si>
  <si>
    <t>שני</t>
  </si>
  <si>
    <t>מהנדס</t>
  </si>
  <si>
    <t>אלימלך</t>
  </si>
  <si>
    <t>איילה</t>
  </si>
  <si>
    <t>קבילו</t>
  </si>
  <si>
    <t>אברהם</t>
  </si>
  <si>
    <t>הנדסאי</t>
  </si>
  <si>
    <t>השאש</t>
  </si>
  <si>
    <t>גיל</t>
  </si>
  <si>
    <t>טלביץ</t>
  </si>
  <si>
    <t>דוד</t>
  </si>
  <si>
    <t>מהנדס חשמל</t>
  </si>
  <si>
    <t>בורשטיין</t>
  </si>
  <si>
    <t>אינה</t>
  </si>
  <si>
    <t>עוזר/ת מנהל/ת מחלקה</t>
  </si>
  <si>
    <t>731000 סה"כ</t>
  </si>
  <si>
    <t>דוידי</t>
  </si>
  <si>
    <t>צביאל</t>
  </si>
  <si>
    <t>דנן</t>
  </si>
  <si>
    <t>מרסל</t>
  </si>
  <si>
    <t>בן אבו</t>
  </si>
  <si>
    <t>מורן</t>
  </si>
  <si>
    <t>אדריכל</t>
  </si>
  <si>
    <t>אקוסטה</t>
  </si>
  <si>
    <t>מתי</t>
  </si>
  <si>
    <t>טוקר</t>
  </si>
  <si>
    <t>סמיון</t>
  </si>
  <si>
    <t>קורסן</t>
  </si>
  <si>
    <t>אלכסיי</t>
  </si>
  <si>
    <t>733000 סה"כ</t>
  </si>
  <si>
    <t>חנונה</t>
  </si>
  <si>
    <t>אב בית במרכז קהילתי עד 799 משתתפים</t>
  </si>
  <si>
    <t>איבגי</t>
  </si>
  <si>
    <t>יצחק מאיר</t>
  </si>
  <si>
    <t>בן שטרית</t>
  </si>
  <si>
    <t>דני</t>
  </si>
  <si>
    <t>יונה</t>
  </si>
  <si>
    <t>אדרי</t>
  </si>
  <si>
    <t>שלום</t>
  </si>
  <si>
    <t>יוסף</t>
  </si>
  <si>
    <t>741000 סה"כ</t>
  </si>
  <si>
    <t>יעקב</t>
  </si>
  <si>
    <t>משה</t>
  </si>
  <si>
    <t>חשמלאי</t>
  </si>
  <si>
    <t>דניאל</t>
  </si>
  <si>
    <t>743000 סה"כ</t>
  </si>
  <si>
    <t>יפרח</t>
  </si>
  <si>
    <t>איתן</t>
  </si>
  <si>
    <t>ערן</t>
  </si>
  <si>
    <t>יוגב</t>
  </si>
  <si>
    <t>פקח חנייה</t>
  </si>
  <si>
    <t>דור</t>
  </si>
  <si>
    <t>עידן</t>
  </si>
  <si>
    <t>מרציאנו</t>
  </si>
  <si>
    <t>פקח עירוני</t>
  </si>
  <si>
    <t>מציל</t>
  </si>
  <si>
    <t>חן</t>
  </si>
  <si>
    <t>מתן</t>
  </si>
  <si>
    <t>אלמדווי</t>
  </si>
  <si>
    <t>מלול</t>
  </si>
  <si>
    <t>קורל</t>
  </si>
  <si>
    <t>770000 סה"כ</t>
  </si>
  <si>
    <t>חמדת</t>
  </si>
  <si>
    <t>גוהריאן</t>
  </si>
  <si>
    <t>שילי</t>
  </si>
  <si>
    <t>772000 סה"כ</t>
  </si>
  <si>
    <t>א.תעשיה ועסקים</t>
  </si>
  <si>
    <t>קאתי</t>
  </si>
  <si>
    <t>גוסלקר</t>
  </si>
  <si>
    <t>קרן הודיה</t>
  </si>
  <si>
    <t>ארליך</t>
  </si>
  <si>
    <t>ירדן</t>
  </si>
  <si>
    <t>שפירא</t>
  </si>
  <si>
    <t>איתי</t>
  </si>
  <si>
    <t>עוזרד</t>
  </si>
  <si>
    <t>נעם</t>
  </si>
  <si>
    <t>772100 סה"כ</t>
  </si>
  <si>
    <t>וענונו</t>
  </si>
  <si>
    <t>גיא</t>
  </si>
  <si>
    <t>מדר</t>
  </si>
  <si>
    <t>שרית</t>
  </si>
  <si>
    <t>מזכיר מחלקה</t>
  </si>
  <si>
    <t>סולטני</t>
  </si>
  <si>
    <t>ראובן</t>
  </si>
  <si>
    <t>781000 סה"כ</t>
  </si>
  <si>
    <t>רבית</t>
  </si>
  <si>
    <t>כלפון</t>
  </si>
  <si>
    <t>יפעת</t>
  </si>
  <si>
    <t>מזכיר ראשי בבי"ס עד 19 כיתות</t>
  </si>
  <si>
    <t>איריס</t>
  </si>
  <si>
    <t>זוהר</t>
  </si>
  <si>
    <t>תקציבן</t>
  </si>
  <si>
    <t>סיגל</t>
  </si>
  <si>
    <t>נדלר</t>
  </si>
  <si>
    <t>רכז בית תלמיד</t>
  </si>
  <si>
    <t>ליניק</t>
  </si>
  <si>
    <t>תום</t>
  </si>
  <si>
    <t>שבת</t>
  </si>
  <si>
    <t>מנהל רווחה חינוכית</t>
  </si>
  <si>
    <t>שלמה</t>
  </si>
  <si>
    <t>יפה</t>
  </si>
  <si>
    <t>שושן</t>
  </si>
  <si>
    <t>קצין בטחון מוסדות חינוך</t>
  </si>
  <si>
    <t>קנין</t>
  </si>
  <si>
    <t>סייעת טיפולית בכתה א</t>
  </si>
  <si>
    <t>811000 סה"כ</t>
  </si>
  <si>
    <t>הנהלת גני ילדים</t>
  </si>
  <si>
    <t>מנהל מדור רשות מקומית רמה-ב</t>
  </si>
  <si>
    <t>812100 סה"כ</t>
  </si>
  <si>
    <t>שם טוב</t>
  </si>
  <si>
    <t>דבורה</t>
  </si>
  <si>
    <t>סלברה</t>
  </si>
  <si>
    <t>תאיר</t>
  </si>
  <si>
    <t>קמרי</t>
  </si>
  <si>
    <t>דליה</t>
  </si>
  <si>
    <t>בן גויה</t>
  </si>
  <si>
    <t>אירית</t>
  </si>
  <si>
    <t>שמולה</t>
  </si>
  <si>
    <t>מרגלית</t>
  </si>
  <si>
    <t>קדוש</t>
  </si>
  <si>
    <t>רונית</t>
  </si>
  <si>
    <t>ויצמן</t>
  </si>
  <si>
    <t>סייעת לגננת</t>
  </si>
  <si>
    <t>מורה בביס תיכון</t>
  </si>
  <si>
    <t>עזיז</t>
  </si>
  <si>
    <t>גילה</t>
  </si>
  <si>
    <t>דעדוש</t>
  </si>
  <si>
    <t>ברדה</t>
  </si>
  <si>
    <t>קלריס</t>
  </si>
  <si>
    <t>ענת</t>
  </si>
  <si>
    <t>אהרון</t>
  </si>
  <si>
    <t>סיננסקי</t>
  </si>
  <si>
    <t>ציונה</t>
  </si>
  <si>
    <t>גננת</t>
  </si>
  <si>
    <t>בעדאש</t>
  </si>
  <si>
    <t>אוסקר</t>
  </si>
  <si>
    <t>חדווה</t>
  </si>
  <si>
    <t>טל</t>
  </si>
  <si>
    <t>טייב</t>
  </si>
  <si>
    <t>טויטו</t>
  </si>
  <si>
    <t>הודיה</t>
  </si>
  <si>
    <t>אטדגי</t>
  </si>
  <si>
    <t>טלי</t>
  </si>
  <si>
    <t>רויטל</t>
  </si>
  <si>
    <t>חקון</t>
  </si>
  <si>
    <t>סייעת לגננת שהיא בוגרת 12 שנות לימו</t>
  </si>
  <si>
    <t>אלוק</t>
  </si>
  <si>
    <t>בן דוד</t>
  </si>
  <si>
    <t>אידית</t>
  </si>
  <si>
    <t>אבן צור</t>
  </si>
  <si>
    <t>זהבה</t>
  </si>
  <si>
    <t>אלון</t>
  </si>
  <si>
    <t>עליזה</t>
  </si>
  <si>
    <t>דן</t>
  </si>
  <si>
    <t>בנג"ו</t>
  </si>
  <si>
    <t>יערית</t>
  </si>
  <si>
    <t>פרידמן</t>
  </si>
  <si>
    <t>קרן</t>
  </si>
  <si>
    <t>שרעבי</t>
  </si>
  <si>
    <t>נעמי</t>
  </si>
  <si>
    <t>נווה</t>
  </si>
  <si>
    <t>גוסיינוב</t>
  </si>
  <si>
    <t>מיטל</t>
  </si>
  <si>
    <t>רחל</t>
  </si>
  <si>
    <t>בבלסקי</t>
  </si>
  <si>
    <t>רוזה</t>
  </si>
  <si>
    <t>סיסי</t>
  </si>
  <si>
    <t>תקוה</t>
  </si>
  <si>
    <t>סרמילי</t>
  </si>
  <si>
    <t>בת-שבע</t>
  </si>
  <si>
    <t>אברג"ל</t>
  </si>
  <si>
    <t>אורה</t>
  </si>
  <si>
    <t>תורג"מן</t>
  </si>
  <si>
    <t>יהודית</t>
  </si>
  <si>
    <t>בשן</t>
  </si>
  <si>
    <t>אודליה</t>
  </si>
  <si>
    <t>קורליקר</t>
  </si>
  <si>
    <t>בטי</t>
  </si>
  <si>
    <t>צדוק</t>
  </si>
  <si>
    <t>טלקר</t>
  </si>
  <si>
    <t>סייג</t>
  </si>
  <si>
    <t>אריאלה</t>
  </si>
  <si>
    <t>דנינו</t>
  </si>
  <si>
    <t>זוויגי</t>
  </si>
  <si>
    <t>אלינור</t>
  </si>
  <si>
    <t>יהודה</t>
  </si>
  <si>
    <t>אמר</t>
  </si>
  <si>
    <t>זיוה</t>
  </si>
  <si>
    <t>חמו</t>
  </si>
  <si>
    <t>נטלי</t>
  </si>
  <si>
    <t>זגורי</t>
  </si>
  <si>
    <t>ורדה</t>
  </si>
  <si>
    <t>אסרף</t>
  </si>
  <si>
    <t>גורגט.</t>
  </si>
  <si>
    <t>מזל</t>
  </si>
  <si>
    <t>שלו</t>
  </si>
  <si>
    <t>אוולין</t>
  </si>
  <si>
    <t>טפירו</t>
  </si>
  <si>
    <t>סתו</t>
  </si>
  <si>
    <t>סבגי</t>
  </si>
  <si>
    <t>שיראל</t>
  </si>
  <si>
    <t>לידור</t>
  </si>
  <si>
    <t>אפלבאום</t>
  </si>
  <si>
    <t>בן-דהן</t>
  </si>
  <si>
    <t>שקד</t>
  </si>
  <si>
    <t>רווח</t>
  </si>
  <si>
    <t>רוית</t>
  </si>
  <si>
    <t>קוסטצקי</t>
  </si>
  <si>
    <t>אוסקנה</t>
  </si>
  <si>
    <t>צוראל שירה</t>
  </si>
  <si>
    <t>לינוי</t>
  </si>
  <si>
    <t>הילה</t>
  </si>
  <si>
    <t>812200 סה"כ</t>
  </si>
  <si>
    <t>חגג</t>
  </si>
  <si>
    <t>מסודי</t>
  </si>
  <si>
    <t>צדיק</t>
  </si>
  <si>
    <t>אסולין</t>
  </si>
  <si>
    <t>ורדי</t>
  </si>
  <si>
    <t>ג"ינו</t>
  </si>
  <si>
    <t>דגנית</t>
  </si>
  <si>
    <t>ליאן</t>
  </si>
  <si>
    <t>בן שמעון</t>
  </si>
  <si>
    <t>מירי</t>
  </si>
  <si>
    <t>רונן</t>
  </si>
  <si>
    <t>ליז</t>
  </si>
  <si>
    <t>צרפתי</t>
  </si>
  <si>
    <t>טויזר</t>
  </si>
  <si>
    <t>פנינה</t>
  </si>
  <si>
    <t>מחליפה לגננת</t>
  </si>
  <si>
    <t>רחלי</t>
  </si>
  <si>
    <t>מוסרי</t>
  </si>
  <si>
    <t>קסלסי</t>
  </si>
  <si>
    <t>נופר</t>
  </si>
  <si>
    <t>זרד</t>
  </si>
  <si>
    <t>מיתר</t>
  </si>
  <si>
    <t>אבי שלקוב</t>
  </si>
  <si>
    <t>הנאדי</t>
  </si>
  <si>
    <t>812300 סה"כ</t>
  </si>
  <si>
    <t>עדנה</t>
  </si>
  <si>
    <t>מזכירת מתי"א</t>
  </si>
  <si>
    <t>אבוטבול</t>
  </si>
  <si>
    <t>812400 סה"כ</t>
  </si>
  <si>
    <t>813200 סה"כ</t>
  </si>
  <si>
    <t>אפרגן</t>
  </si>
  <si>
    <t>חסין</t>
  </si>
  <si>
    <t>אתי</t>
  </si>
  <si>
    <t>בן לולו</t>
  </si>
  <si>
    <t>ליאורה</t>
  </si>
  <si>
    <t>כראדי</t>
  </si>
  <si>
    <t>לי</t>
  </si>
  <si>
    <t>ריבלין</t>
  </si>
  <si>
    <t>עמרי</t>
  </si>
  <si>
    <t>פסיכולוג</t>
  </si>
  <si>
    <t>סינורה</t>
  </si>
  <si>
    <t>תמסות</t>
  </si>
  <si>
    <t>בינת</t>
  </si>
  <si>
    <t>813210 סה"כ</t>
  </si>
  <si>
    <t>סייעת צמודה</t>
  </si>
  <si>
    <t>סויסה</t>
  </si>
  <si>
    <t>זכריה</t>
  </si>
  <si>
    <t>סייעת פדגוגית לתלמידים אוטסטים קשים</t>
  </si>
  <si>
    <t>אשריאן</t>
  </si>
  <si>
    <t>בן שימול</t>
  </si>
  <si>
    <t>ארביל</t>
  </si>
  <si>
    <t>אורית</t>
  </si>
  <si>
    <t>תורגמן</t>
  </si>
  <si>
    <t>כוכבה</t>
  </si>
  <si>
    <t>אביסדריס</t>
  </si>
  <si>
    <t>נעים</t>
  </si>
  <si>
    <t>עוזי</t>
  </si>
  <si>
    <t>שרת ראשי בי"ס מקיף</t>
  </si>
  <si>
    <t>דניז</t>
  </si>
  <si>
    <t>דוק</t>
  </si>
  <si>
    <t>זר</t>
  </si>
  <si>
    <t>נמור</t>
  </si>
  <si>
    <t>מנאל</t>
  </si>
  <si>
    <t>813220 סה"כ</t>
  </si>
  <si>
    <t>כרמית</t>
  </si>
  <si>
    <t>בן-אהרון</t>
  </si>
  <si>
    <t>בן אור</t>
  </si>
  <si>
    <t>חיה</t>
  </si>
  <si>
    <t>סמעאן</t>
  </si>
  <si>
    <t>ג"מילה</t>
  </si>
  <si>
    <t>איבתיסם</t>
  </si>
  <si>
    <t>813230 סה"כ</t>
  </si>
  <si>
    <t>כליף</t>
  </si>
  <si>
    <t>פרפרה</t>
  </si>
  <si>
    <t>ליליאן</t>
  </si>
  <si>
    <t>חני</t>
  </si>
  <si>
    <t>כהלית</t>
  </si>
  <si>
    <t>לוגסי</t>
  </si>
  <si>
    <t>אביטל</t>
  </si>
  <si>
    <t>אלינס</t>
  </si>
  <si>
    <t>עזרן</t>
  </si>
  <si>
    <t>בן חמו</t>
  </si>
  <si>
    <t>שפריר</t>
  </si>
  <si>
    <t>813240 סה"כ</t>
  </si>
  <si>
    <t>גבאי</t>
  </si>
  <si>
    <t>ויקטוריה</t>
  </si>
  <si>
    <t>בת שבע</t>
  </si>
  <si>
    <t>חסן</t>
  </si>
  <si>
    <t>ציפי</t>
  </si>
  <si>
    <t>עמרני</t>
  </si>
  <si>
    <t>סטלה</t>
  </si>
  <si>
    <t>לוסי</t>
  </si>
  <si>
    <t>ג"נט</t>
  </si>
  <si>
    <t>ניני</t>
  </si>
  <si>
    <t>שרת בית ספר</t>
  </si>
  <si>
    <t>גנן מוסמך-בעל תעודה</t>
  </si>
  <si>
    <t>813250 סה"כ</t>
  </si>
  <si>
    <t>נאוה</t>
  </si>
  <si>
    <t>813260 סה"כ</t>
  </si>
  <si>
    <t>אביבה</t>
  </si>
  <si>
    <t>זמיר</t>
  </si>
  <si>
    <t>עייש</t>
  </si>
  <si>
    <t>עדן</t>
  </si>
  <si>
    <t>וייס_ג"סטי</t>
  </si>
  <si>
    <t>דיאנה</t>
  </si>
  <si>
    <t>813270 סה"כ</t>
  </si>
  <si>
    <t>מדריכה טפולית בלתי מוסמכת</t>
  </si>
  <si>
    <t>אביבית</t>
  </si>
  <si>
    <t>צרויה</t>
  </si>
  <si>
    <t>לילך</t>
  </si>
  <si>
    <t>בן אלול</t>
  </si>
  <si>
    <t>מרצ"י</t>
  </si>
  <si>
    <t>בוקריס</t>
  </si>
  <si>
    <t>אפרים</t>
  </si>
  <si>
    <t>אוטולנגי</t>
  </si>
  <si>
    <t>אורטל</t>
  </si>
  <si>
    <t>בראל</t>
  </si>
  <si>
    <t>גרסנר</t>
  </si>
  <si>
    <t>גינה</t>
  </si>
  <si>
    <t>813280 סה"כ</t>
  </si>
  <si>
    <t>בית ספר רננים</t>
  </si>
  <si>
    <t>לינדה</t>
  </si>
  <si>
    <t>מטפלת בלתי מוסמכת</t>
  </si>
  <si>
    <t>אזרד</t>
  </si>
  <si>
    <t>חורב</t>
  </si>
  <si>
    <t>אליה</t>
  </si>
  <si>
    <t>זיוה אורני</t>
  </si>
  <si>
    <t>וזנה</t>
  </si>
  <si>
    <t>טליה</t>
  </si>
  <si>
    <t>אחראי משק 8-18 כיתות</t>
  </si>
  <si>
    <t>עופרה</t>
  </si>
  <si>
    <t>בוחבוט</t>
  </si>
  <si>
    <t>צביקה</t>
  </si>
  <si>
    <t>יערה</t>
  </si>
  <si>
    <t>שירן</t>
  </si>
  <si>
    <t>חופית</t>
  </si>
  <si>
    <t>אלגאלי</t>
  </si>
  <si>
    <t>אילת</t>
  </si>
  <si>
    <t>לאה</t>
  </si>
  <si>
    <t>עובד קהילתי</t>
  </si>
  <si>
    <t>בן-שבת</t>
  </si>
  <si>
    <t>ברכה</t>
  </si>
  <si>
    <t>סבג</t>
  </si>
  <si>
    <t>אנט</t>
  </si>
  <si>
    <t>הרוש</t>
  </si>
  <si>
    <t>מדריך חינוכי</t>
  </si>
  <si>
    <t>פיבי</t>
  </si>
  <si>
    <t>מסורי</t>
  </si>
  <si>
    <t>חטיב</t>
  </si>
  <si>
    <t>רנא</t>
  </si>
  <si>
    <t>טולדנו-בן לולו</t>
  </si>
  <si>
    <t>מילמן</t>
  </si>
  <si>
    <t>רוזיקה</t>
  </si>
  <si>
    <t>הולנדר</t>
  </si>
  <si>
    <t>יהב</t>
  </si>
  <si>
    <t>813300 סה"כ</t>
  </si>
  <si>
    <t>סילביה</t>
  </si>
  <si>
    <t>שארים</t>
  </si>
  <si>
    <t>מועדונית</t>
  </si>
  <si>
    <t>מנחם</t>
  </si>
  <si>
    <t>סיגלית</t>
  </si>
  <si>
    <t>אם בית במעדונית</t>
  </si>
  <si>
    <t>מאיה</t>
  </si>
  <si>
    <t>813600 סה"כ</t>
  </si>
  <si>
    <t xml:space="preserve">חווה חקלאית </t>
  </si>
  <si>
    <t>דדון</t>
  </si>
  <si>
    <t>אלגרבלי</t>
  </si>
  <si>
    <t>יאיר</t>
  </si>
  <si>
    <t>אחראי משק עד 7 כיתות</t>
  </si>
  <si>
    <t>סוכרי</t>
  </si>
  <si>
    <t>פרטוק</t>
  </si>
  <si>
    <t>פדידה</t>
  </si>
  <si>
    <t>סוזן</t>
  </si>
  <si>
    <t>יקיר מרדכי</t>
  </si>
  <si>
    <t>813700 סה"כ</t>
  </si>
  <si>
    <t>שכר לימוד בפגרה</t>
  </si>
  <si>
    <t>חסון</t>
  </si>
  <si>
    <t>בת-אל</t>
  </si>
  <si>
    <t>נורית</t>
  </si>
  <si>
    <t>פינטו</t>
  </si>
  <si>
    <t>ורד</t>
  </si>
  <si>
    <t>בן חיון</t>
  </si>
  <si>
    <t>חזן</t>
  </si>
  <si>
    <t>חפצדי</t>
  </si>
  <si>
    <t>ליאל</t>
  </si>
  <si>
    <t>תהל ורד</t>
  </si>
  <si>
    <t>מלכה בוחבוט</t>
  </si>
  <si>
    <t>זוהרה</t>
  </si>
  <si>
    <t>ספיר</t>
  </si>
  <si>
    <t>נקש</t>
  </si>
  <si>
    <t>רעות אור</t>
  </si>
  <si>
    <t>בונה</t>
  </si>
  <si>
    <t>צוריאל דוד</t>
  </si>
  <si>
    <t>רומנו</t>
  </si>
  <si>
    <t>מעיין</t>
  </si>
  <si>
    <t>סולימני</t>
  </si>
  <si>
    <t>דנה</t>
  </si>
  <si>
    <t>בונדר</t>
  </si>
  <si>
    <t>יבגניה</t>
  </si>
  <si>
    <t>813810 סה"כ</t>
  </si>
  <si>
    <t>מזכיר משנה בבי"ס</t>
  </si>
  <si>
    <t>אמנון</t>
  </si>
  <si>
    <t>ברנדס</t>
  </si>
  <si>
    <t>לבורנט</t>
  </si>
  <si>
    <t>שיפרין</t>
  </si>
  <si>
    <t>אלה</t>
  </si>
  <si>
    <t>לויטן</t>
  </si>
  <si>
    <t>815700 סה"כ</t>
  </si>
  <si>
    <t>מנהלה דנציר</t>
  </si>
  <si>
    <t>815710 סה"כ</t>
  </si>
  <si>
    <t>מינהלה מתמיד</t>
  </si>
  <si>
    <t>זקלין</t>
  </si>
  <si>
    <t>815730 סה"כ</t>
  </si>
  <si>
    <t>דהרי</t>
  </si>
  <si>
    <t>קצין בטחון אחראי חרו</t>
  </si>
  <si>
    <t>817100 סה"כ</t>
  </si>
  <si>
    <t>מרכזיה פדגוגית</t>
  </si>
  <si>
    <t>אמירה</t>
  </si>
  <si>
    <t>מזכירה במרכזיה פדגוגית רשות מ רמ ג</t>
  </si>
  <si>
    <t>פקידה כתבנית</t>
  </si>
  <si>
    <t>817200 סה"כ</t>
  </si>
  <si>
    <t>שירות הפסיכולוג</t>
  </si>
  <si>
    <t>ברגר</t>
  </si>
  <si>
    <t>פלד</t>
  </si>
  <si>
    <t>אבראהים</t>
  </si>
  <si>
    <t>היבא</t>
  </si>
  <si>
    <t>גור</t>
  </si>
  <si>
    <t>רואי</t>
  </si>
  <si>
    <t>פסיכולוג מדריך</t>
  </si>
  <si>
    <t>לחיאני</t>
  </si>
  <si>
    <t>מנצור</t>
  </si>
  <si>
    <t>שבלת</t>
  </si>
  <si>
    <t>יעקובי</t>
  </si>
  <si>
    <t>פסיכולוג מומחה-סקציה</t>
  </si>
  <si>
    <t>סלאמה</t>
  </si>
  <si>
    <t>אמיר</t>
  </si>
  <si>
    <t>אבירם</t>
  </si>
  <si>
    <t>שאכר</t>
  </si>
  <si>
    <t>מוחמד</t>
  </si>
  <si>
    <t>אלעד</t>
  </si>
  <si>
    <t>קלמר</t>
  </si>
  <si>
    <t>גל</t>
  </si>
  <si>
    <t>817300 סה"כ</t>
  </si>
  <si>
    <t>עמשי</t>
  </si>
  <si>
    <t>מזכירה לייעוץ פסיכולוגי ברשות-רמה ג</t>
  </si>
  <si>
    <t>ירדנה</t>
  </si>
  <si>
    <t>817310 סה"כ</t>
  </si>
  <si>
    <t>מתיא</t>
  </si>
  <si>
    <t>איפרגן</t>
  </si>
  <si>
    <t>817400 סה"כ</t>
  </si>
  <si>
    <t>האס</t>
  </si>
  <si>
    <t>אלין</t>
  </si>
  <si>
    <t>אורנה</t>
  </si>
  <si>
    <t>אלוני</t>
  </si>
  <si>
    <t>ענבר</t>
  </si>
  <si>
    <t>יוסקוביץ</t>
  </si>
  <si>
    <t>הדס</t>
  </si>
  <si>
    <t>בנארי שבטיאל</t>
  </si>
  <si>
    <t>דנילוב</t>
  </si>
  <si>
    <t>חדד טויזר</t>
  </si>
  <si>
    <t>חן שירה</t>
  </si>
  <si>
    <t>מורה בחטיבת ביניים</t>
  </si>
  <si>
    <t>סובול</t>
  </si>
  <si>
    <t>עמר יוסף</t>
  </si>
  <si>
    <t>גביש</t>
  </si>
  <si>
    <t>צדוקה</t>
  </si>
  <si>
    <t>אביה רינת</t>
  </si>
  <si>
    <t>אביב</t>
  </si>
  <si>
    <t>מדריך בקיטנה</t>
  </si>
  <si>
    <t>הדר</t>
  </si>
  <si>
    <t>ברייב</t>
  </si>
  <si>
    <t>אור</t>
  </si>
  <si>
    <t>817600 סה"כ</t>
  </si>
  <si>
    <t xml:space="preserve">קב"ס </t>
  </si>
  <si>
    <t>חגית</t>
  </si>
  <si>
    <t>קצין ביקור סדיר</t>
  </si>
  <si>
    <t>ישראל</t>
  </si>
  <si>
    <t>817700 סה"כ</t>
  </si>
  <si>
    <t>שורצקר</t>
  </si>
  <si>
    <t>מלווה הסעות לתלמידים מוגבלים מטוריו</t>
  </si>
  <si>
    <t>עמאר</t>
  </si>
  <si>
    <t>רנקנפור</t>
  </si>
  <si>
    <t>שומר בלי נשק</t>
  </si>
  <si>
    <t>קריספיל</t>
  </si>
  <si>
    <t>רבן</t>
  </si>
  <si>
    <t>זריהן</t>
  </si>
  <si>
    <t>מרי</t>
  </si>
  <si>
    <t>עתו</t>
  </si>
  <si>
    <t>מרדכי</t>
  </si>
  <si>
    <t>הורטנסה</t>
  </si>
  <si>
    <t>אושר</t>
  </si>
  <si>
    <t>עמאשה</t>
  </si>
  <si>
    <t>גורג"ט</t>
  </si>
  <si>
    <t>סופר</t>
  </si>
  <si>
    <t>נ"גאת</t>
  </si>
  <si>
    <t>ג"רג"ס</t>
  </si>
  <si>
    <t>חצבאני</t>
  </si>
  <si>
    <t>נג"ם</t>
  </si>
  <si>
    <t>מריאנה</t>
  </si>
  <si>
    <t>817800 סה"כ</t>
  </si>
  <si>
    <t>יחזקאלי</t>
  </si>
  <si>
    <t>שגית</t>
  </si>
  <si>
    <t>שבתאי</t>
  </si>
  <si>
    <t>בן ברוך</t>
  </si>
  <si>
    <t>איילת</t>
  </si>
  <si>
    <t>דנאן</t>
  </si>
  <si>
    <t>מכלוף</t>
  </si>
  <si>
    <t>מחפודה</t>
  </si>
  <si>
    <t>צימבליסטה</t>
  </si>
  <si>
    <t>חטואל</t>
  </si>
  <si>
    <t>שפשה</t>
  </si>
  <si>
    <t>עטרת</t>
  </si>
  <si>
    <t>נועה</t>
  </si>
  <si>
    <t>קורין</t>
  </si>
  <si>
    <t>מסטרס ברקאי</t>
  </si>
  <si>
    <t>נפתלי</t>
  </si>
  <si>
    <t>אפק</t>
  </si>
  <si>
    <t>817810 סה"כ</t>
  </si>
  <si>
    <t>אזרזר</t>
  </si>
  <si>
    <t>שיקמה</t>
  </si>
  <si>
    <t>817820 סה"כ</t>
  </si>
  <si>
    <t>פרויקט צדל</t>
  </si>
  <si>
    <t>טוהר</t>
  </si>
  <si>
    <t>אגמון</t>
  </si>
  <si>
    <t>שוהם</t>
  </si>
  <si>
    <t>רוני</t>
  </si>
  <si>
    <t>פאדי</t>
  </si>
  <si>
    <t>חדאד</t>
  </si>
  <si>
    <t>ריטה</t>
  </si>
  <si>
    <t>817910 סה"כ</t>
  </si>
  <si>
    <t>עובד אחזקה</t>
  </si>
  <si>
    <t>ניניו</t>
  </si>
  <si>
    <t>מנהל בית נוער</t>
  </si>
  <si>
    <t>824000 סה"כ</t>
  </si>
  <si>
    <t>סנה</t>
  </si>
  <si>
    <t>סילבן</t>
  </si>
  <si>
    <t>הרשקוביץ</t>
  </si>
  <si>
    <t>עינת</t>
  </si>
  <si>
    <t>דמארי</t>
  </si>
  <si>
    <t>בניה</t>
  </si>
  <si>
    <t>אבישי</t>
  </si>
  <si>
    <t>עובד סוציאלי</t>
  </si>
  <si>
    <t>רדושיצקי-אילת</t>
  </si>
  <si>
    <t>אדד</t>
  </si>
  <si>
    <t>מדריך חבורות נוער</t>
  </si>
  <si>
    <t>שוורצקר</t>
  </si>
  <si>
    <t>ורסנו</t>
  </si>
  <si>
    <t>לוין</t>
  </si>
  <si>
    <t>828100 סה"כ</t>
  </si>
  <si>
    <t>דיאור</t>
  </si>
  <si>
    <t>תהילה</t>
  </si>
  <si>
    <t>רכז תרבות</t>
  </si>
  <si>
    <t>828200 סה"כ</t>
  </si>
  <si>
    <t>מינהלה ספורט</t>
  </si>
  <si>
    <t>מדריך ספורט</t>
  </si>
  <si>
    <t>נתן</t>
  </si>
  <si>
    <t>טיטי</t>
  </si>
  <si>
    <t>829200 סה"כ</t>
  </si>
  <si>
    <t>מקונן</t>
  </si>
  <si>
    <t>אימבט אירי</t>
  </si>
  <si>
    <t>גרונר</t>
  </si>
  <si>
    <t>עובדת נערה במצוקה</t>
  </si>
  <si>
    <t>בוכבזה</t>
  </si>
  <si>
    <t>שלומית</t>
  </si>
  <si>
    <t>סימי</t>
  </si>
  <si>
    <t>ראש צוות מרכזת</t>
  </si>
  <si>
    <t>רכז התנדבות</t>
  </si>
  <si>
    <t>סויסה קרליק</t>
  </si>
  <si>
    <t>שלוו</t>
  </si>
  <si>
    <t>סופיה</t>
  </si>
  <si>
    <t>טולדו</t>
  </si>
  <si>
    <t>שביט</t>
  </si>
  <si>
    <t>גלינה</t>
  </si>
  <si>
    <t>מוצפי</t>
  </si>
  <si>
    <t>פרח</t>
  </si>
  <si>
    <t>יפית</t>
  </si>
  <si>
    <t>סוקולובסקי</t>
  </si>
  <si>
    <t>הלוי</t>
  </si>
  <si>
    <t>שנהב</t>
  </si>
  <si>
    <t>עטיה</t>
  </si>
  <si>
    <t>עובד שכונתי</t>
  </si>
  <si>
    <t>אדלר</t>
  </si>
  <si>
    <t>אוסנת</t>
  </si>
  <si>
    <t>עמדי</t>
  </si>
  <si>
    <t>בלדאב</t>
  </si>
  <si>
    <t>יצחק</t>
  </si>
  <si>
    <t>תירזה</t>
  </si>
  <si>
    <t>היימן</t>
  </si>
  <si>
    <t>פלדמן</t>
  </si>
  <si>
    <t>בן שבת</t>
  </si>
  <si>
    <t>שושי</t>
  </si>
  <si>
    <t>מזכ" אישית למנהל אגף ברשות רמה-ב</t>
  </si>
  <si>
    <t>הוטא</t>
  </si>
  <si>
    <t>ברוריה</t>
  </si>
  <si>
    <t>בסטקר</t>
  </si>
  <si>
    <t>לירון</t>
  </si>
  <si>
    <t>אסיאג סומך</t>
  </si>
  <si>
    <t>שי</t>
  </si>
  <si>
    <t>לוטטי</t>
  </si>
  <si>
    <t>שאול</t>
  </si>
  <si>
    <t>קרקולי</t>
  </si>
  <si>
    <t>פקיד מודיעין והסברה</t>
  </si>
  <si>
    <t>זריז</t>
  </si>
  <si>
    <t>חבני גבאי</t>
  </si>
  <si>
    <t>משיח</t>
  </si>
  <si>
    <t>שי-לי</t>
  </si>
  <si>
    <t>בוגוליובוב</t>
  </si>
  <si>
    <t>גופמן</t>
  </si>
  <si>
    <t>ברקובסקי</t>
  </si>
  <si>
    <t>נדין</t>
  </si>
  <si>
    <t>אירנה</t>
  </si>
  <si>
    <t>841000 סה"כ</t>
  </si>
  <si>
    <t>יזרעאלי</t>
  </si>
  <si>
    <t>שיר</t>
  </si>
  <si>
    <t>סלפיאן</t>
  </si>
  <si>
    <t>לאוניד</t>
  </si>
  <si>
    <t>842400 סה"כ</t>
  </si>
  <si>
    <t>פרוייקט ראשית</t>
  </si>
  <si>
    <t>843500 סה"כ</t>
  </si>
  <si>
    <t>מדריך מע"ש</t>
  </si>
  <si>
    <t>אידה</t>
  </si>
  <si>
    <t>מנהל מע"ש 3 כיתות ומעלה</t>
  </si>
  <si>
    <t>מרכז מע"ש</t>
  </si>
  <si>
    <t>מבשלת-אחראית למטבח</t>
  </si>
  <si>
    <t>845200 סה"כ</t>
  </si>
  <si>
    <t>845210 סה"כ</t>
  </si>
  <si>
    <t>אחראי למאבק בסמים</t>
  </si>
  <si>
    <t>846300 סה"כ</t>
  </si>
  <si>
    <t>מרכוספלד</t>
  </si>
  <si>
    <t>847100 סה"כ</t>
  </si>
  <si>
    <t>סינגסון</t>
  </si>
  <si>
    <t>861000 סה"כ</t>
  </si>
  <si>
    <t>אלישע</t>
  </si>
  <si>
    <t>חסד</t>
  </si>
  <si>
    <t>אסף</t>
  </si>
  <si>
    <t>שחר</t>
  </si>
  <si>
    <t>871000 סה"כ</t>
  </si>
  <si>
    <t>978100 סה"כ</t>
  </si>
  <si>
    <t>מנהלה אגף החינוך</t>
  </si>
  <si>
    <t>981100 סה"כ</t>
  </si>
  <si>
    <t>981220 סה"כ</t>
  </si>
  <si>
    <t>981230 סה"כ</t>
  </si>
  <si>
    <t>981322 סה"כ</t>
  </si>
  <si>
    <t>מונסטרסקי אלדי</t>
  </si>
  <si>
    <t>981323 סה"כ</t>
  </si>
  <si>
    <t>981324 סה"כ</t>
  </si>
  <si>
    <t>981325 סה"כ</t>
  </si>
  <si>
    <t>981326 סה"כ</t>
  </si>
  <si>
    <t>981327 סה"כ</t>
  </si>
  <si>
    <t>981328 סה"כ</t>
  </si>
  <si>
    <t>ביה"ס רננים</t>
  </si>
  <si>
    <t>זילבגר</t>
  </si>
  <si>
    <t>נתנאלה</t>
  </si>
  <si>
    <t>קופיט</t>
  </si>
  <si>
    <t>שרון</t>
  </si>
  <si>
    <t>דין</t>
  </si>
  <si>
    <t>אבו זיד</t>
  </si>
  <si>
    <t>דימא</t>
  </si>
  <si>
    <t>981330 סה"כ</t>
  </si>
  <si>
    <t>קורן</t>
  </si>
  <si>
    <t>981360 סה"כ</t>
  </si>
  <si>
    <t>ברוך</t>
  </si>
  <si>
    <t>רחמים אלון</t>
  </si>
  <si>
    <t>981381 סה"כ</t>
  </si>
  <si>
    <t>981720 סה"כ</t>
  </si>
  <si>
    <t>דאב</t>
  </si>
  <si>
    <t>חבלין</t>
  </si>
  <si>
    <t>נטע</t>
  </si>
  <si>
    <t>ויסמן</t>
  </si>
  <si>
    <t>בתיה</t>
  </si>
  <si>
    <t>נעמה</t>
  </si>
  <si>
    <t>צח</t>
  </si>
  <si>
    <t>פיקוח על עבודות</t>
  </si>
  <si>
    <t>טהר</t>
  </si>
  <si>
    <t>שיראל נועה</t>
  </si>
  <si>
    <t>רוזנשטיין</t>
  </si>
  <si>
    <t>נוי</t>
  </si>
  <si>
    <t>גדעוני</t>
  </si>
  <si>
    <t>סאן</t>
  </si>
  <si>
    <t>גבריאלה</t>
  </si>
  <si>
    <t>981760 סה"כ</t>
  </si>
  <si>
    <t>מילאד</t>
  </si>
  <si>
    <t>981780 סה"כ</t>
  </si>
  <si>
    <t>981781 סה"כ</t>
  </si>
  <si>
    <t>ליבוביץ</t>
  </si>
  <si>
    <t>חצבני</t>
  </si>
  <si>
    <t>גראסיה</t>
  </si>
  <si>
    <t>982810 סה"כ</t>
  </si>
  <si>
    <t>רווחה וסעד</t>
  </si>
  <si>
    <t>984100 סה"כ</t>
  </si>
  <si>
    <t>נקיון לשכת הרוחה</t>
  </si>
  <si>
    <t>984110 סה"כ</t>
  </si>
  <si>
    <t>984710 סה"כ</t>
  </si>
  <si>
    <t>גלוזמן</t>
  </si>
  <si>
    <t>גולד</t>
  </si>
  <si>
    <t>גרובר</t>
  </si>
  <si>
    <t>מיליקה</t>
  </si>
  <si>
    <t>כרמלה</t>
  </si>
  <si>
    <t>אייל</t>
  </si>
  <si>
    <t>שיפרה רחל</t>
  </si>
  <si>
    <t>קרפל</t>
  </si>
  <si>
    <t>פרוידנברג</t>
  </si>
  <si>
    <t>ידידיה</t>
  </si>
  <si>
    <t>מיכה</t>
  </si>
  <si>
    <t>רוזן</t>
  </si>
  <si>
    <t>עובד</t>
  </si>
  <si>
    <t>רחל שושנה</t>
  </si>
  <si>
    <t>וילנר</t>
  </si>
  <si>
    <t>שדה</t>
  </si>
  <si>
    <t>צבי</t>
  </si>
  <si>
    <t>מסוארי</t>
  </si>
  <si>
    <t>יואב</t>
  </si>
  <si>
    <t>רינה</t>
  </si>
  <si>
    <t>מזכירת תחנה ליעוץ פס</t>
  </si>
  <si>
    <t>גוטליב</t>
  </si>
  <si>
    <t>נזרי</t>
  </si>
  <si>
    <t>יוהנה</t>
  </si>
  <si>
    <t>סלביה</t>
  </si>
  <si>
    <t>עדה</t>
  </si>
  <si>
    <t>וויט</t>
  </si>
  <si>
    <t>רופא שיניים</t>
  </si>
  <si>
    <t>דיויס</t>
  </si>
  <si>
    <t>ליליאנה</t>
  </si>
  <si>
    <t>תמי</t>
  </si>
  <si>
    <t>אלמקיאס</t>
  </si>
  <si>
    <t>אליס</t>
  </si>
  <si>
    <t>פרלה</t>
  </si>
  <si>
    <t>מוניק</t>
  </si>
  <si>
    <t>אבוחסירה</t>
  </si>
  <si>
    <t>חליוה</t>
  </si>
  <si>
    <t>סלומון</t>
  </si>
  <si>
    <t>טובול</t>
  </si>
  <si>
    <t>לופו</t>
  </si>
  <si>
    <t>קרול</t>
  </si>
  <si>
    <t>פרש</t>
  </si>
  <si>
    <t>יחיא</t>
  </si>
  <si>
    <t>אשטמקר</t>
  </si>
  <si>
    <t>ניסן</t>
  </si>
  <si>
    <t>מלכין</t>
  </si>
  <si>
    <t>גבי</t>
  </si>
  <si>
    <t>דמרי</t>
  </si>
  <si>
    <t>ונונו</t>
  </si>
  <si>
    <t>ליבי</t>
  </si>
  <si>
    <t>שניידר</t>
  </si>
  <si>
    <t>לידיה</t>
  </si>
  <si>
    <t>קצב</t>
  </si>
  <si>
    <t>מחליפה לע. גננת</t>
  </si>
  <si>
    <t>נסימה</t>
  </si>
  <si>
    <t>אפללו</t>
  </si>
  <si>
    <t>טקיאר</t>
  </si>
  <si>
    <t>אלברט</t>
  </si>
  <si>
    <t>זאב</t>
  </si>
  <si>
    <t>יואל</t>
  </si>
  <si>
    <t>גורגיה</t>
  </si>
  <si>
    <t>איזיק</t>
  </si>
  <si>
    <t>ידען</t>
  </si>
  <si>
    <t>ממוקה</t>
  </si>
  <si>
    <t>בטיטו</t>
  </si>
  <si>
    <t>מוראד</t>
  </si>
  <si>
    <t>סביחה</t>
  </si>
  <si>
    <t>נזימה</t>
  </si>
  <si>
    <t>בירקנטל</t>
  </si>
  <si>
    <t>פנחס</t>
  </si>
  <si>
    <t>רודה</t>
  </si>
  <si>
    <t>סבריה</t>
  </si>
  <si>
    <t>וינשטיין</t>
  </si>
  <si>
    <t>דורה</t>
  </si>
  <si>
    <t>ארם</t>
  </si>
  <si>
    <t>ברום</t>
  </si>
  <si>
    <t>הררי</t>
  </si>
  <si>
    <t>רפי</t>
  </si>
  <si>
    <t>עגמי</t>
  </si>
  <si>
    <t>פינקלשטיין</t>
  </si>
  <si>
    <t>לביא</t>
  </si>
  <si>
    <t>עמרם</t>
  </si>
  <si>
    <t>נעומי</t>
  </si>
  <si>
    <t>סיטון</t>
  </si>
  <si>
    <t>גלילה</t>
  </si>
  <si>
    <t>מנהל מדור</t>
  </si>
  <si>
    <t>בן ימינה</t>
  </si>
  <si>
    <t>בן אשר</t>
  </si>
  <si>
    <t>הרצל</t>
  </si>
  <si>
    <t>ראובני</t>
  </si>
  <si>
    <t>בניטח</t>
  </si>
  <si>
    <t>טוני</t>
  </si>
  <si>
    <t>סעדה</t>
  </si>
  <si>
    <t>מויאל</t>
  </si>
  <si>
    <t>שכטר</t>
  </si>
  <si>
    <t>משעלי</t>
  </si>
  <si>
    <t>שפיגלר</t>
  </si>
  <si>
    <t>פרחיה</t>
  </si>
  <si>
    <t>קלרה</t>
  </si>
  <si>
    <t>גבריאל</t>
  </si>
  <si>
    <t>גמליאל</t>
  </si>
  <si>
    <t>דורית ליזה</t>
  </si>
  <si>
    <t>אזרן</t>
  </si>
  <si>
    <t>אוקנין</t>
  </si>
  <si>
    <t>בן-אדיבה</t>
  </si>
  <si>
    <t>חוה</t>
  </si>
  <si>
    <t>פני</t>
  </si>
  <si>
    <t>שריקי</t>
  </si>
  <si>
    <t>ניקול</t>
  </si>
  <si>
    <t>סמי</t>
  </si>
  <si>
    <t>עזריה</t>
  </si>
  <si>
    <t>נגר</t>
  </si>
  <si>
    <t>קקון</t>
  </si>
  <si>
    <t>סיסו</t>
  </si>
  <si>
    <t>אלנקרי</t>
  </si>
  <si>
    <t>סעדה לאון</t>
  </si>
  <si>
    <t>אלבירה</t>
  </si>
  <si>
    <t>מוניק חוה</t>
  </si>
  <si>
    <t>מישלין</t>
  </si>
  <si>
    <t>פרוספר</t>
  </si>
  <si>
    <t>מאירוביץ</t>
  </si>
  <si>
    <t>ג"ולייט</t>
  </si>
  <si>
    <t>שמעוני</t>
  </si>
  <si>
    <t>פרזי</t>
  </si>
  <si>
    <t>ריקה</t>
  </si>
  <si>
    <t>ססי</t>
  </si>
  <si>
    <t>ניזר</t>
  </si>
  <si>
    <t>זאן</t>
  </si>
  <si>
    <t>רופא</t>
  </si>
  <si>
    <t>מדלן</t>
  </si>
  <si>
    <t>בן אדיבה</t>
  </si>
  <si>
    <t>מימון</t>
  </si>
  <si>
    <t>אחראי משק 19-26 כיתה</t>
  </si>
  <si>
    <t>כליפה</t>
  </si>
  <si>
    <t>טובה</t>
  </si>
  <si>
    <t>בן דיין</t>
  </si>
  <si>
    <t>מינה</t>
  </si>
  <si>
    <t>שבה</t>
  </si>
  <si>
    <t>שפונגין</t>
  </si>
  <si>
    <t>בן דהן</t>
  </si>
  <si>
    <t>בן-שושן</t>
  </si>
  <si>
    <t>גרציה</t>
  </si>
  <si>
    <t>מור יוסף</t>
  </si>
  <si>
    <t>סננס</t>
  </si>
  <si>
    <t>טוביהו</t>
  </si>
  <si>
    <t>סול</t>
  </si>
  <si>
    <t>עובדת שכונתית</t>
  </si>
  <si>
    <t>טורגמן</t>
  </si>
  <si>
    <t>שבח סוכר</t>
  </si>
  <si>
    <t>ציפורה</t>
  </si>
  <si>
    <t>סימונה</t>
  </si>
  <si>
    <t>בן הרוש</t>
  </si>
  <si>
    <t>טורג"מן</t>
  </si>
  <si>
    <t>אמיל</t>
  </si>
  <si>
    <t>יוחנן</t>
  </si>
  <si>
    <t>פלורה</t>
  </si>
  <si>
    <t>בן שלוש</t>
  </si>
  <si>
    <t>פרדי</t>
  </si>
  <si>
    <t>אברגל</t>
  </si>
  <si>
    <t>משען</t>
  </si>
  <si>
    <t>דוקרקר</t>
  </si>
  <si>
    <t>מרטה</t>
  </si>
  <si>
    <t>סייעת לרופא שיניים</t>
  </si>
  <si>
    <t>לחמני</t>
  </si>
  <si>
    <t>בן מרגי</t>
  </si>
  <si>
    <t>בניתח</t>
  </si>
  <si>
    <t>פיניאן</t>
  </si>
  <si>
    <t>אלגריה</t>
  </si>
  <si>
    <t>ג"רד</t>
  </si>
  <si>
    <t>ברביבאי</t>
  </si>
  <si>
    <t>נאמן</t>
  </si>
  <si>
    <t>אלביליה</t>
  </si>
  <si>
    <t>סוליקה</t>
  </si>
  <si>
    <t>אפנדוביץ</t>
  </si>
  <si>
    <t>בן עיון</t>
  </si>
  <si>
    <t>אוחנונה</t>
  </si>
  <si>
    <t>חנינה</t>
  </si>
  <si>
    <t>מסעוד</t>
  </si>
  <si>
    <t>איזה</t>
  </si>
  <si>
    <t>עליה</t>
  </si>
  <si>
    <t>בוקובזה</t>
  </si>
  <si>
    <t>מזיאנה</t>
  </si>
  <si>
    <t>צפורה</t>
  </si>
  <si>
    <t>דניאלי</t>
  </si>
  <si>
    <t>לזר</t>
  </si>
  <si>
    <t>פרידה</t>
  </si>
  <si>
    <t>קולני</t>
  </si>
  <si>
    <t>יולנדה</t>
  </si>
  <si>
    <t>חוסרבי</t>
  </si>
  <si>
    <t>אנקור</t>
  </si>
  <si>
    <t>שקלים</t>
  </si>
  <si>
    <t>רחל פרי</t>
  </si>
  <si>
    <t>בארי</t>
  </si>
  <si>
    <t>קאשן</t>
  </si>
  <si>
    <t>דוד סבח</t>
  </si>
  <si>
    <t>בן-אבו</t>
  </si>
  <si>
    <t>סהר</t>
  </si>
  <si>
    <t>מנשה</t>
  </si>
  <si>
    <t>בנימיני</t>
  </si>
  <si>
    <t>אביגיל</t>
  </si>
  <si>
    <t>בנושה</t>
  </si>
  <si>
    <t>אירן</t>
  </si>
  <si>
    <t>לטיפה</t>
  </si>
  <si>
    <t>שיין</t>
  </si>
  <si>
    <t>מועלם</t>
  </si>
  <si>
    <t>צברי</t>
  </si>
  <si>
    <t>יעקוביאן</t>
  </si>
  <si>
    <t>שיקופה</t>
  </si>
  <si>
    <t>גליה</t>
  </si>
  <si>
    <t>צדיק זאדה</t>
  </si>
  <si>
    <t>מסיקי</t>
  </si>
  <si>
    <t>נוצרת</t>
  </si>
  <si>
    <t>גמרסני</t>
  </si>
  <si>
    <t>שוקרון</t>
  </si>
  <si>
    <t>בן אור ........</t>
  </si>
  <si>
    <t>חלואני</t>
  </si>
  <si>
    <t>עזיזה</t>
  </si>
  <si>
    <t>אליס עליז</t>
  </si>
  <si>
    <t>ליסיינקו</t>
  </si>
  <si>
    <t>ולרי</t>
  </si>
  <si>
    <t>מזבובסקי</t>
  </si>
  <si>
    <t>לריסה</t>
  </si>
  <si>
    <t>סודקו</t>
  </si>
  <si>
    <t>אירינה</t>
  </si>
  <si>
    <t>קפלן</t>
  </si>
  <si>
    <t>גניה</t>
  </si>
  <si>
    <t>וסרמן</t>
  </si>
  <si>
    <t>הלנה</t>
  </si>
  <si>
    <t>סטריקוב</t>
  </si>
  <si>
    <t>שרשבסקי</t>
  </si>
  <si>
    <t>לומזוב</t>
  </si>
  <si>
    <t>טארנפולסקי</t>
  </si>
  <si>
    <t>ליודמילה</t>
  </si>
  <si>
    <t>אקסלרוד</t>
  </si>
  <si>
    <t>איליה</t>
  </si>
  <si>
    <t>ביילין</t>
  </si>
  <si>
    <t>רונד</t>
  </si>
  <si>
    <t>אלכסנדר</t>
  </si>
  <si>
    <t>דומברוביאן</t>
  </si>
  <si>
    <t>ויקטור</t>
  </si>
  <si>
    <t>990000 סה"כ</t>
  </si>
  <si>
    <t>פצויים</t>
  </si>
  <si>
    <t>שוורצוולד</t>
  </si>
  <si>
    <t>מרינה</t>
  </si>
  <si>
    <t>991000 סה"כ</t>
  </si>
  <si>
    <t>שנקל</t>
  </si>
  <si>
    <t>999000 סה"כ</t>
  </si>
  <si>
    <t>סכום כולל</t>
  </si>
  <si>
    <t>ללא פיצויים</t>
  </si>
  <si>
    <t>שני עובדים שפרשו במזכירות</t>
  </si>
  <si>
    <t>פרישת שרי והעברת מוריה למחלקה אחרת</t>
  </si>
  <si>
    <t>פרישה</t>
  </si>
  <si>
    <t>הפרש 2020 להבראה</t>
  </si>
  <si>
    <t>הפרש חירום להבראה</t>
  </si>
  <si>
    <t>השפעת קורונה</t>
  </si>
  <si>
    <t>בניכוי תשלומים בגין פרישה</t>
  </si>
  <si>
    <t>גרעון</t>
  </si>
  <si>
    <t>גרעון ללא תשלומי פרישה</t>
  </si>
  <si>
    <t>תקציב יחסי</t>
  </si>
  <si>
    <t>ביצוע מתחת</t>
  </si>
  <si>
    <t>ביצוע מעל</t>
  </si>
  <si>
    <t>אחוז ביצוע</t>
  </si>
  <si>
    <t>שריון</t>
  </si>
  <si>
    <t>ארנונה ועדות ערר</t>
  </si>
  <si>
    <t>שע"ל</t>
  </si>
  <si>
    <t>מענקי שיפוי קורונה מ.הפנים</t>
  </si>
  <si>
    <t>שיפוי קורונה איכות הסביבה</t>
  </si>
  <si>
    <t>השתתפות מצב חירום קורונה</t>
  </si>
  <si>
    <t>הע.מקרן היטל השבח</t>
  </si>
  <si>
    <t>חינוך-הכנסות לקבל</t>
  </si>
  <si>
    <t>ציוד מיגון חנ"מ</t>
  </si>
  <si>
    <t>החזר חלק עובד בקרן</t>
  </si>
  <si>
    <t>ה.נלוות ח.מיוחד -מוסד</t>
  </si>
  <si>
    <t>העשרה ח.מיוחד-מוסד</t>
  </si>
  <si>
    <t>חונכים בלתי פורמליים -ניהול עצמי</t>
  </si>
  <si>
    <t>ארועי תרבות הכנסו</t>
  </si>
  <si>
    <t>עבודה קהילתית והת</t>
  </si>
  <si>
    <t>טפול בזקנים עולים</t>
  </si>
  <si>
    <t>היערכות מצב חירום - קורונה</t>
  </si>
  <si>
    <t>סייעת 2 והעשרה</t>
  </si>
  <si>
    <t>קיזוז הזנות גני ילדים</t>
  </si>
  <si>
    <t>הזנת תלמדים</t>
  </si>
  <si>
    <t>פנימיות יום -מיל"ת</t>
  </si>
  <si>
    <t>חלוקת מזון לאזרחים ותיקים (קורונה)</t>
  </si>
  <si>
    <t>מצב חירום קורונה</t>
  </si>
  <si>
    <t>כולל שריון</t>
  </si>
  <si>
    <t>ביצוע עד 5.20</t>
  </si>
  <si>
    <t>הפרשה ביגוד והבראה</t>
  </si>
  <si>
    <t>שינויים מתקציב מקורי</t>
  </si>
  <si>
    <t>סעיף חדש למצב חירום (הופחת מפעילות תרבות)- הועבר לחד פעמיות</t>
  </si>
  <si>
    <t>העברת הוצאות קורונה מפעילות כללית לפעילות חד פעמית</t>
  </si>
  <si>
    <t xml:space="preserve"> הורדנו מטעמי שמרות - אין הבטחה להשלמת השיפוי</t>
  </si>
  <si>
    <t>הפחתה השפעת קורונה</t>
  </si>
  <si>
    <t>החזרה לתקציב תוכנית הבראה</t>
  </si>
  <si>
    <t xml:space="preserve">הגדלה בעקבות קבלת תשלום מליון שח מעונות </t>
  </si>
  <si>
    <t>סה"כ גרעון</t>
  </si>
  <si>
    <t xml:space="preserve">עמידה ביעד הגרעון - לא כולל תשלומים לפרישה </t>
  </si>
  <si>
    <t>ניכוי פרישה</t>
  </si>
  <si>
    <t>יעד בניכוי פרישה</t>
  </si>
  <si>
    <t>קליטה</t>
  </si>
  <si>
    <t>תקציב  2020  מקורי</t>
  </si>
  <si>
    <t xml:space="preserve">תקציב  2020 </t>
  </si>
  <si>
    <t>תקציב 2020  מקורי</t>
  </si>
  <si>
    <t>הוצאות פינוי ואגרנים</t>
  </si>
  <si>
    <t>יתר עצמיות</t>
  </si>
  <si>
    <t>הוצאות חד פעמיות</t>
  </si>
  <si>
    <t xml:space="preserve">ביצוע 2019   </t>
  </si>
  <si>
    <t>גנ"י-גביה (חובה)</t>
  </si>
  <si>
    <t>להוסיף 120 מותנה בהכנסה והוצאה</t>
  </si>
  <si>
    <t>תיירות מותנה 50 אלף</t>
  </si>
  <si>
    <t>לבדוק פירוט השתתפות בנט"ן</t>
  </si>
  <si>
    <t>להפריד תרבות תורנית - למיין 70 אלף</t>
  </si>
  <si>
    <t>להגדיל ל 210 אלף</t>
  </si>
  <si>
    <t>לבדוק כרטסת ניתוח</t>
  </si>
  <si>
    <t>מפעלי ספורט מותנה</t>
  </si>
  <si>
    <t>השת'-סל הספורט מותנה</t>
  </si>
  <si>
    <t>הובפת סעיף הכנסה הוצאה מותנה 120 אלף בישיבת הנהלה עבור ספורט</t>
  </si>
  <si>
    <t>תרבות תורנית</t>
  </si>
  <si>
    <t>מיון פנימי</t>
  </si>
  <si>
    <t>תיירות מותנה</t>
  </si>
  <si>
    <t>להגדיל ל 210 אלף - במקום 185 , תוספת 25 אלף</t>
  </si>
  <si>
    <t xml:space="preserve">פיתוח כלכלי </t>
  </si>
  <si>
    <t>הוספת 25 אלף חפץ חיים</t>
  </si>
  <si>
    <t>הוספת 25 אלף חפץ חיים והורדת 20 מתלמידי חוץ</t>
  </si>
  <si>
    <t>ארנונה מותנת</t>
  </si>
  <si>
    <t>נקיון והסרת מפגעי מותנה</t>
  </si>
  <si>
    <t xml:space="preserve"> שכר ומשרות לפי פרקי תקציב</t>
  </si>
  <si>
    <t>ירידה כתוצאה מפטור לעסקים בתקופת הקורונה</t>
  </si>
  <si>
    <t>ירידה בעציות במשבר הקורונה</t>
  </si>
  <si>
    <t>פיתוח ארגוני, צוערים וצמצום פערים , הירידה כתוצאה מתיקון צוערים</t>
  </si>
  <si>
    <t>שיפוי ארנונה משרד הפנים על פטור עסקים</t>
  </si>
  <si>
    <t>שיפוי פנסיה + הכנסות ביטוח לאומי</t>
  </si>
  <si>
    <t>פטור לעסקים במשבר הקורונה</t>
  </si>
  <si>
    <t>מותנות עיר ללא אלימות + שפ"ע</t>
  </si>
  <si>
    <t>פרעון מוקדם 2019</t>
  </si>
  <si>
    <t>עלויות פרישה + שכ"ט  צומן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</si>
</sst>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#,##0.00_ ;[Red]\-#,##0.00\ "/>
    <numFmt numFmtId="166" formatCode="#,##0_ ;\-#,##0\ "/>
    <numFmt numFmtId="167" formatCode="0.0"/>
  </numFmts>
  <fonts count="8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David"/>
      <family val="2"/>
    </font>
    <font>
      <b/>
      <sz val="20"/>
      <color theme="1"/>
      <name val="David"/>
      <family val="2"/>
    </font>
    <font>
      <b/>
      <sz val="14"/>
      <color theme="1"/>
      <name val="David"/>
      <family val="2"/>
    </font>
    <font>
      <sz val="10"/>
      <name val="Arial"/>
      <family val="2"/>
    </font>
    <font>
      <sz val="10"/>
      <name val="David"/>
      <family val="2"/>
    </font>
    <font>
      <b/>
      <u/>
      <sz val="14"/>
      <color indexed="8"/>
      <name val="David"/>
      <family val="2"/>
    </font>
    <font>
      <b/>
      <sz val="12"/>
      <color indexed="8"/>
      <name val="David"/>
      <family val="2"/>
    </font>
    <font>
      <sz val="9"/>
      <name val="David"/>
      <family val="2"/>
    </font>
    <font>
      <sz val="11"/>
      <color indexed="8"/>
      <name val="David"/>
      <family val="2"/>
    </font>
    <font>
      <sz val="12"/>
      <color indexed="8"/>
      <name val="David"/>
      <family val="2"/>
    </font>
    <font>
      <b/>
      <sz val="11"/>
      <color indexed="8"/>
      <name val="David"/>
      <family val="2"/>
    </font>
    <font>
      <b/>
      <u/>
      <sz val="12"/>
      <color indexed="8"/>
      <name val="David"/>
      <family val="2"/>
    </font>
    <font>
      <b/>
      <sz val="11"/>
      <name val="David"/>
      <family val="2"/>
    </font>
    <font>
      <b/>
      <sz val="14"/>
      <color indexed="8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4"/>
      <color theme="1"/>
      <name val="David"/>
      <family val="2"/>
    </font>
    <font>
      <b/>
      <sz val="22"/>
      <color theme="1"/>
      <name val="David"/>
      <family val="2"/>
    </font>
    <font>
      <sz val="22"/>
      <color theme="1"/>
      <name val="David"/>
      <family val="2"/>
    </font>
    <font>
      <sz val="22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24"/>
      <color theme="1"/>
      <name val="Davi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rgb="FF000000"/>
      <name val="David"/>
      <family val="2"/>
    </font>
    <font>
      <b/>
      <sz val="14"/>
      <color rgb="FF000000"/>
      <name val="David"/>
      <family val="2"/>
    </font>
    <font>
      <b/>
      <sz val="12"/>
      <color rgb="FF000000"/>
      <name val="David"/>
      <family val="2"/>
    </font>
    <font>
      <b/>
      <u/>
      <sz val="12"/>
      <color rgb="FF000000"/>
      <name val="David"/>
      <family val="2"/>
    </font>
    <font>
      <sz val="11"/>
      <color rgb="FF000000"/>
      <name val="David"/>
      <family val="2"/>
    </font>
    <font>
      <sz val="12"/>
      <color rgb="FF000000"/>
      <name val="David"/>
      <family val="2"/>
    </font>
    <font>
      <b/>
      <sz val="11"/>
      <color rgb="FF000000"/>
      <name val="David"/>
      <family val="2"/>
    </font>
    <font>
      <b/>
      <sz val="72"/>
      <color theme="1"/>
      <name val="David"/>
      <family val="2"/>
      <charset val="177"/>
    </font>
    <font>
      <b/>
      <u/>
      <sz val="20"/>
      <color rgb="FF000000"/>
      <name val="David"/>
      <family val="2"/>
    </font>
    <font>
      <sz val="22"/>
      <color rgb="FFFF0000"/>
      <name val="David"/>
      <family val="2"/>
    </font>
    <font>
      <sz val="11"/>
      <color rgb="FFFF0000"/>
      <name val="Arial"/>
      <family val="2"/>
      <scheme val="minor"/>
    </font>
    <font>
      <sz val="14"/>
      <color theme="1"/>
      <name val="David"/>
      <family val="2"/>
    </font>
    <font>
      <sz val="22"/>
      <name val="David"/>
      <family val="2"/>
    </font>
    <font>
      <sz val="11"/>
      <name val="Arial"/>
      <family val="2"/>
      <scheme val="minor"/>
    </font>
    <font>
      <b/>
      <u/>
      <sz val="11"/>
      <color theme="1"/>
      <name val="David"/>
      <family val="2"/>
    </font>
    <font>
      <sz val="11"/>
      <name val="David"/>
      <family val="2"/>
    </font>
    <font>
      <sz val="12"/>
      <name val="David"/>
      <family val="2"/>
    </font>
    <font>
      <sz val="14"/>
      <color theme="1"/>
      <name val="Arial"/>
      <family val="2"/>
      <scheme val="minor"/>
    </font>
    <font>
      <sz val="18"/>
      <color theme="1"/>
      <name val="David"/>
      <family val="2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4"/>
      <name val="David"/>
      <family val="2"/>
    </font>
    <font>
      <b/>
      <sz val="12"/>
      <name val="David"/>
      <family val="2"/>
    </font>
    <font>
      <b/>
      <u/>
      <sz val="11"/>
      <name val="David"/>
      <family val="2"/>
    </font>
    <font>
      <b/>
      <u val="singleAccounting"/>
      <sz val="11"/>
      <name val="David"/>
      <family val="2"/>
    </font>
    <font>
      <b/>
      <u/>
      <sz val="11"/>
      <color theme="1"/>
      <name val="Arial"/>
      <family val="2"/>
      <scheme val="minor"/>
    </font>
    <font>
      <b/>
      <u val="singleAccounting"/>
      <sz val="11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b/>
      <u/>
      <sz val="11"/>
      <color rgb="FFFF0000"/>
      <name val="Arial"/>
      <family val="2"/>
      <scheme val="minor"/>
    </font>
    <font>
      <sz val="11"/>
      <color rgb="FF00B050"/>
      <name val="Arial"/>
      <family val="2"/>
      <charset val="177"/>
      <scheme val="minor"/>
    </font>
    <font>
      <b/>
      <sz val="22"/>
      <color rgb="FFFF0000"/>
      <name val="David"/>
      <family val="2"/>
    </font>
    <font>
      <sz val="12"/>
      <color theme="1"/>
      <name val="Arial"/>
      <family val="2"/>
      <charset val="177"/>
      <scheme val="minor"/>
    </font>
    <font>
      <b/>
      <u/>
      <sz val="22"/>
      <color theme="1"/>
      <name val="David"/>
      <family val="2"/>
    </font>
    <font>
      <b/>
      <u/>
      <sz val="20"/>
      <color theme="1"/>
      <name val="Arial"/>
      <family val="2"/>
      <scheme val="minor"/>
    </font>
    <font>
      <b/>
      <u/>
      <sz val="20"/>
      <color rgb="FFFF0000"/>
      <name val="Arial"/>
      <family val="2"/>
      <scheme val="minor"/>
    </font>
    <font>
      <sz val="16"/>
      <color theme="1"/>
      <name val="David"/>
      <family val="2"/>
    </font>
    <font>
      <b/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</font>
    <font>
      <b/>
      <u/>
      <sz val="1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43" fontId="4" fillId="0" borderId="0" applyFont="0" applyFill="0" applyBorder="0" applyAlignment="0" applyProtection="0"/>
    <xf numFmtId="0" fontId="8" fillId="0" borderId="0"/>
    <xf numFmtId="9" fontId="4" fillId="0" borderId="0" applyFont="0" applyFill="0" applyBorder="0" applyAlignment="0" applyProtection="0"/>
    <xf numFmtId="0" fontId="3" fillId="0" borderId="0"/>
    <xf numFmtId="0" fontId="74" fillId="0" borderId="59" applyNumberFormat="0" applyFill="0" applyAlignment="0" applyProtection="0"/>
    <xf numFmtId="0" fontId="75" fillId="0" borderId="60" applyNumberFormat="0" applyFill="0" applyAlignment="0" applyProtection="0"/>
    <xf numFmtId="0" fontId="76" fillId="0" borderId="61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0" applyNumberFormat="0" applyBorder="0" applyAlignment="0" applyProtection="0"/>
    <xf numFmtId="0" fontId="78" fillId="22" borderId="0" applyNumberFormat="0" applyBorder="0" applyAlignment="0" applyProtection="0"/>
    <xf numFmtId="0" fontId="79" fillId="23" borderId="0" applyNumberFormat="0" applyBorder="0" applyAlignment="0" applyProtection="0"/>
    <xf numFmtId="0" fontId="80" fillId="24" borderId="62" applyNumberFormat="0" applyAlignment="0" applyProtection="0"/>
    <xf numFmtId="0" fontId="81" fillId="25" borderId="63" applyNumberFormat="0" applyAlignment="0" applyProtection="0"/>
    <xf numFmtId="0" fontId="82" fillId="25" borderId="62" applyNumberFormat="0" applyAlignment="0" applyProtection="0"/>
    <xf numFmtId="0" fontId="83" fillId="0" borderId="64" applyNumberFormat="0" applyFill="0" applyAlignment="0" applyProtection="0"/>
    <xf numFmtId="0" fontId="84" fillId="26" borderId="65" applyNumberFormat="0" applyAlignment="0" applyProtection="0"/>
    <xf numFmtId="0" fontId="5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8" fillId="0" borderId="67" applyNumberFormat="0" applyFill="0" applyAlignment="0" applyProtection="0"/>
    <xf numFmtId="0" fontId="8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6" fillId="31" borderId="0" applyNumberFormat="0" applyBorder="0" applyAlignment="0" applyProtection="0"/>
    <xf numFmtId="0" fontId="8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6" fillId="35" borderId="0" applyNumberFormat="0" applyBorder="0" applyAlignment="0" applyProtection="0"/>
    <xf numFmtId="0" fontId="8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86" fillId="47" borderId="0" applyNumberFormat="0" applyBorder="0" applyAlignment="0" applyProtection="0"/>
    <xf numFmtId="0" fontId="86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86" fillId="51" borderId="0" applyNumberFormat="0" applyBorder="0" applyAlignment="0" applyProtection="0"/>
    <xf numFmtId="0" fontId="1" fillId="0" borderId="0"/>
    <xf numFmtId="0" fontId="87" fillId="0" borderId="0" applyNumberFormat="0" applyFill="0" applyBorder="0" applyAlignment="0" applyProtection="0"/>
    <xf numFmtId="0" fontId="1" fillId="27" borderId="66" applyNumberFormat="0" applyFont="0" applyAlignment="0" applyProtection="0"/>
  </cellStyleXfs>
  <cellXfs count="548">
    <xf numFmtId="0" fontId="0" fillId="0" borderId="0" xfId="0"/>
    <xf numFmtId="0" fontId="5" fillId="0" borderId="0" xfId="0" applyFont="1"/>
    <xf numFmtId="164" fontId="7" fillId="2" borderId="1" xfId="0" applyNumberFormat="1" applyFont="1" applyFill="1" applyBorder="1" applyAlignment="1">
      <alignment horizontal="center" vertical="center" wrapText="1"/>
    </xf>
    <xf numFmtId="0" fontId="9" fillId="0" borderId="0" xfId="2" applyFont="1" applyAlignment="1"/>
    <xf numFmtId="0" fontId="9" fillId="4" borderId="0" xfId="2" applyFont="1" applyFill="1" applyAlignment="1"/>
    <xf numFmtId="165" fontId="9" fillId="4" borderId="0" xfId="2" applyNumberFormat="1" applyFont="1" applyFill="1" applyAlignment="1"/>
    <xf numFmtId="0" fontId="10" fillId="4" borderId="0" xfId="2" applyFont="1" applyFill="1" applyBorder="1" applyAlignment="1">
      <alignment horizontal="center" vertical="center" wrapText="1" readingOrder="2"/>
    </xf>
    <xf numFmtId="0" fontId="12" fillId="0" borderId="0" xfId="2" applyFont="1" applyAlignment="1"/>
    <xf numFmtId="0" fontId="15" fillId="3" borderId="17" xfId="2" applyFont="1" applyFill="1" applyBorder="1" applyAlignment="1">
      <alignment horizontal="right" vertical="center" readingOrder="2"/>
    </xf>
    <xf numFmtId="0" fontId="15" fillId="3" borderId="20" xfId="2" applyFont="1" applyFill="1" applyBorder="1" applyAlignment="1">
      <alignment horizontal="right" vertical="center" readingOrder="2"/>
    </xf>
    <xf numFmtId="0" fontId="13" fillId="4" borderId="0" xfId="2" applyFont="1" applyFill="1" applyBorder="1" applyAlignment="1">
      <alignment vertical="center"/>
    </xf>
    <xf numFmtId="165" fontId="13" fillId="4" borderId="22" xfId="2" applyNumberFormat="1" applyFont="1" applyFill="1" applyBorder="1" applyAlignment="1">
      <alignment vertical="center"/>
    </xf>
    <xf numFmtId="0" fontId="9" fillId="4" borderId="23" xfId="2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0" fontId="9" fillId="4" borderId="0" xfId="2" applyFont="1" applyFill="1" applyBorder="1" applyAlignment="1"/>
    <xf numFmtId="165" fontId="9" fillId="4" borderId="0" xfId="2" applyNumberFormat="1" applyFont="1" applyFill="1" applyBorder="1" applyAlignment="1"/>
    <xf numFmtId="0" fontId="16" fillId="4" borderId="0" xfId="2" applyFont="1" applyFill="1" applyBorder="1" applyAlignment="1">
      <alignment horizontal="center" vertical="center" wrapText="1" readingOrder="2"/>
    </xf>
    <xf numFmtId="0" fontId="9" fillId="4" borderId="0" xfId="2" applyFont="1" applyFill="1" applyBorder="1" applyAlignment="1">
      <alignment wrapText="1"/>
    </xf>
    <xf numFmtId="44" fontId="9" fillId="0" borderId="0" xfId="2" applyNumberFormat="1" applyFont="1" applyAlignment="1"/>
    <xf numFmtId="165" fontId="9" fillId="0" borderId="0" xfId="2" applyNumberFormat="1" applyFont="1" applyAlignment="1"/>
    <xf numFmtId="0" fontId="16" fillId="4" borderId="0" xfId="2" applyFont="1" applyFill="1" applyBorder="1" applyAlignment="1">
      <alignment horizontal="right" vertical="center" readingOrder="2"/>
    </xf>
    <xf numFmtId="164" fontId="15" fillId="3" borderId="19" xfId="1" applyNumberFormat="1" applyFont="1" applyFill="1" applyBorder="1" applyAlignment="1">
      <alignment horizontal="center" vertical="center"/>
    </xf>
    <xf numFmtId="164" fontId="17" fillId="3" borderId="19" xfId="1" applyNumberFormat="1" applyFont="1" applyFill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right" vertical="center" readingOrder="2"/>
    </xf>
    <xf numFmtId="164" fontId="13" fillId="4" borderId="4" xfId="1" applyNumberFormat="1" applyFont="1" applyFill="1" applyBorder="1" applyAlignment="1">
      <alignment horizontal="right" vertical="center"/>
    </xf>
    <xf numFmtId="0" fontId="11" fillId="4" borderId="3" xfId="2" applyFont="1" applyFill="1" applyBorder="1" applyAlignment="1">
      <alignment horizontal="right" vertical="center" readingOrder="2"/>
    </xf>
    <xf numFmtId="0" fontId="9" fillId="4" borderId="3" xfId="2" applyFont="1" applyFill="1" applyBorder="1" applyAlignment="1">
      <alignment vertical="center"/>
    </xf>
    <xf numFmtId="0" fontId="11" fillId="4" borderId="2" xfId="2" applyFont="1" applyFill="1" applyBorder="1" applyAlignment="1">
      <alignment horizontal="right" vertical="center" readingOrder="2"/>
    </xf>
    <xf numFmtId="0" fontId="16" fillId="4" borderId="23" xfId="2" applyFont="1" applyFill="1" applyBorder="1" applyAlignment="1">
      <alignment horizontal="right" vertical="center" readingOrder="2"/>
    </xf>
    <xf numFmtId="0" fontId="14" fillId="4" borderId="4" xfId="2" applyFont="1" applyFill="1" applyBorder="1" applyAlignment="1">
      <alignment horizontal="right" vertical="center" readingOrder="2"/>
    </xf>
    <xf numFmtId="0" fontId="16" fillId="4" borderId="2" xfId="2" applyFont="1" applyFill="1" applyBorder="1" applyAlignment="1">
      <alignment horizontal="right" vertical="center" readingOrder="2"/>
    </xf>
    <xf numFmtId="0" fontId="16" fillId="4" borderId="3" xfId="2" applyFont="1" applyFill="1" applyBorder="1" applyAlignment="1">
      <alignment horizontal="right" vertical="center" readingOrder="2"/>
    </xf>
    <xf numFmtId="0" fontId="14" fillId="0" borderId="4" xfId="2" applyFont="1" applyBorder="1" applyAlignment="1">
      <alignment horizontal="right" vertical="center" readingOrder="2"/>
    </xf>
    <xf numFmtId="0" fontId="5" fillId="4" borderId="0" xfId="0" applyFont="1" applyFill="1"/>
    <xf numFmtId="0" fontId="12" fillId="4" borderId="0" xfId="2" applyFont="1" applyFill="1" applyAlignment="1"/>
    <xf numFmtId="0" fontId="20" fillId="3" borderId="1" xfId="0" applyFont="1" applyFill="1" applyBorder="1" applyAlignment="1">
      <alignment horizontal="right" vertical="center"/>
    </xf>
    <xf numFmtId="164" fontId="20" fillId="3" borderId="5" xfId="1" applyNumberFormat="1" applyFont="1" applyFill="1" applyBorder="1" applyAlignment="1">
      <alignment horizontal="center" vertical="center"/>
    </xf>
    <xf numFmtId="164" fontId="20" fillId="3" borderId="5" xfId="1" applyNumberFormat="1" applyFont="1" applyFill="1" applyBorder="1"/>
    <xf numFmtId="0" fontId="19" fillId="4" borderId="0" xfId="0" applyFont="1" applyFill="1"/>
    <xf numFmtId="0" fontId="0" fillId="4" borderId="0" xfId="0" applyFill="1"/>
    <xf numFmtId="0" fontId="21" fillId="4" borderId="0" xfId="0" applyFont="1" applyFill="1"/>
    <xf numFmtId="0" fontId="19" fillId="4" borderId="0" xfId="0" applyFont="1" applyFill="1" applyBorder="1"/>
    <xf numFmtId="164" fontId="19" fillId="4" borderId="0" xfId="1" applyNumberFormat="1" applyFont="1" applyFill="1"/>
    <xf numFmtId="164" fontId="19" fillId="4" borderId="0" xfId="1" applyNumberFormat="1" applyFont="1" applyFill="1" applyBorder="1"/>
    <xf numFmtId="9" fontId="19" fillId="4" borderId="0" xfId="3" applyFont="1" applyFill="1"/>
    <xf numFmtId="164" fontId="19" fillId="4" borderId="33" xfId="1" applyNumberFormat="1" applyFont="1" applyFill="1" applyBorder="1"/>
    <xf numFmtId="9" fontId="19" fillId="4" borderId="33" xfId="3" applyFont="1" applyFill="1" applyBorder="1"/>
    <xf numFmtId="0" fontId="20" fillId="4" borderId="0" xfId="0" applyFont="1" applyFill="1"/>
    <xf numFmtId="164" fontId="20" fillId="4" borderId="34" xfId="0" applyNumberFormat="1" applyFont="1" applyFill="1" applyBorder="1"/>
    <xf numFmtId="164" fontId="20" fillId="4" borderId="0" xfId="0" applyNumberFormat="1" applyFont="1" applyFill="1" applyBorder="1"/>
    <xf numFmtId="9" fontId="20" fillId="4" borderId="34" xfId="0" applyNumberFormat="1" applyFont="1" applyFill="1" applyBorder="1"/>
    <xf numFmtId="0" fontId="21" fillId="4" borderId="0" xfId="0" applyFont="1" applyFill="1" applyBorder="1"/>
    <xf numFmtId="9" fontId="20" fillId="4" borderId="34" xfId="3" applyFont="1" applyFill="1" applyBorder="1"/>
    <xf numFmtId="0" fontId="21" fillId="4" borderId="0" xfId="0" applyFont="1" applyFill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164" fontId="19" fillId="4" borderId="0" xfId="0" applyNumberFormat="1" applyFont="1" applyFill="1" applyBorder="1"/>
    <xf numFmtId="9" fontId="19" fillId="4" borderId="0" xfId="3" applyFont="1" applyFill="1" applyBorder="1"/>
    <xf numFmtId="164" fontId="23" fillId="2" borderId="18" xfId="0" applyNumberFormat="1" applyFont="1" applyFill="1" applyBorder="1" applyAlignment="1">
      <alignment horizontal="center" vertical="center" wrapText="1"/>
    </xf>
    <xf numFmtId="164" fontId="23" fillId="2" borderId="19" xfId="0" applyNumberFormat="1" applyFont="1" applyFill="1" applyBorder="1" applyAlignment="1">
      <alignment horizontal="center" vertical="center" wrapText="1"/>
    </xf>
    <xf numFmtId="0" fontId="24" fillId="0" borderId="9" xfId="0" applyFont="1" applyBorder="1"/>
    <xf numFmtId="0" fontId="24" fillId="0" borderId="4" xfId="0" applyNumberFormat="1" applyFont="1" applyBorder="1" applyAlignment="1">
      <alignment horizontal="right"/>
    </xf>
    <xf numFmtId="0" fontId="24" fillId="0" borderId="4" xfId="0" applyFont="1" applyBorder="1"/>
    <xf numFmtId="164" fontId="24" fillId="0" borderId="4" xfId="1" applyNumberFormat="1" applyFont="1" applyBorder="1"/>
    <xf numFmtId="43" fontId="24" fillId="0" borderId="4" xfId="1" applyFont="1" applyBorder="1"/>
    <xf numFmtId="0" fontId="23" fillId="6" borderId="18" xfId="0" applyNumberFormat="1" applyFont="1" applyFill="1" applyBorder="1" applyAlignment="1">
      <alignment horizontal="right"/>
    </xf>
    <xf numFmtId="0" fontId="23" fillId="6" borderId="18" xfId="0" applyFont="1" applyFill="1" applyBorder="1"/>
    <xf numFmtId="164" fontId="23" fillId="6" borderId="1" xfId="1" applyNumberFormat="1" applyFont="1" applyFill="1" applyBorder="1"/>
    <xf numFmtId="0" fontId="23" fillId="3" borderId="30" xfId="0" applyFont="1" applyFill="1" applyBorder="1"/>
    <xf numFmtId="0" fontId="23" fillId="3" borderId="30" xfId="0" applyFont="1" applyFill="1" applyBorder="1" applyAlignment="1">
      <alignment horizontal="right"/>
    </xf>
    <xf numFmtId="164" fontId="23" fillId="3" borderId="30" xfId="1" applyNumberFormat="1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164" fontId="24" fillId="0" borderId="0" xfId="1" applyNumberFormat="1" applyFont="1" applyFill="1" applyBorder="1"/>
    <xf numFmtId="43" fontId="24" fillId="0" borderId="0" xfId="1" applyFont="1" applyFill="1" applyBorder="1"/>
    <xf numFmtId="0" fontId="25" fillId="0" borderId="0" xfId="0" applyFont="1"/>
    <xf numFmtId="0" fontId="25" fillId="0" borderId="0" xfId="0" applyFont="1" applyAlignment="1">
      <alignment horizontal="right"/>
    </xf>
    <xf numFmtId="164" fontId="25" fillId="0" borderId="0" xfId="1" applyNumberFormat="1" applyFont="1"/>
    <xf numFmtId="43" fontId="25" fillId="0" borderId="0" xfId="1" applyFont="1"/>
    <xf numFmtId="164" fontId="23" fillId="3" borderId="39" xfId="1" applyNumberFormat="1" applyFont="1" applyFill="1" applyBorder="1"/>
    <xf numFmtId="164" fontId="23" fillId="7" borderId="18" xfId="0" applyNumberFormat="1" applyFont="1" applyFill="1" applyBorder="1" applyAlignment="1">
      <alignment horizontal="center" vertical="center" wrapText="1"/>
    </xf>
    <xf numFmtId="164" fontId="27" fillId="7" borderId="18" xfId="0" applyNumberFormat="1" applyFont="1" applyFill="1" applyBorder="1" applyAlignment="1">
      <alignment horizontal="center" vertical="center" wrapText="1"/>
    </xf>
    <xf numFmtId="164" fontId="23" fillId="7" borderId="19" xfId="0" applyNumberFormat="1" applyFont="1" applyFill="1" applyBorder="1" applyAlignment="1">
      <alignment horizontal="center" vertical="center" wrapText="1"/>
    </xf>
    <xf numFmtId="0" fontId="9" fillId="8" borderId="0" xfId="2" applyFont="1" applyFill="1" applyBorder="1" applyAlignment="1"/>
    <xf numFmtId="165" fontId="9" fillId="8" borderId="0" xfId="2" applyNumberFormat="1" applyFont="1" applyFill="1" applyBorder="1" applyAlignment="1"/>
    <xf numFmtId="0" fontId="30" fillId="8" borderId="0" xfId="2" applyFont="1" applyFill="1" applyBorder="1" applyAlignment="1">
      <alignment horizontal="center" vertical="center" wrapText="1" readingOrder="2"/>
    </xf>
    <xf numFmtId="0" fontId="12" fillId="8" borderId="0" xfId="2" applyFont="1" applyFill="1" applyBorder="1" applyAlignment="1"/>
    <xf numFmtId="164" fontId="31" fillId="9" borderId="4" xfId="0" applyNumberFormat="1" applyFont="1" applyFill="1" applyBorder="1" applyAlignment="1">
      <alignment horizontal="center" vertical="center" wrapText="1"/>
    </xf>
    <xf numFmtId="0" fontId="32" fillId="8" borderId="4" xfId="2" applyFont="1" applyFill="1" applyBorder="1" applyAlignment="1">
      <alignment horizontal="right" vertical="center" readingOrder="2"/>
    </xf>
    <xf numFmtId="0" fontId="33" fillId="8" borderId="4" xfId="2" applyFont="1" applyFill="1" applyBorder="1" applyAlignment="1">
      <alignment horizontal="center" vertical="center" readingOrder="2"/>
    </xf>
    <xf numFmtId="0" fontId="32" fillId="8" borderId="4" xfId="2" applyFont="1" applyFill="1" applyBorder="1" applyAlignment="1">
      <alignment vertical="center" readingOrder="2"/>
    </xf>
    <xf numFmtId="43" fontId="32" fillId="8" borderId="4" xfId="1" applyFont="1" applyFill="1" applyBorder="1" applyAlignment="1">
      <alignment vertical="center" readingOrder="2"/>
    </xf>
    <xf numFmtId="0" fontId="34" fillId="8" borderId="4" xfId="2" applyFont="1" applyFill="1" applyBorder="1" applyAlignment="1">
      <alignment horizontal="right" vertical="center"/>
    </xf>
    <xf numFmtId="0" fontId="35" fillId="8" borderId="4" xfId="2" applyFont="1" applyFill="1" applyBorder="1" applyAlignment="1">
      <alignment horizontal="right" vertical="center" readingOrder="2"/>
    </xf>
    <xf numFmtId="43" fontId="35" fillId="8" borderId="4" xfId="1" applyFont="1" applyFill="1" applyBorder="1" applyAlignment="1">
      <alignment horizontal="right" vertical="center" readingOrder="2"/>
    </xf>
    <xf numFmtId="164" fontId="34" fillId="8" borderId="4" xfId="1" applyNumberFormat="1" applyFont="1" applyFill="1" applyBorder="1" applyAlignment="1">
      <alignment horizontal="right" vertical="center"/>
    </xf>
    <xf numFmtId="43" fontId="36" fillId="10" borderId="4" xfId="1" applyFont="1" applyFill="1" applyBorder="1" applyAlignment="1">
      <alignment horizontal="right" vertical="center"/>
    </xf>
    <xf numFmtId="164" fontId="36" fillId="10" borderId="4" xfId="1" applyNumberFormat="1" applyFont="1" applyFill="1" applyBorder="1" applyAlignment="1">
      <alignment horizontal="right" vertical="center"/>
    </xf>
    <xf numFmtId="164" fontId="32" fillId="8" borderId="4" xfId="1" applyNumberFormat="1" applyFont="1" applyFill="1" applyBorder="1" applyAlignment="1">
      <alignment vertical="center" readingOrder="2"/>
    </xf>
    <xf numFmtId="0" fontId="33" fillId="8" borderId="4" xfId="2" applyFont="1" applyFill="1" applyBorder="1" applyAlignment="1">
      <alignment horizontal="right" vertical="center" readingOrder="2"/>
    </xf>
    <xf numFmtId="164" fontId="34" fillId="8" borderId="4" xfId="1" applyNumberFormat="1" applyFont="1" applyFill="1" applyBorder="1" applyAlignment="1">
      <alignment vertical="center"/>
    </xf>
    <xf numFmtId="43" fontId="34" fillId="8" borderId="4" xfId="1" applyFont="1" applyFill="1" applyBorder="1" applyAlignment="1">
      <alignment vertical="center"/>
    </xf>
    <xf numFmtId="0" fontId="9" fillId="8" borderId="4" xfId="2" applyFont="1" applyFill="1" applyBorder="1" applyAlignment="1">
      <alignment vertical="center"/>
    </xf>
    <xf numFmtId="43" fontId="9" fillId="8" borderId="4" xfId="1" applyFont="1" applyFill="1" applyBorder="1" applyAlignment="1">
      <alignment vertical="center"/>
    </xf>
    <xf numFmtId="164" fontId="9" fillId="8" borderId="4" xfId="1" applyNumberFormat="1" applyFont="1" applyFill="1" applyBorder="1" applyAlignment="1">
      <alignment vertical="center"/>
    </xf>
    <xf numFmtId="0" fontId="33" fillId="8" borderId="0" xfId="2" applyFont="1" applyFill="1" applyBorder="1" applyAlignment="1">
      <alignment horizontal="center" vertical="center" wrapText="1" readingOrder="2"/>
    </xf>
    <xf numFmtId="0" fontId="9" fillId="8" borderId="0" xfId="2" applyFont="1" applyFill="1" applyBorder="1" applyAlignment="1">
      <alignment wrapText="1"/>
    </xf>
    <xf numFmtId="0" fontId="12" fillId="4" borderId="0" xfId="2" applyFont="1" applyFill="1" applyBorder="1" applyAlignment="1"/>
    <xf numFmtId="0" fontId="9" fillId="11" borderId="0" xfId="2" applyFont="1" applyFill="1" applyBorder="1" applyAlignment="1"/>
    <xf numFmtId="0" fontId="24" fillId="0" borderId="0" xfId="0" applyFont="1"/>
    <xf numFmtId="4" fontId="24" fillId="0" borderId="0" xfId="0" applyNumberFormat="1" applyFont="1"/>
    <xf numFmtId="164" fontId="23" fillId="2" borderId="42" xfId="0" applyNumberFormat="1" applyFont="1" applyFill="1" applyBorder="1" applyAlignment="1">
      <alignment horizontal="center" vertical="center" wrapText="1"/>
    </xf>
    <xf numFmtId="4" fontId="39" fillId="0" borderId="0" xfId="0" applyNumberFormat="1" applyFont="1"/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3" fontId="24" fillId="0" borderId="0" xfId="0" applyNumberFormat="1" applyFont="1"/>
    <xf numFmtId="164" fontId="24" fillId="0" borderId="4" xfId="1" applyNumberFormat="1" applyFont="1" applyBorder="1" applyAlignment="1">
      <alignment wrapText="1"/>
    </xf>
    <xf numFmtId="164" fontId="41" fillId="0" borderId="41" xfId="0" applyNumberFormat="1" applyFont="1" applyFill="1" applyBorder="1" applyAlignment="1">
      <alignment horizontal="center" wrapText="1"/>
    </xf>
    <xf numFmtId="164" fontId="23" fillId="2" borderId="3" xfId="0" applyNumberFormat="1" applyFont="1" applyFill="1" applyBorder="1" applyAlignment="1">
      <alignment horizontal="center" vertical="center" wrapText="1"/>
    </xf>
    <xf numFmtId="164" fontId="23" fillId="6" borderId="45" xfId="1" applyNumberFormat="1" applyFont="1" applyFill="1" applyBorder="1"/>
    <xf numFmtId="0" fontId="24" fillId="0" borderId="4" xfId="0" applyNumberFormat="1" applyFont="1" applyFill="1" applyBorder="1" applyAlignment="1">
      <alignment horizontal="right"/>
    </xf>
    <xf numFmtId="0" fontId="24" fillId="0" borderId="4" xfId="0" applyFont="1" applyFill="1" applyBorder="1"/>
    <xf numFmtId="164" fontId="24" fillId="0" borderId="4" xfId="1" applyNumberFormat="1" applyFont="1" applyFill="1" applyBorder="1"/>
    <xf numFmtId="43" fontId="24" fillId="0" borderId="4" xfId="1" applyFont="1" applyFill="1" applyBorder="1"/>
    <xf numFmtId="0" fontId="0" fillId="0" borderId="0" xfId="0" applyFill="1"/>
    <xf numFmtId="164" fontId="39" fillId="0" borderId="4" xfId="1" applyNumberFormat="1" applyFont="1" applyFill="1" applyBorder="1"/>
    <xf numFmtId="164" fontId="31" fillId="9" borderId="4" xfId="0" applyNumberFormat="1" applyFont="1" applyFill="1" applyBorder="1" applyAlignment="1">
      <alignment horizontal="center" vertical="center" wrapText="1"/>
    </xf>
    <xf numFmtId="164" fontId="23" fillId="3" borderId="47" xfId="1" applyNumberFormat="1" applyFont="1" applyFill="1" applyBorder="1"/>
    <xf numFmtId="0" fontId="43" fillId="0" borderId="0" xfId="0" applyFont="1"/>
    <xf numFmtId="0" fontId="42" fillId="0" borderId="0" xfId="0" applyFont="1"/>
    <xf numFmtId="4" fontId="42" fillId="0" borderId="0" xfId="0" applyNumberFormat="1" applyFont="1"/>
    <xf numFmtId="3" fontId="42" fillId="0" borderId="0" xfId="0" applyNumberFormat="1" applyFont="1"/>
    <xf numFmtId="0" fontId="5" fillId="13" borderId="0" xfId="0" applyFont="1" applyFill="1"/>
    <xf numFmtId="9" fontId="5" fillId="0" borderId="0" xfId="3" applyFont="1"/>
    <xf numFmtId="9" fontId="5" fillId="0" borderId="4" xfId="3" applyFont="1" applyBorder="1"/>
    <xf numFmtId="0" fontId="5" fillId="0" borderId="4" xfId="0" applyFont="1" applyBorder="1"/>
    <xf numFmtId="164" fontId="5" fillId="0" borderId="0" xfId="0" applyNumberFormat="1" applyFont="1"/>
    <xf numFmtId="0" fontId="44" fillId="0" borderId="0" xfId="0" applyFont="1"/>
    <xf numFmtId="17" fontId="5" fillId="0" borderId="4" xfId="0" applyNumberFormat="1" applyFont="1" applyBorder="1"/>
    <xf numFmtId="43" fontId="5" fillId="0" borderId="4" xfId="0" applyNumberFormat="1" applyFont="1" applyBorder="1"/>
    <xf numFmtId="0" fontId="45" fillId="4" borderId="0" xfId="0" applyFont="1" applyFill="1"/>
    <xf numFmtId="0" fontId="46" fillId="4" borderId="14" xfId="0" applyFont="1" applyFill="1" applyBorder="1" applyAlignment="1">
      <alignment horizontal="right" vertical="center"/>
    </xf>
    <xf numFmtId="164" fontId="46" fillId="4" borderId="6" xfId="1" applyNumberFormat="1" applyFont="1" applyFill="1" applyBorder="1" applyAlignment="1">
      <alignment horizontal="center" vertical="center"/>
    </xf>
    <xf numFmtId="164" fontId="46" fillId="4" borderId="7" xfId="1" applyNumberFormat="1" applyFont="1" applyFill="1" applyBorder="1" applyAlignment="1">
      <alignment horizontal="center" vertical="center"/>
    </xf>
    <xf numFmtId="164" fontId="45" fillId="0" borderId="0" xfId="0" applyNumberFormat="1" applyFont="1"/>
    <xf numFmtId="0" fontId="45" fillId="0" borderId="0" xfId="0" applyFont="1"/>
    <xf numFmtId="0" fontId="46" fillId="4" borderId="15" xfId="0" applyFont="1" applyFill="1" applyBorder="1" applyAlignment="1">
      <alignment horizontal="right" vertical="center"/>
    </xf>
    <xf numFmtId="164" fontId="46" fillId="4" borderId="9" xfId="1" applyNumberFormat="1" applyFont="1" applyFill="1" applyBorder="1" applyAlignment="1">
      <alignment horizontal="center" vertical="center"/>
    </xf>
    <xf numFmtId="164" fontId="46" fillId="4" borderId="4" xfId="1" applyNumberFormat="1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right" vertical="center"/>
    </xf>
    <xf numFmtId="164" fontId="45" fillId="4" borderId="0" xfId="0" applyNumberFormat="1" applyFont="1" applyFill="1"/>
    <xf numFmtId="43" fontId="45" fillId="0" borderId="0" xfId="0" applyNumberFormat="1" applyFont="1"/>
    <xf numFmtId="164" fontId="7" fillId="2" borderId="42" xfId="0" applyNumberFormat="1" applyFont="1" applyFill="1" applyBorder="1" applyAlignment="1">
      <alignment horizontal="center" vertical="center" wrapText="1"/>
    </xf>
    <xf numFmtId="0" fontId="47" fillId="0" borderId="0" xfId="0" applyFont="1"/>
    <xf numFmtId="164" fontId="41" fillId="0" borderId="43" xfId="0" applyNumberFormat="1" applyFont="1" applyFill="1" applyBorder="1" applyAlignment="1">
      <alignment horizontal="center" wrapText="1"/>
    </xf>
    <xf numFmtId="164" fontId="41" fillId="0" borderId="0" xfId="0" applyNumberFormat="1" applyFont="1" applyFill="1" applyBorder="1" applyAlignment="1">
      <alignment horizontal="center" wrapText="1"/>
    </xf>
    <xf numFmtId="0" fontId="47" fillId="0" borderId="0" xfId="0" applyFont="1" applyFill="1"/>
    <xf numFmtId="43" fontId="47" fillId="0" borderId="0" xfId="0" applyNumberFormat="1" applyFont="1"/>
    <xf numFmtId="164" fontId="41" fillId="3" borderId="0" xfId="0" applyNumberFormat="1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right"/>
    </xf>
    <xf numFmtId="0" fontId="0" fillId="3" borderId="0" xfId="0" applyFill="1"/>
    <xf numFmtId="3" fontId="49" fillId="0" borderId="0" xfId="0" applyNumberFormat="1" applyFont="1"/>
    <xf numFmtId="3" fontId="50" fillId="15" borderId="0" xfId="0" applyNumberFormat="1" applyFont="1" applyFill="1"/>
    <xf numFmtId="3" fontId="51" fillId="0" borderId="6" xfId="0" applyNumberFormat="1" applyFont="1" applyBorder="1" applyAlignment="1">
      <alignment horizontal="right" wrapText="1"/>
    </xf>
    <xf numFmtId="3" fontId="51" fillId="0" borderId="7" xfId="0" applyNumberFormat="1" applyFont="1" applyBorder="1" applyAlignment="1">
      <alignment horizontal="right" wrapText="1"/>
    </xf>
    <xf numFmtId="3" fontId="49" fillId="0" borderId="9" xfId="0" applyNumberFormat="1" applyFont="1" applyBorder="1"/>
    <xf numFmtId="3" fontId="49" fillId="0" borderId="4" xfId="0" applyNumberFormat="1" applyFont="1" applyBorder="1"/>
    <xf numFmtId="3" fontId="49" fillId="0" borderId="37" xfId="0" applyNumberFormat="1" applyFont="1" applyBorder="1"/>
    <xf numFmtId="3" fontId="49" fillId="0" borderId="28" xfId="0" applyNumberFormat="1" applyFont="1" applyBorder="1"/>
    <xf numFmtId="3" fontId="52" fillId="0" borderId="25" xfId="0" applyNumberFormat="1" applyFont="1" applyBorder="1"/>
    <xf numFmtId="3" fontId="51" fillId="0" borderId="26" xfId="0" applyNumberFormat="1" applyFont="1" applyBorder="1"/>
    <xf numFmtId="43" fontId="0" fillId="0" borderId="0" xfId="1" applyFont="1"/>
    <xf numFmtId="164" fontId="0" fillId="0" borderId="0" xfId="1" applyNumberFormat="1" applyFont="1"/>
    <xf numFmtId="0" fontId="24" fillId="3" borderId="9" xfId="0" applyFont="1" applyFill="1" applyBorder="1"/>
    <xf numFmtId="0" fontId="24" fillId="3" borderId="4" xfId="0" applyFont="1" applyFill="1" applyBorder="1"/>
    <xf numFmtId="17" fontId="0" fillId="0" borderId="0" xfId="0" applyNumberFormat="1"/>
    <xf numFmtId="43" fontId="0" fillId="0" borderId="0" xfId="0" applyNumberFormat="1"/>
    <xf numFmtId="164" fontId="54" fillId="3" borderId="19" xfId="1" applyNumberFormat="1" applyFont="1" applyFill="1" applyBorder="1"/>
    <xf numFmtId="9" fontId="45" fillId="0" borderId="4" xfId="3" applyFont="1" applyBorder="1"/>
    <xf numFmtId="0" fontId="45" fillId="3" borderId="0" xfId="0" applyFont="1" applyFill="1"/>
    <xf numFmtId="164" fontId="5" fillId="3" borderId="0" xfId="1" applyNumberFormat="1" applyFont="1" applyFill="1"/>
    <xf numFmtId="0" fontId="5" fillId="16" borderId="0" xfId="0" applyFont="1" applyFill="1"/>
    <xf numFmtId="164" fontId="45" fillId="0" borderId="4" xfId="0" applyNumberFormat="1" applyFont="1" applyBorder="1"/>
    <xf numFmtId="164" fontId="55" fillId="0" borderId="0" xfId="0" applyNumberFormat="1" applyFont="1"/>
    <xf numFmtId="164" fontId="56" fillId="0" borderId="0" xfId="0" applyNumberFormat="1" applyFont="1"/>
    <xf numFmtId="0" fontId="57" fillId="0" borderId="0" xfId="0" applyFont="1"/>
    <xf numFmtId="0" fontId="58" fillId="0" borderId="0" xfId="0" applyFont="1"/>
    <xf numFmtId="43" fontId="58" fillId="0" borderId="0" xfId="1" applyFont="1"/>
    <xf numFmtId="0" fontId="60" fillId="0" borderId="4" xfId="0" applyFont="1" applyBorder="1"/>
    <xf numFmtId="164" fontId="60" fillId="0" borderId="4" xfId="1" applyNumberFormat="1" applyFont="1" applyBorder="1"/>
    <xf numFmtId="164" fontId="60" fillId="0" borderId="4" xfId="1" applyNumberFormat="1" applyFont="1" applyBorder="1" applyAlignment="1">
      <alignment wrapText="1"/>
    </xf>
    <xf numFmtId="164" fontId="60" fillId="3" borderId="4" xfId="1" applyNumberFormat="1" applyFont="1" applyFill="1" applyBorder="1" applyAlignment="1">
      <alignment wrapText="1"/>
    </xf>
    <xf numFmtId="0" fontId="0" fillId="0" borderId="4" xfId="0" applyBorder="1"/>
    <xf numFmtId="0" fontId="0" fillId="0" borderId="4" xfId="0" applyFill="1" applyBorder="1"/>
    <xf numFmtId="43" fontId="0" fillId="3" borderId="4" xfId="0" applyNumberFormat="1" applyFill="1" applyBorder="1"/>
    <xf numFmtId="43" fontId="0" fillId="0" borderId="4" xfId="0" applyNumberFormat="1" applyFill="1" applyBorder="1"/>
    <xf numFmtId="0" fontId="0" fillId="17" borderId="4" xfId="0" applyFill="1" applyBorder="1"/>
    <xf numFmtId="0" fontId="61" fillId="0" borderId="4" xfId="0" applyFont="1" applyBorder="1"/>
    <xf numFmtId="164" fontId="61" fillId="0" borderId="4" xfId="1" applyNumberFormat="1" applyFont="1" applyBorder="1"/>
    <xf numFmtId="43" fontId="61" fillId="0" borderId="4" xfId="1" applyNumberFormat="1" applyFont="1" applyBorder="1"/>
    <xf numFmtId="43" fontId="61" fillId="0" borderId="4" xfId="1" applyFont="1" applyBorder="1"/>
    <xf numFmtId="43" fontId="61" fillId="0" borderId="4" xfId="1" applyFont="1" applyFill="1" applyBorder="1"/>
    <xf numFmtId="43" fontId="61" fillId="3" borderId="4" xfId="0" applyNumberFormat="1" applyFont="1" applyFill="1" applyBorder="1"/>
    <xf numFmtId="0" fontId="0" fillId="18" borderId="4" xfId="0" applyFill="1" applyBorder="1"/>
    <xf numFmtId="43" fontId="0" fillId="18" borderId="4" xfId="0" applyNumberFormat="1" applyFill="1" applyBorder="1"/>
    <xf numFmtId="0" fontId="0" fillId="19" borderId="4" xfId="0" applyFill="1" applyBorder="1"/>
    <xf numFmtId="43" fontId="0" fillId="19" borderId="4" xfId="0" applyNumberFormat="1" applyFill="1" applyBorder="1"/>
    <xf numFmtId="0" fontId="0" fillId="13" borderId="4" xfId="0" applyFill="1" applyBorder="1"/>
    <xf numFmtId="43" fontId="0" fillId="13" borderId="4" xfId="0" applyNumberFormat="1" applyFill="1" applyBorder="1"/>
    <xf numFmtId="0" fontId="59" fillId="0" borderId="4" xfId="0" applyFont="1" applyFill="1" applyBorder="1"/>
    <xf numFmtId="43" fontId="59" fillId="0" borderId="4" xfId="1" applyFont="1" applyFill="1" applyBorder="1"/>
    <xf numFmtId="43" fontId="59" fillId="3" borderId="4" xfId="1" applyFont="1" applyFill="1" applyBorder="1"/>
    <xf numFmtId="0" fontId="0" fillId="20" borderId="4" xfId="0" applyFill="1" applyBorder="1"/>
    <xf numFmtId="43" fontId="0" fillId="20" borderId="4" xfId="0" applyNumberFormat="1" applyFill="1" applyBorder="1"/>
    <xf numFmtId="17" fontId="0" fillId="13" borderId="4" xfId="0" applyNumberFormat="1" applyFill="1" applyBorder="1"/>
    <xf numFmtId="43" fontId="0" fillId="0" borderId="4" xfId="0" applyNumberFormat="1" applyBorder="1"/>
    <xf numFmtId="43" fontId="61" fillId="13" borderId="4" xfId="1" applyFont="1" applyFill="1" applyBorder="1"/>
    <xf numFmtId="43" fontId="61" fillId="0" borderId="4" xfId="0" applyNumberFormat="1" applyFont="1" applyBorder="1"/>
    <xf numFmtId="0" fontId="0" fillId="3" borderId="4" xfId="0" applyFill="1" applyBorder="1"/>
    <xf numFmtId="164" fontId="23" fillId="2" borderId="48" xfId="0" applyNumberFormat="1" applyFont="1" applyFill="1" applyBorder="1" applyAlignment="1">
      <alignment horizontal="center" vertical="center" wrapText="1"/>
    </xf>
    <xf numFmtId="164" fontId="23" fillId="2" borderId="49" xfId="0" applyNumberFormat="1" applyFont="1" applyFill="1" applyBorder="1" applyAlignment="1">
      <alignment horizontal="center" vertical="center" wrapText="1"/>
    </xf>
    <xf numFmtId="164" fontId="62" fillId="2" borderId="48" xfId="0" applyNumberFormat="1" applyFont="1" applyFill="1" applyBorder="1" applyAlignment="1">
      <alignment horizontal="center" vertical="center" wrapText="1"/>
    </xf>
    <xf numFmtId="43" fontId="24" fillId="0" borderId="4" xfId="1" applyNumberFormat="1" applyFont="1" applyFill="1" applyBorder="1"/>
    <xf numFmtId="9" fontId="24" fillId="3" borderId="4" xfId="3" applyFont="1" applyFill="1" applyBorder="1"/>
    <xf numFmtId="0" fontId="47" fillId="0" borderId="4" xfId="0" applyFont="1" applyFill="1" applyBorder="1"/>
    <xf numFmtId="0" fontId="0" fillId="14" borderId="4" xfId="0" applyFill="1" applyBorder="1"/>
    <xf numFmtId="3" fontId="24" fillId="0" borderId="4" xfId="0" applyNumberFormat="1" applyFont="1" applyFill="1" applyBorder="1"/>
    <xf numFmtId="3" fontId="39" fillId="0" borderId="4" xfId="0" applyNumberFormat="1" applyFont="1" applyFill="1" applyBorder="1"/>
    <xf numFmtId="0" fontId="63" fillId="0" borderId="4" xfId="0" applyFont="1" applyFill="1" applyBorder="1"/>
    <xf numFmtId="9" fontId="24" fillId="0" borderId="4" xfId="3" applyFont="1" applyFill="1" applyBorder="1"/>
    <xf numFmtId="9" fontId="42" fillId="3" borderId="4" xfId="3" applyFont="1" applyFill="1" applyBorder="1"/>
    <xf numFmtId="0" fontId="40" fillId="0" borderId="0" xfId="0" applyFont="1" applyFill="1"/>
    <xf numFmtId="0" fontId="64" fillId="0" borderId="0" xfId="0" applyFont="1" applyFill="1" applyBorder="1"/>
    <xf numFmtId="164" fontId="65" fillId="0" borderId="0" xfId="0" applyNumberFormat="1" applyFont="1"/>
    <xf numFmtId="164" fontId="66" fillId="0" borderId="0" xfId="0" applyNumberFormat="1" applyFont="1"/>
    <xf numFmtId="3" fontId="24" fillId="4" borderId="4" xfId="0" applyNumberFormat="1" applyFont="1" applyFill="1" applyBorder="1"/>
    <xf numFmtId="0" fontId="5" fillId="0" borderId="0" xfId="0" applyFont="1" applyAlignment="1">
      <alignment horizontal="right"/>
    </xf>
    <xf numFmtId="164" fontId="45" fillId="14" borderId="0" xfId="0" applyNumberFormat="1" applyFont="1" applyFill="1"/>
    <xf numFmtId="164" fontId="45" fillId="12" borderId="0" xfId="0" applyNumberFormat="1" applyFont="1" applyFill="1"/>
    <xf numFmtId="0" fontId="0" fillId="0" borderId="0" xfId="0" applyFont="1"/>
    <xf numFmtId="164" fontId="67" fillId="0" borderId="41" xfId="0" applyNumberFormat="1" applyFont="1" applyFill="1" applyBorder="1" applyAlignment="1">
      <alignment horizontal="center" wrapText="1"/>
    </xf>
    <xf numFmtId="164" fontId="0" fillId="0" borderId="0" xfId="0" applyNumberFormat="1" applyFont="1"/>
    <xf numFmtId="3" fontId="24" fillId="0" borderId="4" xfId="0" applyNumberFormat="1" applyFont="1" applyBorder="1"/>
    <xf numFmtId="0" fontId="0" fillId="0" borderId="0" xfId="0" applyFont="1" applyFill="1"/>
    <xf numFmtId="164" fontId="20" fillId="3" borderId="19" xfId="1" applyNumberFormat="1" applyFont="1" applyFill="1" applyBorder="1" applyAlignment="1">
      <alignment horizontal="center" vertical="center"/>
    </xf>
    <xf numFmtId="164" fontId="46" fillId="4" borderId="37" xfId="1" applyNumberFormat="1" applyFont="1" applyFill="1" applyBorder="1" applyAlignment="1">
      <alignment horizontal="center" vertical="center"/>
    </xf>
    <xf numFmtId="164" fontId="46" fillId="4" borderId="28" xfId="1" applyNumberFormat="1" applyFont="1" applyFill="1" applyBorder="1" applyAlignment="1">
      <alignment horizontal="center" vertical="center"/>
    </xf>
    <xf numFmtId="164" fontId="20" fillId="3" borderId="40" xfId="1" applyNumberFormat="1" applyFont="1" applyFill="1" applyBorder="1"/>
    <xf numFmtId="164" fontId="54" fillId="3" borderId="40" xfId="1" applyNumberFormat="1" applyFont="1" applyFill="1" applyBorder="1"/>
    <xf numFmtId="164" fontId="20" fillId="3" borderId="19" xfId="1" applyNumberFormat="1" applyFont="1" applyFill="1" applyBorder="1"/>
    <xf numFmtId="164" fontId="46" fillId="4" borderId="10" xfId="1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 wrapText="1"/>
    </xf>
    <xf numFmtId="164" fontId="53" fillId="2" borderId="1" xfId="0" applyNumberFormat="1" applyFont="1" applyFill="1" applyBorder="1" applyAlignment="1">
      <alignment horizontal="center" vertical="center" wrapText="1"/>
    </xf>
    <xf numFmtId="164" fontId="46" fillId="4" borderId="8" xfId="1" applyNumberFormat="1" applyFont="1" applyFill="1" applyBorder="1" applyAlignment="1">
      <alignment horizontal="center" vertical="center"/>
    </xf>
    <xf numFmtId="164" fontId="46" fillId="4" borderId="38" xfId="1" applyNumberFormat="1" applyFont="1" applyFill="1" applyBorder="1" applyAlignment="1">
      <alignment horizontal="center" vertical="center"/>
    </xf>
    <xf numFmtId="0" fontId="19" fillId="4" borderId="23" xfId="0" applyFont="1" applyFill="1" applyBorder="1"/>
    <xf numFmtId="0" fontId="46" fillId="4" borderId="0" xfId="0" applyFont="1" applyFill="1" applyBorder="1"/>
    <xf numFmtId="0" fontId="19" fillId="4" borderId="22" xfId="0" applyFont="1" applyFill="1" applyBorder="1"/>
    <xf numFmtId="43" fontId="68" fillId="2" borderId="50" xfId="1" applyFont="1" applyFill="1" applyBorder="1"/>
    <xf numFmtId="43" fontId="68" fillId="2" borderId="50" xfId="0" applyNumberFormat="1" applyFont="1" applyFill="1" applyBorder="1"/>
    <xf numFmtId="43" fontId="68" fillId="2" borderId="50" xfId="1" applyNumberFormat="1" applyFont="1" applyFill="1" applyBorder="1"/>
    <xf numFmtId="0" fontId="19" fillId="0" borderId="4" xfId="0" applyFont="1" applyBorder="1"/>
    <xf numFmtId="164" fontId="19" fillId="0" borderId="4" xfId="1" applyNumberFormat="1" applyFont="1" applyBorder="1"/>
    <xf numFmtId="43" fontId="19" fillId="0" borderId="4" xfId="1" applyFont="1" applyBorder="1"/>
    <xf numFmtId="164" fontId="69" fillId="2" borderId="1" xfId="0" applyNumberFormat="1" applyFont="1" applyFill="1" applyBorder="1" applyAlignment="1">
      <alignment horizontal="center" vertical="center" wrapText="1"/>
    </xf>
    <xf numFmtId="164" fontId="69" fillId="2" borderId="26" xfId="0" applyNumberFormat="1" applyFont="1" applyFill="1" applyBorder="1" applyAlignment="1">
      <alignment horizontal="center" vertical="center" wrapText="1"/>
    </xf>
    <xf numFmtId="0" fontId="5" fillId="0" borderId="9" xfId="0" applyFont="1" applyBorder="1"/>
    <xf numFmtId="164" fontId="5" fillId="0" borderId="4" xfId="1" applyNumberFormat="1" applyFont="1" applyBorder="1"/>
    <xf numFmtId="3" fontId="5" fillId="0" borderId="0" xfId="0" applyNumberFormat="1" applyFont="1"/>
    <xf numFmtId="43" fontId="5" fillId="0" borderId="7" xfId="1" applyNumberFormat="1" applyFont="1" applyBorder="1"/>
    <xf numFmtId="0" fontId="5" fillId="14" borderId="4" xfId="0" applyFont="1" applyFill="1" applyBorder="1"/>
    <xf numFmtId="164" fontId="5" fillId="14" borderId="4" xfId="1" applyNumberFormat="1" applyFont="1" applyFill="1" applyBorder="1"/>
    <xf numFmtId="3" fontId="5" fillId="14" borderId="0" xfId="0" applyNumberFormat="1" applyFont="1" applyFill="1"/>
    <xf numFmtId="0" fontId="70" fillId="0" borderId="0" xfId="0" applyFont="1"/>
    <xf numFmtId="164" fontId="0" fillId="0" borderId="0" xfId="0" applyNumberFormat="1"/>
    <xf numFmtId="164" fontId="20" fillId="2" borderId="48" xfId="0" applyNumberFormat="1" applyFont="1" applyFill="1" applyBorder="1" applyAlignment="1">
      <alignment horizontal="center" vertical="center" wrapText="1"/>
    </xf>
    <xf numFmtId="164" fontId="20" fillId="2" borderId="49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Border="1"/>
    <xf numFmtId="4" fontId="0" fillId="0" borderId="0" xfId="0" applyNumberFormat="1"/>
    <xf numFmtId="9" fontId="0" fillId="0" borderId="0" xfId="3" applyFont="1"/>
    <xf numFmtId="43" fontId="24" fillId="0" borderId="28" xfId="1" applyFont="1" applyFill="1" applyBorder="1"/>
    <xf numFmtId="164" fontId="24" fillId="0" borderId="28" xfId="1" applyNumberFormat="1" applyFont="1" applyFill="1" applyBorder="1"/>
    <xf numFmtId="164" fontId="42" fillId="0" borderId="4" xfId="1" applyNumberFormat="1" applyFont="1" applyFill="1" applyBorder="1"/>
    <xf numFmtId="164" fontId="46" fillId="0" borderId="10" xfId="1" applyNumberFormat="1" applyFont="1" applyFill="1" applyBorder="1" applyAlignment="1">
      <alignment horizontal="center" vertical="center"/>
    </xf>
    <xf numFmtId="43" fontId="60" fillId="0" borderId="4" xfId="1" applyFont="1" applyBorder="1"/>
    <xf numFmtId="43" fontId="2" fillId="0" borderId="4" xfId="1" applyFont="1" applyFill="1" applyBorder="1"/>
    <xf numFmtId="164" fontId="2" fillId="0" borderId="4" xfId="1" applyNumberFormat="1" applyFont="1" applyFill="1" applyBorder="1"/>
    <xf numFmtId="43" fontId="2" fillId="0" borderId="4" xfId="1" applyNumberFormat="1" applyFont="1" applyFill="1" applyBorder="1"/>
    <xf numFmtId="43" fontId="2" fillId="17" borderId="4" xfId="1" applyFont="1" applyFill="1" applyBorder="1"/>
    <xf numFmtId="43" fontId="2" fillId="3" borderId="4" xfId="1" applyNumberFormat="1" applyFont="1" applyFill="1" applyBorder="1"/>
    <xf numFmtId="43" fontId="2" fillId="0" borderId="4" xfId="1" applyFont="1" applyBorder="1"/>
    <xf numFmtId="164" fontId="2" fillId="0" borderId="4" xfId="1" applyNumberFormat="1" applyFont="1" applyBorder="1"/>
    <xf numFmtId="43" fontId="2" fillId="0" borderId="4" xfId="1" applyNumberFormat="1" applyFont="1" applyBorder="1"/>
    <xf numFmtId="0" fontId="71" fillId="19" borderId="4" xfId="0" applyFont="1" applyFill="1" applyBorder="1"/>
    <xf numFmtId="43" fontId="71" fillId="19" borderId="4" xfId="1" applyFont="1" applyFill="1" applyBorder="1"/>
    <xf numFmtId="164" fontId="71" fillId="19" borderId="4" xfId="1" applyNumberFormat="1" applyFont="1" applyFill="1" applyBorder="1"/>
    <xf numFmtId="43" fontId="71" fillId="19" borderId="4" xfId="1" applyNumberFormat="1" applyFont="1" applyFill="1" applyBorder="1"/>
    <xf numFmtId="43" fontId="71" fillId="19" borderId="4" xfId="0" applyNumberFormat="1" applyFont="1" applyFill="1" applyBorder="1"/>
    <xf numFmtId="43" fontId="2" fillId="18" borderId="4" xfId="1" applyFont="1" applyFill="1" applyBorder="1"/>
    <xf numFmtId="164" fontId="2" fillId="18" borderId="4" xfId="1" applyNumberFormat="1" applyFont="1" applyFill="1" applyBorder="1"/>
    <xf numFmtId="43" fontId="2" fillId="18" borderId="4" xfId="1" applyNumberFormat="1" applyFont="1" applyFill="1" applyBorder="1"/>
    <xf numFmtId="43" fontId="2" fillId="3" borderId="4" xfId="1" applyFont="1" applyFill="1" applyBorder="1"/>
    <xf numFmtId="43" fontId="2" fillId="19" borderId="4" xfId="1" applyFont="1" applyFill="1" applyBorder="1"/>
    <xf numFmtId="164" fontId="2" fillId="19" borderId="4" xfId="1" applyNumberFormat="1" applyFont="1" applyFill="1" applyBorder="1"/>
    <xf numFmtId="43" fontId="2" fillId="19" borderId="4" xfId="1" applyNumberFormat="1" applyFont="1" applyFill="1" applyBorder="1"/>
    <xf numFmtId="43" fontId="2" fillId="13" borderId="4" xfId="1" applyFont="1" applyFill="1" applyBorder="1"/>
    <xf numFmtId="164" fontId="2" fillId="13" borderId="4" xfId="1" applyNumberFormat="1" applyFont="1" applyFill="1" applyBorder="1"/>
    <xf numFmtId="43" fontId="2" fillId="13" borderId="4" xfId="1" applyNumberFormat="1" applyFont="1" applyFill="1" applyBorder="1"/>
    <xf numFmtId="43" fontId="2" fillId="20" borderId="4" xfId="1" applyFont="1" applyFill="1" applyBorder="1"/>
    <xf numFmtId="164" fontId="2" fillId="20" borderId="4" xfId="1" applyNumberFormat="1" applyFont="1" applyFill="1" applyBorder="1"/>
    <xf numFmtId="43" fontId="2" fillId="20" borderId="4" xfId="1" applyNumberFormat="1" applyFont="1" applyFill="1" applyBorder="1"/>
    <xf numFmtId="43" fontId="2" fillId="0" borderId="0" xfId="1" applyFont="1"/>
    <xf numFmtId="3" fontId="0" fillId="0" borderId="4" xfId="0" applyNumberFormat="1" applyBorder="1"/>
    <xf numFmtId="4" fontId="0" fillId="0" borderId="4" xfId="0" applyNumberFormat="1" applyBorder="1"/>
    <xf numFmtId="0" fontId="39" fillId="0" borderId="4" xfId="0" applyFont="1" applyFill="1" applyBorder="1"/>
    <xf numFmtId="164" fontId="62" fillId="2" borderId="42" xfId="0" applyNumberFormat="1" applyFont="1" applyFill="1" applyBorder="1" applyAlignment="1">
      <alignment horizontal="center" vertical="center" wrapText="1"/>
    </xf>
    <xf numFmtId="164" fontId="23" fillId="7" borderId="18" xfId="1" applyNumberFormat="1" applyFont="1" applyFill="1" applyBorder="1" applyAlignment="1">
      <alignment horizontal="center" vertical="center" wrapText="1"/>
    </xf>
    <xf numFmtId="164" fontId="23" fillId="2" borderId="18" xfId="1" applyNumberFormat="1" applyFont="1" applyFill="1" applyBorder="1" applyAlignment="1">
      <alignment horizontal="center" vertical="center" wrapText="1"/>
    </xf>
    <xf numFmtId="164" fontId="23" fillId="2" borderId="3" xfId="1" applyNumberFormat="1" applyFont="1" applyFill="1" applyBorder="1" applyAlignment="1">
      <alignment horizontal="center" vertical="center" wrapText="1"/>
    </xf>
    <xf numFmtId="43" fontId="24" fillId="3" borderId="46" xfId="1" applyFont="1" applyFill="1" applyBorder="1"/>
    <xf numFmtId="0" fontId="46" fillId="4" borderId="51" xfId="0" applyFont="1" applyFill="1" applyBorder="1" applyAlignment="1">
      <alignment horizontal="right" vertical="center"/>
    </xf>
    <xf numFmtId="164" fontId="46" fillId="4" borderId="35" xfId="1" applyNumberFormat="1" applyFont="1" applyFill="1" applyBorder="1" applyAlignment="1">
      <alignment horizontal="center" vertical="center"/>
    </xf>
    <xf numFmtId="164" fontId="46" fillId="4" borderId="29" xfId="1" applyNumberFormat="1" applyFont="1" applyFill="1" applyBorder="1" applyAlignment="1">
      <alignment horizontal="center" vertical="center"/>
    </xf>
    <xf numFmtId="164" fontId="46" fillId="4" borderId="36" xfId="1" applyNumberFormat="1" applyFont="1" applyFill="1" applyBorder="1" applyAlignment="1">
      <alignment horizontal="center" vertical="center"/>
    </xf>
    <xf numFmtId="164" fontId="20" fillId="3" borderId="25" xfId="1" applyNumberFormat="1" applyFont="1" applyFill="1" applyBorder="1" applyAlignment="1">
      <alignment horizontal="center" vertical="center"/>
    </xf>
    <xf numFmtId="164" fontId="20" fillId="3" borderId="40" xfId="1" applyNumberFormat="1" applyFont="1" applyFill="1" applyBorder="1" applyAlignment="1">
      <alignment horizontal="center" vertical="center"/>
    </xf>
    <xf numFmtId="164" fontId="54" fillId="3" borderId="40" xfId="1" applyNumberFormat="1" applyFont="1" applyFill="1" applyBorder="1" applyAlignment="1">
      <alignment horizontal="center" vertical="center"/>
    </xf>
    <xf numFmtId="164" fontId="54" fillId="3" borderId="19" xfId="1" applyNumberFormat="1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center" wrapText="1"/>
    </xf>
    <xf numFmtId="164" fontId="23" fillId="2" borderId="0" xfId="1" applyNumberFormat="1" applyFont="1" applyFill="1" applyBorder="1" applyAlignment="1">
      <alignment horizontal="center" vertical="center" wrapText="1"/>
    </xf>
    <xf numFmtId="0" fontId="23" fillId="6" borderId="33" xfId="0" applyNumberFormat="1" applyFont="1" applyFill="1" applyBorder="1" applyAlignment="1">
      <alignment horizontal="right"/>
    </xf>
    <xf numFmtId="0" fontId="23" fillId="6" borderId="33" xfId="0" applyFont="1" applyFill="1" applyBorder="1"/>
    <xf numFmtId="4" fontId="24" fillId="0" borderId="4" xfId="0" applyNumberFormat="1" applyFont="1" applyBorder="1"/>
    <xf numFmtId="164" fontId="23" fillId="2" borderId="24" xfId="0" applyNumberFormat="1" applyFont="1" applyFill="1" applyBorder="1" applyAlignment="1">
      <alignment horizontal="center" vertical="center" wrapText="1"/>
    </xf>
    <xf numFmtId="0" fontId="24" fillId="0" borderId="28" xfId="0" applyNumberFormat="1" applyFont="1" applyFill="1" applyBorder="1" applyAlignment="1">
      <alignment horizontal="right"/>
    </xf>
    <xf numFmtId="0" fontId="24" fillId="0" borderId="28" xfId="0" applyFont="1" applyFill="1" applyBorder="1"/>
    <xf numFmtId="43" fontId="24" fillId="0" borderId="38" xfId="1" applyFont="1" applyFill="1" applyBorder="1"/>
    <xf numFmtId="164" fontId="41" fillId="3" borderId="52" xfId="0" applyNumberFormat="1" applyFont="1" applyFill="1" applyBorder="1" applyAlignment="1">
      <alignment horizontal="center" wrapText="1"/>
    </xf>
    <xf numFmtId="164" fontId="41" fillId="0" borderId="52" xfId="0" applyNumberFormat="1" applyFont="1" applyFill="1" applyBorder="1" applyAlignment="1">
      <alignment horizontal="center" wrapText="1"/>
    </xf>
    <xf numFmtId="164" fontId="24" fillId="0" borderId="52" xfId="0" applyNumberFormat="1" applyFont="1" applyFill="1" applyBorder="1" applyAlignment="1">
      <alignment horizontal="center" wrapText="1"/>
    </xf>
    <xf numFmtId="164" fontId="48" fillId="0" borderId="52" xfId="0" applyNumberFormat="1" applyFont="1" applyFill="1" applyBorder="1" applyAlignment="1">
      <alignment horizontal="center" wrapText="1"/>
    </xf>
    <xf numFmtId="164" fontId="41" fillId="0" borderId="53" xfId="1" applyNumberFormat="1" applyFont="1" applyBorder="1"/>
    <xf numFmtId="43" fontId="9" fillId="8" borderId="0" xfId="1" applyNumberFormat="1" applyFont="1" applyFill="1" applyBorder="1" applyAlignment="1"/>
    <xf numFmtId="43" fontId="9" fillId="4" borderId="0" xfId="1" applyNumberFormat="1" applyFont="1" applyFill="1" applyBorder="1" applyAlignment="1"/>
    <xf numFmtId="43" fontId="30" fillId="8" borderId="0" xfId="1" applyNumberFormat="1" applyFont="1" applyFill="1" applyBorder="1" applyAlignment="1">
      <alignment horizontal="center" vertical="center" wrapText="1" readingOrder="2"/>
    </xf>
    <xf numFmtId="43" fontId="31" fillId="9" borderId="4" xfId="1" applyNumberFormat="1" applyFont="1" applyFill="1" applyBorder="1" applyAlignment="1">
      <alignment horizontal="center" vertical="center" wrapText="1"/>
    </xf>
    <xf numFmtId="43" fontId="32" fillId="8" borderId="4" xfId="1" applyNumberFormat="1" applyFont="1" applyFill="1" applyBorder="1" applyAlignment="1">
      <alignment vertical="center" readingOrder="2"/>
    </xf>
    <xf numFmtId="43" fontId="35" fillId="8" borderId="4" xfId="1" applyNumberFormat="1" applyFont="1" applyFill="1" applyBorder="1" applyAlignment="1">
      <alignment horizontal="right" vertical="center" readingOrder="2"/>
    </xf>
    <xf numFmtId="43" fontId="34" fillId="8" borderId="4" xfId="1" applyNumberFormat="1" applyFont="1" applyFill="1" applyBorder="1" applyAlignment="1">
      <alignment horizontal="right" vertical="center"/>
    </xf>
    <xf numFmtId="43" fontId="36" fillId="10" borderId="4" xfId="1" applyNumberFormat="1" applyFont="1" applyFill="1" applyBorder="1" applyAlignment="1">
      <alignment horizontal="right" vertical="center"/>
    </xf>
    <xf numFmtId="43" fontId="34" fillId="8" borderId="4" xfId="1" applyNumberFormat="1" applyFont="1" applyFill="1" applyBorder="1" applyAlignment="1">
      <alignment vertical="center"/>
    </xf>
    <xf numFmtId="43" fontId="9" fillId="8" borderId="4" xfId="1" applyNumberFormat="1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wrapText="1"/>
    </xf>
    <xf numFmtId="0" fontId="57" fillId="0" borderId="0" xfId="0" applyFont="1" applyBorder="1"/>
    <xf numFmtId="0" fontId="0" fillId="0" borderId="0" xfId="0" applyBorder="1"/>
    <xf numFmtId="0" fontId="72" fillId="0" borderId="0" xfId="0" applyFont="1" applyBorder="1"/>
    <xf numFmtId="164" fontId="0" fillId="0" borderId="0" xfId="1" applyNumberFormat="1" applyFont="1" applyBorder="1"/>
    <xf numFmtId="164" fontId="72" fillId="0" borderId="0" xfId="1" applyNumberFormat="1" applyFont="1" applyBorder="1"/>
    <xf numFmtId="0" fontId="0" fillId="0" borderId="0" xfId="0" applyBorder="1" applyAlignment="1">
      <alignment wrapText="1"/>
    </xf>
    <xf numFmtId="164" fontId="57" fillId="0" borderId="0" xfId="1" applyNumberFormat="1" applyFont="1" applyBorder="1" applyAlignment="1">
      <alignment wrapText="1"/>
    </xf>
    <xf numFmtId="0" fontId="72" fillId="0" borderId="54" xfId="0" applyFont="1" applyBorder="1"/>
    <xf numFmtId="164" fontId="72" fillId="0" borderId="54" xfId="1" applyNumberFormat="1" applyFont="1" applyBorder="1"/>
    <xf numFmtId="0" fontId="57" fillId="3" borderId="0" xfId="0" applyFont="1" applyFill="1" applyBorder="1"/>
    <xf numFmtId="164" fontId="0" fillId="0" borderId="4" xfId="1" applyNumberFormat="1" applyFont="1" applyBorder="1"/>
    <xf numFmtId="0" fontId="72" fillId="0" borderId="4" xfId="0" applyFont="1" applyBorder="1"/>
    <xf numFmtId="0" fontId="72" fillId="0" borderId="4" xfId="0" applyFont="1" applyBorder="1" applyAlignment="1">
      <alignment wrapText="1"/>
    </xf>
    <xf numFmtId="164" fontId="0" fillId="0" borderId="4" xfId="0" applyNumberFormat="1" applyBorder="1"/>
    <xf numFmtId="164" fontId="9" fillId="8" borderId="0" xfId="1" applyNumberFormat="1" applyFont="1" applyFill="1" applyBorder="1" applyAlignment="1"/>
    <xf numFmtId="164" fontId="30" fillId="8" borderId="0" xfId="1" applyNumberFormat="1" applyFont="1" applyFill="1" applyBorder="1" applyAlignment="1">
      <alignment horizontal="center" vertical="center" wrapText="1" readingOrder="2"/>
    </xf>
    <xf numFmtId="164" fontId="31" fillId="9" borderId="4" xfId="1" applyNumberFormat="1" applyFont="1" applyFill="1" applyBorder="1" applyAlignment="1">
      <alignment horizontal="center" vertical="center" wrapText="1"/>
    </xf>
    <xf numFmtId="164" fontId="35" fillId="8" borderId="4" xfId="1" applyNumberFormat="1" applyFont="1" applyFill="1" applyBorder="1" applyAlignment="1">
      <alignment horizontal="right" vertical="center" readingOrder="2"/>
    </xf>
    <xf numFmtId="164" fontId="33" fillId="8" borderId="4" xfId="1" applyNumberFormat="1" applyFont="1" applyFill="1" applyBorder="1" applyAlignment="1">
      <alignment horizontal="right" vertical="center" readingOrder="2"/>
    </xf>
    <xf numFmtId="164" fontId="9" fillId="8" borderId="0" xfId="1" applyNumberFormat="1" applyFont="1" applyFill="1" applyBorder="1" applyAlignment="1">
      <alignment wrapText="1"/>
    </xf>
    <xf numFmtId="164" fontId="9" fillId="4" borderId="0" xfId="1" applyNumberFormat="1" applyFont="1" applyFill="1" applyBorder="1" applyAlignment="1"/>
    <xf numFmtId="164" fontId="9" fillId="4" borderId="0" xfId="2" applyNumberFormat="1" applyFont="1" applyFill="1" applyBorder="1" applyAlignment="1"/>
    <xf numFmtId="43" fontId="9" fillId="4" borderId="0" xfId="1" applyFont="1" applyFill="1" applyBorder="1" applyAlignment="1"/>
    <xf numFmtId="43" fontId="12" fillId="4" borderId="0" xfId="1" applyFont="1" applyFill="1" applyBorder="1" applyAlignment="1"/>
    <xf numFmtId="43" fontId="9" fillId="11" borderId="0" xfId="1" applyFont="1" applyFill="1" applyBorder="1" applyAlignment="1"/>
    <xf numFmtId="43" fontId="46" fillId="8" borderId="4" xfId="1" applyNumberFormat="1" applyFont="1" applyFill="1" applyBorder="1" applyAlignment="1">
      <alignment horizontal="right" vertical="center" readingOrder="2"/>
    </xf>
    <xf numFmtId="0" fontId="71" fillId="0" borderId="4" xfId="0" applyFont="1" applyFill="1" applyBorder="1"/>
    <xf numFmtId="43" fontId="71" fillId="0" borderId="4" xfId="1" applyFont="1" applyFill="1" applyBorder="1"/>
    <xf numFmtId="167" fontId="71" fillId="0" borderId="4" xfId="0" applyNumberFormat="1" applyFont="1" applyFill="1" applyBorder="1"/>
    <xf numFmtId="0" fontId="71" fillId="0" borderId="0" xfId="0" applyFont="1" applyFill="1"/>
    <xf numFmtId="14" fontId="71" fillId="0" borderId="4" xfId="0" applyNumberFormat="1" applyFont="1" applyFill="1" applyBorder="1"/>
    <xf numFmtId="0" fontId="73" fillId="0" borderId="4" xfId="0" applyFont="1" applyFill="1" applyBorder="1"/>
    <xf numFmtId="43" fontId="71" fillId="0" borderId="0" xfId="0" applyNumberFormat="1" applyFont="1" applyFill="1"/>
    <xf numFmtId="43" fontId="71" fillId="0" borderId="0" xfId="1" applyFont="1" applyFill="1"/>
    <xf numFmtId="167" fontId="71" fillId="0" borderId="0" xfId="0" applyNumberFormat="1" applyFont="1" applyFill="1"/>
    <xf numFmtId="43" fontId="0" fillId="0" borderId="4" xfId="1" applyNumberFormat="1" applyFont="1" applyBorder="1"/>
    <xf numFmtId="164" fontId="23" fillId="2" borderId="55" xfId="1" applyNumberFormat="1" applyFont="1" applyFill="1" applyBorder="1" applyAlignment="1">
      <alignment horizontal="center" vertical="center" wrapText="1"/>
    </xf>
    <xf numFmtId="164" fontId="23" fillId="6" borderId="17" xfId="1" applyNumberFormat="1" applyFont="1" applyFill="1" applyBorder="1"/>
    <xf numFmtId="164" fontId="23" fillId="2" borderId="4" xfId="1" applyNumberFormat="1" applyFont="1" applyFill="1" applyBorder="1" applyAlignment="1">
      <alignment horizontal="center" vertical="center" wrapText="1"/>
    </xf>
    <xf numFmtId="164" fontId="23" fillId="7" borderId="4" xfId="1" applyNumberFormat="1" applyFont="1" applyFill="1" applyBorder="1" applyAlignment="1">
      <alignment horizontal="center" vertical="center" wrapText="1"/>
    </xf>
    <xf numFmtId="164" fontId="23" fillId="6" borderId="4" xfId="1" applyNumberFormat="1" applyFont="1" applyFill="1" applyBorder="1"/>
    <xf numFmtId="164" fontId="23" fillId="3" borderId="4" xfId="1" applyNumberFormat="1" applyFont="1" applyFill="1" applyBorder="1"/>
    <xf numFmtId="164" fontId="25" fillId="0" borderId="4" xfId="1" applyNumberFormat="1" applyFont="1" applyBorder="1"/>
    <xf numFmtId="164" fontId="23" fillId="6" borderId="44" xfId="1" applyNumberFormat="1" applyFont="1" applyFill="1" applyBorder="1"/>
    <xf numFmtId="164" fontId="23" fillId="6" borderId="5" xfId="1" applyNumberFormat="1" applyFont="1" applyFill="1" applyBorder="1"/>
    <xf numFmtId="164" fontId="23" fillId="6" borderId="53" xfId="1" applyNumberFormat="1" applyFont="1" applyFill="1" applyBorder="1"/>
    <xf numFmtId="164" fontId="24" fillId="0" borderId="28" xfId="1" applyNumberFormat="1" applyFont="1" applyBorder="1"/>
    <xf numFmtId="164" fontId="23" fillId="2" borderId="29" xfId="1" applyNumberFormat="1" applyFont="1" applyFill="1" applyBorder="1" applyAlignment="1">
      <alignment horizontal="center" vertical="center" wrapText="1"/>
    </xf>
    <xf numFmtId="0" fontId="23" fillId="6" borderId="17" xfId="0" applyNumberFormat="1" applyFont="1" applyFill="1" applyBorder="1" applyAlignment="1">
      <alignment horizontal="right"/>
    </xf>
    <xf numFmtId="0" fontId="23" fillId="6" borderId="19" xfId="0" applyFont="1" applyFill="1" applyBorder="1"/>
    <xf numFmtId="0" fontId="23" fillId="6" borderId="1" xfId="0" applyFont="1" applyFill="1" applyBorder="1"/>
    <xf numFmtId="0" fontId="24" fillId="0" borderId="28" xfId="0" applyNumberFormat="1" applyFont="1" applyBorder="1" applyAlignment="1">
      <alignment horizontal="right"/>
    </xf>
    <xf numFmtId="0" fontId="24" fillId="0" borderId="28" xfId="0" applyFont="1" applyBorder="1"/>
    <xf numFmtId="0" fontId="24" fillId="0" borderId="28" xfId="0" applyFont="1" applyFill="1" applyBorder="1" applyAlignment="1">
      <alignment horizontal="right"/>
    </xf>
    <xf numFmtId="0" fontId="23" fillId="6" borderId="17" xfId="0" applyFont="1" applyFill="1" applyBorder="1"/>
    <xf numFmtId="164" fontId="23" fillId="6" borderId="19" xfId="1" applyNumberFormat="1" applyFont="1" applyFill="1" applyBorder="1"/>
    <xf numFmtId="164" fontId="23" fillId="3" borderId="29" xfId="1" applyNumberFormat="1" applyFont="1" applyFill="1" applyBorder="1"/>
    <xf numFmtId="0" fontId="20" fillId="3" borderId="2" xfId="0" applyFont="1" applyFill="1" applyBorder="1"/>
    <xf numFmtId="166" fontId="20" fillId="3" borderId="3" xfId="1" applyNumberFormat="1" applyFont="1" applyFill="1" applyBorder="1"/>
    <xf numFmtId="164" fontId="20" fillId="3" borderId="3" xfId="1" applyNumberFormat="1" applyFont="1" applyFill="1" applyBorder="1"/>
    <xf numFmtId="164" fontId="54" fillId="3" borderId="24" xfId="1" applyNumberFormat="1" applyFont="1" applyFill="1" applyBorder="1"/>
    <xf numFmtId="164" fontId="54" fillId="3" borderId="3" xfId="1" applyNumberFormat="1" applyFont="1" applyFill="1" applyBorder="1"/>
    <xf numFmtId="164" fontId="20" fillId="3" borderId="24" xfId="1" applyNumberFormat="1" applyFont="1" applyFill="1" applyBorder="1" applyAlignment="1">
      <alignment horizontal="center" vertical="center"/>
    </xf>
    <xf numFmtId="0" fontId="17" fillId="4" borderId="56" xfId="0" applyFont="1" applyFill="1" applyBorder="1"/>
    <xf numFmtId="0" fontId="17" fillId="4" borderId="49" xfId="0" applyFont="1" applyFill="1" applyBorder="1"/>
    <xf numFmtId="164" fontId="17" fillId="4" borderId="49" xfId="1" applyNumberFormat="1" applyFont="1" applyFill="1" applyBorder="1"/>
    <xf numFmtId="164" fontId="17" fillId="4" borderId="49" xfId="0" applyNumberFormat="1" applyFont="1" applyFill="1" applyBorder="1"/>
    <xf numFmtId="164" fontId="17" fillId="4" borderId="57" xfId="0" applyNumberFormat="1" applyFont="1" applyFill="1" applyBorder="1"/>
    <xf numFmtId="0" fontId="17" fillId="3" borderId="25" xfId="0" applyFont="1" applyFill="1" applyBorder="1"/>
    <xf numFmtId="0" fontId="17" fillId="3" borderId="26" xfId="0" applyFont="1" applyFill="1" applyBorder="1"/>
    <xf numFmtId="164" fontId="17" fillId="3" borderId="26" xfId="1" applyNumberFormat="1" applyFont="1" applyFill="1" applyBorder="1"/>
    <xf numFmtId="164" fontId="17" fillId="3" borderId="26" xfId="0" applyNumberFormat="1" applyFont="1" applyFill="1" applyBorder="1"/>
    <xf numFmtId="164" fontId="17" fillId="3" borderId="27" xfId="0" applyNumberFormat="1" applyFont="1" applyFill="1" applyBorder="1"/>
    <xf numFmtId="3" fontId="24" fillId="0" borderId="28" xfId="0" applyNumberFormat="1" applyFont="1" applyFill="1" applyBorder="1"/>
    <xf numFmtId="43" fontId="24" fillId="0" borderId="28" xfId="1" applyFont="1" applyBorder="1"/>
    <xf numFmtId="3" fontId="24" fillId="0" borderId="28" xfId="0" applyNumberFormat="1" applyFont="1" applyBorder="1"/>
    <xf numFmtId="0" fontId="23" fillId="6" borderId="21" xfId="0" applyFont="1" applyFill="1" applyBorder="1"/>
    <xf numFmtId="0" fontId="23" fillId="6" borderId="5" xfId="0" applyFont="1" applyFill="1" applyBorder="1"/>
    <xf numFmtId="0" fontId="23" fillId="6" borderId="45" xfId="0" applyFont="1" applyFill="1" applyBorder="1"/>
    <xf numFmtId="164" fontId="24" fillId="0" borderId="53" xfId="1" applyNumberFormat="1" applyFont="1" applyBorder="1"/>
    <xf numFmtId="0" fontId="24" fillId="0" borderId="6" xfId="0" applyFont="1" applyFill="1" applyBorder="1"/>
    <xf numFmtId="0" fontId="24" fillId="0" borderId="7" xfId="0" applyNumberFormat="1" applyFont="1" applyFill="1" applyBorder="1" applyAlignment="1">
      <alignment horizontal="right"/>
    </xf>
    <xf numFmtId="0" fontId="24" fillId="0" borderId="7" xfId="0" applyFont="1" applyFill="1" applyBorder="1"/>
    <xf numFmtId="164" fontId="24" fillId="0" borderId="7" xfId="1" applyNumberFormat="1" applyFont="1" applyFill="1" applyBorder="1"/>
    <xf numFmtId="43" fontId="24" fillId="0" borderId="7" xfId="1" applyFont="1" applyFill="1" applyBorder="1"/>
    <xf numFmtId="3" fontId="24" fillId="0" borderId="7" xfId="0" applyNumberFormat="1" applyFont="1" applyFill="1" applyBorder="1"/>
    <xf numFmtId="164" fontId="24" fillId="0" borderId="8" xfId="1" applyNumberFormat="1" applyFont="1" applyFill="1" applyBorder="1"/>
    <xf numFmtId="0" fontId="24" fillId="0" borderId="9" xfId="0" applyFont="1" applyFill="1" applyBorder="1"/>
    <xf numFmtId="164" fontId="24" fillId="0" borderId="10" xfId="1" applyNumberFormat="1" applyFont="1" applyFill="1" applyBorder="1"/>
    <xf numFmtId="0" fontId="24" fillId="0" borderId="11" xfId="0" applyFont="1" applyFill="1" applyBorder="1"/>
    <xf numFmtId="0" fontId="24" fillId="0" borderId="12" xfId="0" applyFont="1" applyFill="1" applyBorder="1" applyAlignment="1">
      <alignment horizontal="right"/>
    </xf>
    <xf numFmtId="0" fontId="24" fillId="0" borderId="12" xfId="0" applyFont="1" applyFill="1" applyBorder="1"/>
    <xf numFmtId="164" fontId="24" fillId="0" borderId="12" xfId="1" applyNumberFormat="1" applyFont="1" applyFill="1" applyBorder="1"/>
    <xf numFmtId="43" fontId="24" fillId="0" borderId="12" xfId="1" applyFont="1" applyFill="1" applyBorder="1"/>
    <xf numFmtId="164" fontId="24" fillId="0" borderId="13" xfId="1" applyNumberFormat="1" applyFont="1" applyFill="1" applyBorder="1"/>
    <xf numFmtId="164" fontId="23" fillId="3" borderId="53" xfId="1" applyNumberFormat="1" applyFont="1" applyFill="1" applyBorder="1"/>
    <xf numFmtId="0" fontId="23" fillId="3" borderId="25" xfId="0" applyFont="1" applyFill="1" applyBorder="1"/>
    <xf numFmtId="0" fontId="23" fillId="3" borderId="26" xfId="0" applyNumberFormat="1" applyFont="1" applyFill="1" applyBorder="1" applyAlignment="1">
      <alignment horizontal="right"/>
    </xf>
    <xf numFmtId="0" fontId="23" fillId="3" borderId="26" xfId="0" applyFont="1" applyFill="1" applyBorder="1"/>
    <xf numFmtId="164" fontId="23" fillId="3" borderId="26" xfId="1" applyNumberFormat="1" applyFont="1" applyFill="1" applyBorder="1"/>
    <xf numFmtId="164" fontId="23" fillId="3" borderId="27" xfId="1" applyNumberFormat="1" applyFont="1" applyFill="1" applyBorder="1"/>
    <xf numFmtId="0" fontId="26" fillId="3" borderId="25" xfId="0" applyFont="1" applyFill="1" applyBorder="1"/>
    <xf numFmtId="0" fontId="26" fillId="3" borderId="26" xfId="0" applyFont="1" applyFill="1" applyBorder="1" applyAlignment="1">
      <alignment horizontal="right"/>
    </xf>
    <xf numFmtId="0" fontId="26" fillId="3" borderId="26" xfId="0" applyFont="1" applyFill="1" applyBorder="1"/>
    <xf numFmtId="43" fontId="23" fillId="3" borderId="26" xfId="1" applyFont="1" applyFill="1" applyBorder="1"/>
    <xf numFmtId="164" fontId="23" fillId="2" borderId="1" xfId="0" applyNumberFormat="1" applyFont="1" applyFill="1" applyBorder="1" applyAlignment="1">
      <alignment horizontal="center" vertical="center" wrapText="1"/>
    </xf>
    <xf numFmtId="164" fontId="23" fillId="2" borderId="1" xfId="1" applyNumberFormat="1" applyFont="1" applyFill="1" applyBorder="1" applyAlignment="1">
      <alignment horizontal="center" vertical="center" wrapText="1"/>
    </xf>
    <xf numFmtId="164" fontId="23" fillId="2" borderId="54" xfId="1" applyNumberFormat="1" applyFont="1" applyFill="1" applyBorder="1" applyAlignment="1">
      <alignment horizontal="center" vertical="center" wrapText="1"/>
    </xf>
    <xf numFmtId="164" fontId="23" fillId="2" borderId="53" xfId="1" applyNumberFormat="1" applyFont="1" applyFill="1" applyBorder="1" applyAlignment="1">
      <alignment horizontal="center" vertical="center" wrapText="1"/>
    </xf>
    <xf numFmtId="164" fontId="24" fillId="0" borderId="53" xfId="1" applyNumberFormat="1" applyFont="1" applyFill="1" applyBorder="1"/>
    <xf numFmtId="164" fontId="23" fillId="7" borderId="53" xfId="1" applyNumberFormat="1" applyFont="1" applyFill="1" applyBorder="1" applyAlignment="1">
      <alignment horizontal="center" vertical="center" wrapText="1"/>
    </xf>
    <xf numFmtId="164" fontId="25" fillId="0" borderId="53" xfId="1" applyNumberFormat="1" applyFont="1" applyBorder="1"/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4" xfId="1" applyNumberFormat="1" applyFont="1" applyFill="1" applyBorder="1" applyAlignment="1">
      <alignment horizontal="center" vertical="center" wrapText="1"/>
    </xf>
    <xf numFmtId="164" fontId="24" fillId="0" borderId="10" xfId="1" applyNumberFormat="1" applyFont="1" applyBorder="1"/>
    <xf numFmtId="0" fontId="24" fillId="0" borderId="37" xfId="0" applyFont="1" applyBorder="1"/>
    <xf numFmtId="164" fontId="24" fillId="0" borderId="38" xfId="1" applyNumberFormat="1" applyFont="1" applyBorder="1"/>
    <xf numFmtId="164" fontId="23" fillId="2" borderId="23" xfId="0" applyNumberFormat="1" applyFont="1" applyFill="1" applyBorder="1" applyAlignment="1">
      <alignment horizontal="right" vertical="center"/>
    </xf>
    <xf numFmtId="164" fontId="23" fillId="2" borderId="22" xfId="1" applyNumberFormat="1" applyFont="1" applyFill="1" applyBorder="1" applyAlignment="1">
      <alignment horizontal="center" vertical="center" wrapText="1"/>
    </xf>
    <xf numFmtId="0" fontId="24" fillId="0" borderId="37" xfId="0" applyFont="1" applyFill="1" applyBorder="1"/>
    <xf numFmtId="164" fontId="24" fillId="0" borderId="38" xfId="1" applyNumberFormat="1" applyFont="1" applyFill="1" applyBorder="1"/>
    <xf numFmtId="164" fontId="23" fillId="2" borderId="2" xfId="0" applyNumberFormat="1" applyFont="1" applyFill="1" applyBorder="1" applyAlignment="1">
      <alignment horizontal="right" vertical="center"/>
    </xf>
    <xf numFmtId="0" fontId="23" fillId="3" borderId="58" xfId="0" applyFont="1" applyFill="1" applyBorder="1"/>
    <xf numFmtId="0" fontId="24" fillId="0" borderId="23" xfId="0" applyFont="1" applyFill="1" applyBorder="1"/>
    <xf numFmtId="164" fontId="24" fillId="0" borderId="22" xfId="1" applyNumberFormat="1" applyFont="1" applyFill="1" applyBorder="1"/>
    <xf numFmtId="164" fontId="23" fillId="7" borderId="17" xfId="0" applyNumberFormat="1" applyFont="1" applyFill="1" applyBorder="1" applyAlignment="1">
      <alignment horizontal="right" vertical="center" wrapText="1"/>
    </xf>
    <xf numFmtId="164" fontId="23" fillId="7" borderId="19" xfId="1" applyNumberFormat="1" applyFont="1" applyFill="1" applyBorder="1" applyAlignment="1">
      <alignment horizontal="center" vertical="center" wrapText="1"/>
    </xf>
    <xf numFmtId="164" fontId="23" fillId="2" borderId="17" xfId="0" applyNumberFormat="1" applyFont="1" applyFill="1" applyBorder="1" applyAlignment="1">
      <alignment horizontal="right" vertical="center"/>
    </xf>
    <xf numFmtId="164" fontId="23" fillId="2" borderId="19" xfId="1" applyNumberFormat="1" applyFont="1" applyFill="1" applyBorder="1" applyAlignment="1">
      <alignment horizontal="center" vertical="center" wrapText="1"/>
    </xf>
    <xf numFmtId="164" fontId="24" fillId="0" borderId="57" xfId="1" applyNumberFormat="1" applyFont="1" applyFill="1" applyBorder="1"/>
    <xf numFmtId="0" fontId="25" fillId="0" borderId="23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164" fontId="25" fillId="0" borderId="0" xfId="1" applyNumberFormat="1" applyFont="1" applyBorder="1"/>
    <xf numFmtId="43" fontId="25" fillId="0" borderId="0" xfId="1" applyFont="1" applyBorder="1"/>
    <xf numFmtId="164" fontId="25" fillId="0" borderId="22" xfId="1" applyNumberFormat="1" applyFont="1" applyBorder="1"/>
    <xf numFmtId="0" fontId="1" fillId="0" borderId="0" xfId="44" applyFill="1"/>
    <xf numFmtId="0" fontId="1" fillId="0" borderId="0" xfId="44"/>
    <xf numFmtId="4" fontId="1" fillId="0" borderId="0" xfId="44" applyNumberFormat="1"/>
    <xf numFmtId="4" fontId="1" fillId="0" borderId="0" xfId="44" applyNumberFormat="1" applyFill="1"/>
    <xf numFmtId="43" fontId="1" fillId="0" borderId="0" xfId="1" applyFont="1"/>
    <xf numFmtId="0" fontId="24" fillId="3" borderId="4" xfId="0" applyNumberFormat="1" applyFont="1" applyFill="1" applyBorder="1" applyAlignment="1">
      <alignment horizontal="right"/>
    </xf>
    <xf numFmtId="164" fontId="24" fillId="3" borderId="53" xfId="1" applyNumberFormat="1" applyFont="1" applyFill="1" applyBorder="1"/>
    <xf numFmtId="0" fontId="47" fillId="3" borderId="0" xfId="0" applyFont="1" applyFill="1"/>
    <xf numFmtId="0" fontId="0" fillId="3" borderId="0" xfId="0" applyFont="1" applyFill="1"/>
    <xf numFmtId="164" fontId="47" fillId="0" borderId="0" xfId="0" applyNumberFormat="1" applyFont="1"/>
    <xf numFmtId="164" fontId="24" fillId="0" borderId="68" xfId="1" applyNumberFormat="1" applyFont="1" applyFill="1" applyBorder="1"/>
    <xf numFmtId="0" fontId="0" fillId="0" borderId="29" xfId="0" applyBorder="1" applyAlignment="1">
      <alignment wrapText="1"/>
    </xf>
    <xf numFmtId="164" fontId="0" fillId="0" borderId="29" xfId="1" applyNumberFormat="1" applyFont="1" applyBorder="1"/>
    <xf numFmtId="164" fontId="0" fillId="0" borderId="29" xfId="0" applyNumberFormat="1" applyBorder="1"/>
    <xf numFmtId="0" fontId="57" fillId="0" borderId="69" xfId="0" applyFont="1" applyBorder="1" applyAlignment="1">
      <alignment wrapText="1"/>
    </xf>
    <xf numFmtId="164" fontId="57" fillId="0" borderId="69" xfId="1" applyNumberFormat="1" applyFont="1" applyBorder="1"/>
    <xf numFmtId="164" fontId="57" fillId="0" borderId="69" xfId="0" applyNumberFormat="1" applyFont="1" applyBorder="1"/>
    <xf numFmtId="164" fontId="23" fillId="2" borderId="17" xfId="0" applyNumberFormat="1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 readingOrder="2"/>
    </xf>
    <xf numFmtId="0" fontId="13" fillId="0" borderId="9" xfId="2" applyFont="1" applyBorder="1" applyAlignment="1">
      <alignment horizontal="right" vertical="center"/>
    </xf>
    <xf numFmtId="164" fontId="13" fillId="4" borderId="10" xfId="1" applyNumberFormat="1" applyFont="1" applyFill="1" applyBorder="1" applyAlignment="1">
      <alignment horizontal="right" vertical="center"/>
    </xf>
    <xf numFmtId="0" fontId="13" fillId="4" borderId="9" xfId="2" applyFont="1" applyFill="1" applyBorder="1" applyAlignment="1">
      <alignment horizontal="right" vertical="center"/>
    </xf>
    <xf numFmtId="0" fontId="15" fillId="3" borderId="4" xfId="2" applyFont="1" applyFill="1" applyBorder="1" applyAlignment="1">
      <alignment horizontal="right" vertical="center" readingOrder="2"/>
    </xf>
    <xf numFmtId="164" fontId="15" fillId="3" borderId="4" xfId="1" applyNumberFormat="1" applyFont="1" applyFill="1" applyBorder="1" applyAlignment="1">
      <alignment horizontal="right" vertical="center"/>
    </xf>
    <xf numFmtId="0" fontId="9" fillId="4" borderId="4" xfId="2" applyFont="1" applyFill="1" applyBorder="1" applyAlignment="1">
      <alignment vertical="center"/>
    </xf>
    <xf numFmtId="164" fontId="9" fillId="4" borderId="4" xfId="1" applyNumberFormat="1" applyFont="1" applyFill="1" applyBorder="1" applyAlignment="1">
      <alignment vertical="center"/>
    </xf>
    <xf numFmtId="0" fontId="15" fillId="3" borderId="9" xfId="2" applyFont="1" applyFill="1" applyBorder="1" applyAlignment="1">
      <alignment horizontal="right" vertical="center" readingOrder="2"/>
    </xf>
    <xf numFmtId="164" fontId="15" fillId="3" borderId="10" xfId="1" applyNumberFormat="1" applyFont="1" applyFill="1" applyBorder="1" applyAlignment="1">
      <alignment horizontal="right" vertical="center"/>
    </xf>
    <xf numFmtId="0" fontId="15" fillId="3" borderId="11" xfId="2" applyFont="1" applyFill="1" applyBorder="1" applyAlignment="1">
      <alignment horizontal="right" vertical="center" readingOrder="2"/>
    </xf>
    <xf numFmtId="0" fontId="15" fillId="3" borderId="12" xfId="2" applyFont="1" applyFill="1" applyBorder="1" applyAlignment="1">
      <alignment horizontal="right" vertical="center" readingOrder="2"/>
    </xf>
    <xf numFmtId="164" fontId="15" fillId="3" borderId="12" xfId="1" applyNumberFormat="1" applyFont="1" applyFill="1" applyBorder="1" applyAlignment="1">
      <alignment horizontal="right" vertical="center"/>
    </xf>
    <xf numFmtId="164" fontId="15" fillId="3" borderId="13" xfId="1" applyNumberFormat="1" applyFont="1" applyFill="1" applyBorder="1" applyAlignment="1">
      <alignment horizontal="right" vertical="center"/>
    </xf>
    <xf numFmtId="0" fontId="9" fillId="4" borderId="9" xfId="2" applyFont="1" applyFill="1" applyBorder="1" applyAlignment="1">
      <alignment vertical="center"/>
    </xf>
    <xf numFmtId="164" fontId="9" fillId="4" borderId="10" xfId="1" applyNumberFormat="1" applyFont="1" applyFill="1" applyBorder="1" applyAlignment="1">
      <alignment vertical="center"/>
    </xf>
    <xf numFmtId="165" fontId="9" fillId="4" borderId="4" xfId="2" applyNumberFormat="1" applyFont="1" applyFill="1" applyBorder="1" applyAlignment="1">
      <alignment vertical="center"/>
    </xf>
    <xf numFmtId="165" fontId="13" fillId="4" borderId="4" xfId="2" applyNumberFormat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165" fontId="9" fillId="4" borderId="10" xfId="2" applyNumberFormat="1" applyFont="1" applyFill="1" applyBorder="1" applyAlignment="1">
      <alignment vertical="center"/>
    </xf>
    <xf numFmtId="165" fontId="13" fillId="4" borderId="10" xfId="2" applyNumberFormat="1" applyFont="1" applyFill="1" applyBorder="1" applyAlignment="1">
      <alignment vertical="center"/>
    </xf>
    <xf numFmtId="43" fontId="9" fillId="4" borderId="10" xfId="1" applyFont="1" applyFill="1" applyBorder="1" applyAlignment="1">
      <alignment vertical="center"/>
    </xf>
    <xf numFmtId="0" fontId="9" fillId="4" borderId="22" xfId="2" applyFont="1" applyFill="1" applyBorder="1" applyAlignment="1">
      <alignment vertical="center"/>
    </xf>
    <xf numFmtId="0" fontId="0" fillId="0" borderId="70" xfId="0" applyBorder="1"/>
    <xf numFmtId="0" fontId="37" fillId="4" borderId="32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/>
    </xf>
    <xf numFmtId="0" fontId="37" fillId="4" borderId="31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 vertical="center" wrapText="1" readingOrder="2"/>
    </xf>
    <xf numFmtId="0" fontId="18" fillId="5" borderId="23" xfId="2" applyFont="1" applyFill="1" applyBorder="1" applyAlignment="1">
      <alignment horizontal="center" vertical="center" readingOrder="2"/>
    </xf>
    <xf numFmtId="0" fontId="18" fillId="5" borderId="0" xfId="2" applyFont="1" applyFill="1" applyBorder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36" fillId="10" borderId="4" xfId="2" applyFont="1" applyFill="1" applyBorder="1" applyAlignment="1">
      <alignment horizontal="center" vertical="center" readingOrder="2"/>
    </xf>
    <xf numFmtId="164" fontId="31" fillId="9" borderId="28" xfId="0" applyNumberFormat="1" applyFont="1" applyFill="1" applyBorder="1" applyAlignment="1">
      <alignment horizontal="center" vertical="top" wrapText="1"/>
    </xf>
    <xf numFmtId="164" fontId="31" fillId="9" borderId="29" xfId="0" applyNumberFormat="1" applyFont="1" applyFill="1" applyBorder="1" applyAlignment="1">
      <alignment horizontal="center" vertical="top" wrapText="1"/>
    </xf>
    <xf numFmtId="164" fontId="31" fillId="9" borderId="4" xfId="0" applyNumberFormat="1" applyFont="1" applyFill="1" applyBorder="1" applyAlignment="1">
      <alignment horizontal="center" vertical="center" wrapText="1"/>
    </xf>
    <xf numFmtId="0" fontId="38" fillId="8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/>
    </xf>
  </cellXfs>
  <cellStyles count="47">
    <cellStyle name="20% - הדגשה1" xfId="21" builtinId="30" customBuiltin="1"/>
    <cellStyle name="20% - הדגשה2" xfId="25" builtinId="34" customBuiltin="1"/>
    <cellStyle name="20% - הדגשה3" xfId="29" builtinId="38" customBuiltin="1"/>
    <cellStyle name="20% - הדגשה4" xfId="33" builtinId="42" customBuiltin="1"/>
    <cellStyle name="20% - הדגשה5" xfId="37" builtinId="46" customBuiltin="1"/>
    <cellStyle name="20% - הדגשה6" xfId="41" builtinId="50" customBuiltin="1"/>
    <cellStyle name="40% - הדגשה1" xfId="22" builtinId="31" customBuiltin="1"/>
    <cellStyle name="40% - הדגשה2" xfId="26" builtinId="35" customBuiltin="1"/>
    <cellStyle name="40% - הדגשה3" xfId="30" builtinId="39" customBuiltin="1"/>
    <cellStyle name="40% - הדגשה4" xfId="34" builtinId="43" customBuiltin="1"/>
    <cellStyle name="40% - הדגשה5" xfId="38" builtinId="47" customBuiltin="1"/>
    <cellStyle name="40% - הדגשה6" xfId="42" builtinId="51" customBuiltin="1"/>
    <cellStyle name="60% - הדגשה1" xfId="23" builtinId="32" customBuiltin="1"/>
    <cellStyle name="60% - הדגשה2" xfId="27" builtinId="36" customBuiltin="1"/>
    <cellStyle name="60% - הדגשה3" xfId="31" builtinId="40" customBuiltin="1"/>
    <cellStyle name="60% - הדגשה4" xfId="35" builtinId="44" customBuiltin="1"/>
    <cellStyle name="60% - הדגשה5" xfId="39" builtinId="48" customBuiltin="1"/>
    <cellStyle name="60% - הדגשה6" xfId="43" builtinId="52" customBuiltin="1"/>
    <cellStyle name="Comma" xfId="1" builtinId="3"/>
    <cellStyle name="Normal" xfId="0" builtinId="0"/>
    <cellStyle name="Normal 2" xfId="44"/>
    <cellStyle name="Normal 2 3" xfId="4"/>
    <cellStyle name="Normal 5" xfId="2"/>
    <cellStyle name="Percent" xfId="3" builtinId="5"/>
    <cellStyle name="הדגשה1" xfId="20" builtinId="29" customBuiltin="1"/>
    <cellStyle name="הדגשה2" xfId="24" builtinId="33" customBuiltin="1"/>
    <cellStyle name="הדגשה3" xfId="28" builtinId="37" customBuiltin="1"/>
    <cellStyle name="הדגשה4" xfId="32" builtinId="41" customBuiltin="1"/>
    <cellStyle name="הדגשה5" xfId="36" builtinId="45" customBuiltin="1"/>
    <cellStyle name="הדגשה6" xfId="40" builtinId="49" customBuiltin="1"/>
    <cellStyle name="הערה 2" xfId="46"/>
    <cellStyle name="חישוב" xfId="14" builtinId="22" customBuiltin="1"/>
    <cellStyle name="טוב" xfId="9" builtinId="26" customBuiltin="1"/>
    <cellStyle name="טקסט אזהרה" xfId="17" builtinId="11" customBuiltin="1"/>
    <cellStyle name="טקסט הסברי" xfId="18" builtinId="53" customBuiltin="1"/>
    <cellStyle name="כותרת 1" xfId="5" builtinId="16" customBuiltin="1"/>
    <cellStyle name="כותרת 2" xfId="6" builtinId="17" customBuiltin="1"/>
    <cellStyle name="כותרת 3" xfId="7" builtinId="18" customBuiltin="1"/>
    <cellStyle name="כותרת 4" xfId="8" builtinId="19" customBuiltin="1"/>
    <cellStyle name="כותרת 5" xfId="45"/>
    <cellStyle name="ניטראלי" xfId="11" builtinId="28" customBuiltin="1"/>
    <cellStyle name="סה&quot;כ" xfId="19" builtinId="25" customBuiltin="1"/>
    <cellStyle name="פלט" xfId="13" builtinId="21" customBuiltin="1"/>
    <cellStyle name="קלט" xfId="12" builtinId="20" customBuiltin="1"/>
    <cellStyle name="רע" xfId="10" builtinId="27" customBuiltin="1"/>
    <cellStyle name="תא מסומן" xfId="16" builtinId="23" customBuiltin="1"/>
    <cellStyle name="תא מקושר" xfId="15" builtinId="24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גרפים!$E$7</c:f>
              <c:strCache>
                <c:ptCount val="1"/>
                <c:pt idx="0">
                  <c:v>באלפי 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גרפים!$D$8:$D$10</c:f>
              <c:strCache>
                <c:ptCount val="3"/>
                <c:pt idx="1">
                  <c:v>הכנסות עצמיות</c:v>
                </c:pt>
                <c:pt idx="2">
                  <c:v>השתתפות ממשלה</c:v>
                </c:pt>
              </c:strCache>
            </c:strRef>
          </c:cat>
          <c:val>
            <c:numRef>
              <c:f>גרפים!$E$8:$E$10</c:f>
              <c:numCache>
                <c:formatCode>_ * #,##0_ ;_ * \-#,##0_ ;_ * "-"??_ ;_ @_ </c:formatCode>
                <c:ptCount val="3"/>
                <c:pt idx="1">
                  <c:v>94542.648053333338</c:v>
                </c:pt>
                <c:pt idx="2">
                  <c:v>96089.922671341657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481-A889-B3812A78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7392680"/>
        <c:axId val="34696739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גרפים!#REF!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גרפים!$D$8:$D$10</c15:sqref>
                        </c15:formulaRef>
                      </c:ext>
                    </c:extLst>
                    <c:strCache>
                      <c:ptCount val="3"/>
                      <c:pt idx="1">
                        <c:v>הכנסות עצמיות</c:v>
                      </c:pt>
                      <c:pt idx="2">
                        <c:v>השתתפות ממשלה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גרפים!#REF!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2C-4481-A889-B3812A781AF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גרפים!#REF!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גרפים!$D$8:$D$10</c15:sqref>
                        </c15:formulaRef>
                      </c:ext>
                    </c:extLst>
                    <c:strCache>
                      <c:ptCount val="3"/>
                      <c:pt idx="1">
                        <c:v>הכנסות עצמיות</c:v>
                      </c:pt>
                      <c:pt idx="2">
                        <c:v>השתתפות ממשלה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גרפים!#REF!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2C-4481-A889-B3812A781AFD}"/>
                  </c:ext>
                </c:extLst>
              </c15:ser>
            </c15:filteredBarSeries>
          </c:ext>
        </c:extLst>
      </c:bar3DChart>
      <c:catAx>
        <c:axId val="3473926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6967392"/>
        <c:crosses val="autoZero"/>
        <c:auto val="1"/>
        <c:lblAlgn val="ctr"/>
        <c:lblOffset val="100"/>
        <c:noMultiLvlLbl val="0"/>
      </c:catAx>
      <c:valAx>
        <c:axId val="346967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739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740-4F38-950E-EEFA6EABE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740-4F38-950E-EEFA6EABE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740-4F38-950E-EEFA6EABEE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740-4F38-950E-EEFA6EABEE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740-4F38-950E-EEFA6EABEE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740-4F38-950E-EEFA6EABEE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740-4F38-950E-EEFA6EABEEA9}"/>
              </c:ext>
            </c:extLst>
          </c:dPt>
          <c:dLbls>
            <c:dLbl>
              <c:idx val="0"/>
              <c:layout>
                <c:manualLayout>
                  <c:x val="0.12265146440815881"/>
                  <c:y val="0.136591524190317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0-4F38-950E-EEFA6EABEEA9}"/>
                </c:ext>
              </c:extLst>
            </c:dLbl>
            <c:dLbl>
              <c:idx val="1"/>
              <c:layout>
                <c:manualLayout>
                  <c:x val="1.9513560804899386E-2"/>
                  <c:y val="3.165573053368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0-4F38-950E-EEFA6EABEEA9}"/>
                </c:ext>
              </c:extLst>
            </c:dLbl>
            <c:dLbl>
              <c:idx val="2"/>
              <c:layout>
                <c:manualLayout>
                  <c:x val="-5.4645122484689411E-2"/>
                  <c:y val="-5.16294838145231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0-4F38-950E-EEFA6EABEEA9}"/>
                </c:ext>
              </c:extLst>
            </c:dLbl>
            <c:dLbl>
              <c:idx val="3"/>
              <c:layout>
                <c:manualLayout>
                  <c:x val="-1.231762074001657E-2"/>
                  <c:y val="-0.171700273760238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01163234838215"/>
                      <c:h val="0.156623656980269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740-4F38-950E-EEFA6EABEEA9}"/>
                </c:ext>
              </c:extLst>
            </c:dLbl>
            <c:dLbl>
              <c:idx val="4"/>
              <c:layout>
                <c:manualLayout>
                  <c:x val="7.1802688180045551E-2"/>
                  <c:y val="-7.9530339081446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40-4F38-950E-EEFA6EABEEA9}"/>
                </c:ext>
              </c:extLst>
            </c:dLbl>
            <c:dLbl>
              <c:idx val="5"/>
              <c:layout>
                <c:manualLayout>
                  <c:x val="8.3425825703814918E-2"/>
                  <c:y val="1.038299735041398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40-4F38-950E-EEFA6EABEEA9}"/>
                </c:ext>
              </c:extLst>
            </c:dLbl>
            <c:dLbl>
              <c:idx val="6"/>
              <c:layout>
                <c:manualLayout>
                  <c:x val="0.16781642883166167"/>
                  <c:y val="-1.58810863684065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40-4F38-950E-EEFA6EABEE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גרפים!$D$43:$D$49</c:f>
              <c:strCache>
                <c:ptCount val="7"/>
                <c:pt idx="0">
                  <c:v>ארנונה</c:v>
                </c:pt>
                <c:pt idx="1">
                  <c:v>יתר עצמיות</c:v>
                </c:pt>
                <c:pt idx="2">
                  <c:v>השתתפות משרד החינוך</c:v>
                </c:pt>
                <c:pt idx="3">
                  <c:v>השתתפות משרד הרווחה</c:v>
                </c:pt>
                <c:pt idx="4">
                  <c:v>מענק כללי לאיזון</c:v>
                </c:pt>
                <c:pt idx="5">
                  <c:v>מענקים אחרים ממשרד הפנים</c:v>
                </c:pt>
                <c:pt idx="6">
                  <c:v>משרדי ממשלה אחרים</c:v>
                </c:pt>
              </c:strCache>
            </c:strRef>
          </c:cat>
          <c:val>
            <c:numRef>
              <c:f>גרפים!$E$43:$E$49</c:f>
              <c:numCache>
                <c:formatCode>_ * #,##0_ ;_ * \-#,##0_ ;_ * "-"??_ ;_ @_ </c:formatCode>
                <c:ptCount val="7"/>
                <c:pt idx="0">
                  <c:v>51967.526399999995</c:v>
                </c:pt>
                <c:pt idx="1">
                  <c:v>42575.121653333335</c:v>
                </c:pt>
                <c:pt idx="2">
                  <c:v>29028.041666666664</c:v>
                </c:pt>
                <c:pt idx="3">
                  <c:v>24367.673004675002</c:v>
                </c:pt>
                <c:pt idx="4">
                  <c:v>29979</c:v>
                </c:pt>
                <c:pt idx="5">
                  <c:v>7940.866</c:v>
                </c:pt>
                <c:pt idx="6">
                  <c:v>4774.3419999999996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740-4F38-950E-EEFA6EABEE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גרפים!$D$86:$D$90</c:f>
              <c:strCache>
                <c:ptCount val="5"/>
                <c:pt idx="0">
                  <c:v>שכר</c:v>
                </c:pt>
                <c:pt idx="1">
                  <c:v>פעולות</c:v>
                </c:pt>
                <c:pt idx="2">
                  <c:v>הוצאות חד פעמיות</c:v>
                </c:pt>
                <c:pt idx="3">
                  <c:v>פרעון מלוות</c:v>
                </c:pt>
                <c:pt idx="4">
                  <c:v>הוצאות מימון</c:v>
                </c:pt>
              </c:strCache>
            </c:strRef>
          </c:cat>
          <c:val>
            <c:numRef>
              <c:f>גרפים!$E$86:$E$90</c:f>
              <c:numCache>
                <c:formatCode>_ * #,##0_ ;_ * \-#,##0_ ;_ * "-"??_ ;_ @_ </c:formatCode>
                <c:ptCount val="5"/>
                <c:pt idx="0">
                  <c:v>86185.933382010626</c:v>
                </c:pt>
                <c:pt idx="1">
                  <c:v>103744.07095833334</c:v>
                </c:pt>
                <c:pt idx="2">
                  <c:v>6577.174</c:v>
                </c:pt>
                <c:pt idx="3">
                  <c:v>1872</c:v>
                </c:pt>
                <c:pt idx="4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2-45C9-9748-6882C24D4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1001432"/>
        <c:axId val="171002216"/>
      </c:barChart>
      <c:catAx>
        <c:axId val="1710014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002216"/>
        <c:crosses val="autoZero"/>
        <c:auto val="1"/>
        <c:lblAlgn val="ctr"/>
        <c:lblOffset val="100"/>
        <c:noMultiLvlLbl val="0"/>
      </c:catAx>
      <c:valAx>
        <c:axId val="171002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001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F3-4669-913F-A3D34DF2F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F3-4669-913F-A3D34DF2F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F3-4669-913F-A3D34DF2F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F3-4669-913F-A3D34DF2F4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F3-4669-913F-A3D34DF2F4F2}"/>
              </c:ext>
            </c:extLst>
          </c:dPt>
          <c:dLbls>
            <c:dLbl>
              <c:idx val="0"/>
              <c:layout>
                <c:manualLayout>
                  <c:x val="5.989766144096853E-2"/>
                  <c:y val="-5.36566451920782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3-4669-913F-A3D34DF2F4F2}"/>
                </c:ext>
              </c:extLst>
            </c:dLbl>
            <c:dLbl>
              <c:idx val="1"/>
              <c:layout>
                <c:manualLayout>
                  <c:x val="-6.6185240358468704E-3"/>
                  <c:y val="-7.6075817227392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3-4669-913F-A3D34DF2F4F2}"/>
                </c:ext>
              </c:extLst>
            </c:dLbl>
            <c:dLbl>
              <c:idx val="2"/>
              <c:layout>
                <c:manualLayout>
                  <c:x val="-0.179886595256674"/>
                  <c:y val="-2.08652469577666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3-4669-913F-A3D34DF2F4F2}"/>
                </c:ext>
              </c:extLst>
            </c:dLbl>
            <c:dLbl>
              <c:idx val="3"/>
              <c:layout>
                <c:manualLayout>
                  <c:x val="-7.6318743940791189E-2"/>
                  <c:y val="4.75542829873538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F3-4669-913F-A3D34DF2F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גרפים!$D$123:$D$127</c:f>
              <c:strCache>
                <c:ptCount val="5"/>
                <c:pt idx="0">
                  <c:v>מנהל כללי וכספי</c:v>
                </c:pt>
                <c:pt idx="1">
                  <c:v>שרותיים מקומיים</c:v>
                </c:pt>
                <c:pt idx="2">
                  <c:v>שרותיים ממלכתיים</c:v>
                </c:pt>
                <c:pt idx="3">
                  <c:v>מפעלים ותשלומים בלתי רגילים</c:v>
                </c:pt>
                <c:pt idx="4">
                  <c:v>פרעון מלוות והוצאות מימון</c:v>
                </c:pt>
              </c:strCache>
            </c:strRef>
          </c:cat>
          <c:val>
            <c:numRef>
              <c:f>גרפים!$E$123:$E$127</c:f>
              <c:numCache>
                <c:formatCode>_ * #,##0_ ;_ * \-#,##0_ ;_ * "-"??_ ;_ @_ </c:formatCode>
                <c:ptCount val="5"/>
                <c:pt idx="0">
                  <c:v>15504.800902010582</c:v>
                </c:pt>
                <c:pt idx="1">
                  <c:v>35427.993119999999</c:v>
                </c:pt>
                <c:pt idx="2">
                  <c:v>95952.682778333328</c:v>
                </c:pt>
                <c:pt idx="3">
                  <c:v>49621.701540000038</c:v>
                </c:pt>
                <c:pt idx="4">
                  <c:v>2724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F3-4669-913F-A3D34DF2F4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14</xdr:col>
      <xdr:colOff>419100</xdr:colOff>
      <xdr:row>41</xdr:row>
      <xdr:rowOff>155575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152150" y="0"/>
          <a:ext cx="7737475" cy="750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313764</xdr:colOff>
      <xdr:row>18</xdr:row>
      <xdr:rowOff>47626</xdr:rowOff>
    </xdr:from>
    <xdr:to>
      <xdr:col>7</xdr:col>
      <xdr:colOff>201706</xdr:colOff>
      <xdr:row>31</xdr:row>
      <xdr:rowOff>152401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328707</xdr:colOff>
      <xdr:row>54</xdr:row>
      <xdr:rowOff>22412</xdr:rowOff>
    </xdr:from>
    <xdr:to>
      <xdr:col>7</xdr:col>
      <xdr:colOff>298825</xdr:colOff>
      <xdr:row>73</xdr:row>
      <xdr:rowOff>70412</xdr:rowOff>
    </xdr:to>
    <xdr:graphicFrame macro="">
      <xdr:nvGraphicFramePr>
        <xdr:cNvPr id="5" name="תרשים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19049</xdr:colOff>
      <xdr:row>97</xdr:row>
      <xdr:rowOff>112059</xdr:rowOff>
    </xdr:from>
    <xdr:to>
      <xdr:col>7</xdr:col>
      <xdr:colOff>78440</xdr:colOff>
      <xdr:row>112</xdr:row>
      <xdr:rowOff>28575</xdr:rowOff>
    </xdr:to>
    <xdr:graphicFrame macro="">
      <xdr:nvGraphicFramePr>
        <xdr:cNvPr id="6" name="תרשים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56028</xdr:colOff>
      <xdr:row>134</xdr:row>
      <xdr:rowOff>161925</xdr:rowOff>
    </xdr:from>
    <xdr:to>
      <xdr:col>7</xdr:col>
      <xdr:colOff>628649</xdr:colOff>
      <xdr:row>151</xdr:row>
      <xdr:rowOff>114300</xdr:rowOff>
    </xdr:to>
    <xdr:graphicFrame macro="">
      <xdr:nvGraphicFramePr>
        <xdr:cNvPr id="7" name="תרשים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adwan\Downloads\&#1514;&#1511;&#1510;&#1497;&#1489;%202018%20&#1502;&#1497;&#1493;&#1501;%202212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laa-pc.g\&#1514;&#1511;&#1510;&#1497;&#1489;&#1497;&#1501;\&#1514;&#1511;&#1510;&#1497;&#1489;&#1497;&#1501;%202016\&#1491;&#1488;&#1500;&#1497;&#1492;\&#1514;&#1511;&#1510;&#1497;&#1489;%20+%20&#1514;&#1493;&#1499;&#1504;&#1497;&#1514;%20&#1492;&#1489;&#1512;&#1488;&#1492;%202016\&#1514;&#1493;&#1499;&#1504;&#1497;&#1514;%20&#1492;&#1489;&#1512;&#1488;&#1492;%202016-%20&#1514;&#1511;&#1510;&#1497;&#1489;%20&#1512;&#1490;&#1497;&#1500;%20-%20&#1490;&#1512;&#1505;&#1492;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 תקציב רגיל"/>
      <sheetName val="תוכן"/>
      <sheetName val="פקודת יומן "/>
      <sheetName val="ריכוז לפי עובדים"/>
      <sheetName val="גיליון1"/>
      <sheetName val="רכוז נתוני התקציב"/>
      <sheetName val="הצעה סופית "/>
      <sheetName val="טבלה 1"/>
      <sheetName val="טבלה 2 "/>
      <sheetName val="ריכוז לפי פרקים "/>
      <sheetName val="ריכוז לפי פרקים  (2)"/>
      <sheetName val="טבלה 1 להדפסה "/>
      <sheetName val="הסברים לטבלה 1"/>
      <sheetName val="טבלה 4"/>
      <sheetName val="טבלה5 "/>
      <sheetName val="טבלה 6 - תקצוב קרנות פיתוח"/>
      <sheetName val="טבלה 6 - תקצוב קרנות פיתוח (17)"/>
      <sheetName val="נספח א.1"/>
      <sheetName val="נספח א.2"/>
      <sheetName val="נספח א.2 (1)"/>
      <sheetName val="נספח ג'תוכנית גיוס אשראי"/>
      <sheetName val="נספח ד'ערבויות "/>
      <sheetName val="נספח ה' סקר נכסים"/>
      <sheetName val="נספח ז' (1) תאגוד מים"/>
      <sheetName val="נספח ז' (2) מפעל הביוב"/>
      <sheetName val="נספח ז' (3) התחיבו הרשות"/>
      <sheetName val="נספח ט' - הגא כללי ארצי"/>
      <sheetName val="נספח י' פעילות חירום"/>
      <sheetName val="נספח י&quot;א' תאגידים"/>
      <sheetName val="גיליון6"/>
      <sheetName val="גיליון2"/>
      <sheetName val="גיליון3"/>
    </sheetNames>
    <sheetDataSet>
      <sheetData sheetId="0"/>
      <sheetData sheetId="1"/>
      <sheetData sheetId="2"/>
      <sheetData sheetId="3"/>
      <sheetData sheetId="4"/>
      <sheetData sheetId="5">
        <row r="1">
          <cell r="C1">
            <v>0</v>
          </cell>
          <cell r="G1">
            <v>0</v>
          </cell>
          <cell r="J1">
            <v>0</v>
          </cell>
          <cell r="L1">
            <v>0</v>
          </cell>
        </row>
        <row r="2">
          <cell r="C2" t="str">
            <v>ק. סיכום</v>
          </cell>
          <cell r="G2" t="str">
            <v>פרק</v>
          </cell>
          <cell r="I2" t="str">
            <v xml:space="preserve">שם מחלקה </v>
          </cell>
          <cell r="J2" t="str">
            <v>טבלה2</v>
          </cell>
          <cell r="K2" t="str">
            <v>אגרות והיטלים</v>
          </cell>
          <cell r="L2" t="str">
            <v>מספר חשבון</v>
          </cell>
        </row>
        <row r="3">
          <cell r="C3">
            <v>111</v>
          </cell>
          <cell r="G3">
            <v>11</v>
          </cell>
          <cell r="I3" t="str">
            <v>ארנונה</v>
          </cell>
          <cell r="J3">
            <v>0</v>
          </cell>
          <cell r="K3">
            <v>0</v>
          </cell>
          <cell r="L3">
            <v>1111100100</v>
          </cell>
        </row>
        <row r="4">
          <cell r="C4">
            <v>111</v>
          </cell>
          <cell r="G4">
            <v>11</v>
          </cell>
          <cell r="I4" t="str">
            <v>ארנונה</v>
          </cell>
          <cell r="J4">
            <v>0</v>
          </cell>
          <cell r="K4">
            <v>0</v>
          </cell>
          <cell r="L4">
            <v>1111200100</v>
          </cell>
        </row>
        <row r="5">
          <cell r="C5">
            <v>111</v>
          </cell>
          <cell r="G5">
            <v>11</v>
          </cell>
          <cell r="I5" t="str">
            <v>ארנונה</v>
          </cell>
          <cell r="J5">
            <v>0</v>
          </cell>
          <cell r="K5">
            <v>0</v>
          </cell>
          <cell r="L5">
            <v>1111310100</v>
          </cell>
        </row>
        <row r="6">
          <cell r="C6">
            <v>141</v>
          </cell>
          <cell r="G6">
            <v>11</v>
          </cell>
          <cell r="I6" t="str">
            <v>ארנונה</v>
          </cell>
          <cell r="J6">
            <v>0</v>
          </cell>
          <cell r="K6">
            <v>0</v>
          </cell>
          <cell r="L6">
            <v>1115000100</v>
          </cell>
        </row>
        <row r="7">
          <cell r="C7">
            <v>115</v>
          </cell>
          <cell r="G7">
            <v>12</v>
          </cell>
          <cell r="I7" t="str">
            <v>אגרות</v>
          </cell>
          <cell r="J7">
            <v>12</v>
          </cell>
          <cell r="K7">
            <v>0</v>
          </cell>
          <cell r="L7">
            <v>1121000290</v>
          </cell>
        </row>
        <row r="8">
          <cell r="C8">
            <v>115</v>
          </cell>
          <cell r="G8">
            <v>12</v>
          </cell>
          <cell r="I8" t="str">
            <v>מענקים כלליים</v>
          </cell>
          <cell r="J8">
            <v>12</v>
          </cell>
          <cell r="K8">
            <v>0</v>
          </cell>
          <cell r="L8">
            <v>1191000910</v>
          </cell>
        </row>
        <row r="9">
          <cell r="C9">
            <v>125</v>
          </cell>
          <cell r="G9">
            <v>19</v>
          </cell>
          <cell r="I9" t="str">
            <v>מענקים כלליים</v>
          </cell>
          <cell r="J9">
            <v>0</v>
          </cell>
          <cell r="K9">
            <v>0</v>
          </cell>
          <cell r="L9">
            <v>1191000920</v>
          </cell>
        </row>
        <row r="10">
          <cell r="C10">
            <v>148</v>
          </cell>
          <cell r="G10">
            <v>19</v>
          </cell>
          <cell r="I10" t="str">
            <v>מענקים כלליים</v>
          </cell>
          <cell r="J10">
            <v>0</v>
          </cell>
          <cell r="K10">
            <v>0</v>
          </cell>
          <cell r="L10">
            <v>1191100910</v>
          </cell>
        </row>
        <row r="11">
          <cell r="C11">
            <v>148</v>
          </cell>
          <cell r="G11">
            <v>19</v>
          </cell>
          <cell r="I11" t="str">
            <v>מענקים כלליים</v>
          </cell>
          <cell r="J11">
            <v>0</v>
          </cell>
          <cell r="K11">
            <v>0</v>
          </cell>
          <cell r="L11">
            <v>1191300910</v>
          </cell>
        </row>
        <row r="12">
          <cell r="C12">
            <v>126</v>
          </cell>
          <cell r="G12">
            <v>19</v>
          </cell>
          <cell r="I12" t="str">
            <v>מענקים כלליים</v>
          </cell>
          <cell r="J12">
            <v>0</v>
          </cell>
          <cell r="K12">
            <v>0</v>
          </cell>
          <cell r="L12">
            <v>1196000910</v>
          </cell>
        </row>
        <row r="13">
          <cell r="C13">
            <v>126</v>
          </cell>
          <cell r="G13">
            <v>19</v>
          </cell>
          <cell r="I13" t="str">
            <v>תברואה</v>
          </cell>
          <cell r="J13">
            <v>0</v>
          </cell>
          <cell r="K13">
            <v>0</v>
          </cell>
          <cell r="L13">
            <v>1211000210</v>
          </cell>
        </row>
        <row r="14">
          <cell r="C14">
            <v>126</v>
          </cell>
          <cell r="G14">
            <v>19</v>
          </cell>
          <cell r="I14" t="str">
            <v>תברואה</v>
          </cell>
          <cell r="J14">
            <v>0</v>
          </cell>
          <cell r="K14">
            <v>0</v>
          </cell>
          <cell r="L14">
            <v>1212300690</v>
          </cell>
        </row>
        <row r="15">
          <cell r="C15">
            <v>126</v>
          </cell>
          <cell r="G15">
            <v>19</v>
          </cell>
          <cell r="I15" t="str">
            <v>תברואה</v>
          </cell>
          <cell r="J15">
            <v>0</v>
          </cell>
          <cell r="K15">
            <v>0</v>
          </cell>
          <cell r="L15">
            <v>1213300290</v>
          </cell>
        </row>
        <row r="16">
          <cell r="C16">
            <v>115</v>
          </cell>
          <cell r="G16">
            <v>21</v>
          </cell>
          <cell r="I16" t="str">
            <v>תברואה</v>
          </cell>
          <cell r="J16">
            <v>21</v>
          </cell>
          <cell r="K16">
            <v>0</v>
          </cell>
          <cell r="L16">
            <v>1214300220</v>
          </cell>
        </row>
        <row r="17">
          <cell r="C17">
            <v>115</v>
          </cell>
          <cell r="G17">
            <v>21</v>
          </cell>
          <cell r="I17" t="str">
            <v>שמירה ובטחון</v>
          </cell>
          <cell r="J17">
            <v>21</v>
          </cell>
          <cell r="K17">
            <v>0</v>
          </cell>
          <cell r="L17">
            <v>1220000970</v>
          </cell>
        </row>
        <row r="18">
          <cell r="C18">
            <v>115</v>
          </cell>
          <cell r="G18">
            <v>21</v>
          </cell>
          <cell r="I18" t="str">
            <v>שמירה ובטחון</v>
          </cell>
          <cell r="J18">
            <v>21</v>
          </cell>
          <cell r="K18">
            <v>0</v>
          </cell>
          <cell r="L18">
            <v>1220000990</v>
          </cell>
        </row>
        <row r="19">
          <cell r="C19">
            <v>115</v>
          </cell>
          <cell r="G19">
            <v>21</v>
          </cell>
          <cell r="I19" t="str">
            <v>שמירה ובטחון</v>
          </cell>
          <cell r="J19">
            <v>21</v>
          </cell>
          <cell r="K19">
            <v>0</v>
          </cell>
          <cell r="L19">
            <v>1222100990</v>
          </cell>
        </row>
        <row r="20">
          <cell r="C20">
            <v>123</v>
          </cell>
          <cell r="G20">
            <v>22</v>
          </cell>
          <cell r="I20" t="str">
            <v>תכנון ובנין עיר</v>
          </cell>
          <cell r="J20">
            <v>0</v>
          </cell>
          <cell r="K20">
            <v>0</v>
          </cell>
          <cell r="L20">
            <v>1233100710</v>
          </cell>
        </row>
        <row r="21">
          <cell r="C21">
            <v>123</v>
          </cell>
          <cell r="G21">
            <v>22</v>
          </cell>
          <cell r="I21" t="str">
            <v>תכנון ובנין עיר</v>
          </cell>
          <cell r="J21">
            <v>0</v>
          </cell>
          <cell r="K21">
            <v>0</v>
          </cell>
          <cell r="L21">
            <v>1233110290</v>
          </cell>
        </row>
        <row r="22">
          <cell r="C22">
            <v>123</v>
          </cell>
          <cell r="G22">
            <v>22</v>
          </cell>
          <cell r="I22" t="str">
            <v>תכנון ובנין עיר</v>
          </cell>
          <cell r="J22">
            <v>0</v>
          </cell>
          <cell r="K22">
            <v>0</v>
          </cell>
          <cell r="L22">
            <v>1233400310</v>
          </cell>
        </row>
        <row r="23">
          <cell r="C23">
            <v>123</v>
          </cell>
          <cell r="G23">
            <v>22</v>
          </cell>
          <cell r="I23" t="str">
            <v>תכנון ובנין עיר</v>
          </cell>
          <cell r="J23">
            <v>0</v>
          </cell>
          <cell r="K23">
            <v>0</v>
          </cell>
          <cell r="L23">
            <v>1233500310</v>
          </cell>
        </row>
        <row r="24">
          <cell r="C24">
            <v>115</v>
          </cell>
          <cell r="G24">
            <v>23</v>
          </cell>
          <cell r="I24" t="str">
            <v>תכנון ובנין עיר</v>
          </cell>
          <cell r="J24">
            <v>23</v>
          </cell>
          <cell r="K24">
            <v>0</v>
          </cell>
          <cell r="L24">
            <v>1233600310</v>
          </cell>
        </row>
        <row r="25">
          <cell r="C25">
            <v>115</v>
          </cell>
          <cell r="G25">
            <v>23</v>
          </cell>
          <cell r="I25" t="str">
            <v>נכסים ציבוריים</v>
          </cell>
          <cell r="J25">
            <v>23</v>
          </cell>
          <cell r="K25">
            <v>0</v>
          </cell>
          <cell r="L25">
            <v>1247000990</v>
          </cell>
        </row>
        <row r="26">
          <cell r="C26">
            <v>115</v>
          </cell>
          <cell r="G26">
            <v>23</v>
          </cell>
          <cell r="I26" t="str">
            <v>נכסים ציבוריים</v>
          </cell>
          <cell r="J26">
            <v>23</v>
          </cell>
          <cell r="K26">
            <v>2</v>
          </cell>
          <cell r="L26">
            <v>1247100990</v>
          </cell>
        </row>
        <row r="27">
          <cell r="C27">
            <v>115</v>
          </cell>
          <cell r="G27">
            <v>23</v>
          </cell>
          <cell r="I27" t="str">
            <v>נכסים ציבוריים</v>
          </cell>
          <cell r="J27">
            <v>23</v>
          </cell>
          <cell r="K27">
            <v>0</v>
          </cell>
          <cell r="L27">
            <v>1248000990</v>
          </cell>
        </row>
        <row r="28">
          <cell r="C28">
            <v>115</v>
          </cell>
          <cell r="G28">
            <v>23</v>
          </cell>
          <cell r="I28" t="str">
            <v>שירותים עירוניים שונים</v>
          </cell>
          <cell r="J28">
            <v>23</v>
          </cell>
          <cell r="K28">
            <v>0</v>
          </cell>
          <cell r="L28">
            <v>1269000690</v>
          </cell>
        </row>
        <row r="29">
          <cell r="C29">
            <v>115</v>
          </cell>
          <cell r="G29">
            <v>24</v>
          </cell>
          <cell r="I29" t="str">
            <v>שירותים עירוניים שונים</v>
          </cell>
          <cell r="J29">
            <v>24</v>
          </cell>
          <cell r="K29">
            <v>0</v>
          </cell>
          <cell r="L29">
            <v>1269000790</v>
          </cell>
        </row>
        <row r="30">
          <cell r="C30">
            <v>123</v>
          </cell>
          <cell r="G30">
            <v>24</v>
          </cell>
          <cell r="I30" t="str">
            <v>שירותים עירוניים שונים</v>
          </cell>
          <cell r="J30">
            <v>0</v>
          </cell>
          <cell r="K30">
            <v>0</v>
          </cell>
          <cell r="L30">
            <v>1269100220</v>
          </cell>
        </row>
        <row r="31">
          <cell r="C31">
            <v>123</v>
          </cell>
          <cell r="G31">
            <v>24</v>
          </cell>
          <cell r="I31" t="str">
            <v>שירותים עירוניים שונים</v>
          </cell>
          <cell r="J31">
            <v>0</v>
          </cell>
          <cell r="K31">
            <v>0</v>
          </cell>
          <cell r="L31">
            <v>1269100690</v>
          </cell>
        </row>
        <row r="32">
          <cell r="C32">
            <v>123</v>
          </cell>
          <cell r="G32">
            <v>26</v>
          </cell>
          <cell r="I32" t="str">
            <v>שירותים עירוניים שונים</v>
          </cell>
          <cell r="J32">
            <v>0</v>
          </cell>
          <cell r="K32">
            <v>0</v>
          </cell>
          <cell r="L32">
            <v>1269120690</v>
          </cell>
        </row>
        <row r="33">
          <cell r="C33">
            <v>115</v>
          </cell>
          <cell r="G33">
            <v>26</v>
          </cell>
          <cell r="I33" t="str">
            <v>מינהל החינוך</v>
          </cell>
          <cell r="J33">
            <v>26</v>
          </cell>
          <cell r="K33">
            <v>0</v>
          </cell>
          <cell r="L33">
            <v>1311000920</v>
          </cell>
        </row>
        <row r="34">
          <cell r="C34">
            <v>115</v>
          </cell>
          <cell r="G34">
            <v>26</v>
          </cell>
          <cell r="I34" t="str">
            <v>מינהל החינוך</v>
          </cell>
          <cell r="J34">
            <v>26</v>
          </cell>
          <cell r="K34">
            <v>0</v>
          </cell>
          <cell r="L34">
            <v>1311200920</v>
          </cell>
        </row>
        <row r="35">
          <cell r="C35">
            <v>115</v>
          </cell>
          <cell r="G35">
            <v>26</v>
          </cell>
          <cell r="I35" t="str">
            <v>גני ילדים גיל חובה</v>
          </cell>
          <cell r="J35">
            <v>26</v>
          </cell>
          <cell r="K35">
            <v>0</v>
          </cell>
          <cell r="L35">
            <v>1312000920</v>
          </cell>
        </row>
        <row r="36">
          <cell r="C36">
            <v>115</v>
          </cell>
          <cell r="G36">
            <v>26</v>
          </cell>
          <cell r="I36" t="str">
            <v>גני ילדים גיל חובה</v>
          </cell>
          <cell r="J36">
            <v>26</v>
          </cell>
          <cell r="K36">
            <v>0</v>
          </cell>
          <cell r="L36">
            <v>1312100920</v>
          </cell>
        </row>
        <row r="37">
          <cell r="C37">
            <v>115</v>
          </cell>
          <cell r="G37">
            <v>26</v>
          </cell>
          <cell r="I37" t="str">
            <v>גני ילדים גיל חובה</v>
          </cell>
          <cell r="J37">
            <v>26</v>
          </cell>
          <cell r="K37">
            <v>0</v>
          </cell>
          <cell r="L37">
            <v>1312200410</v>
          </cell>
        </row>
        <row r="38">
          <cell r="C38">
            <v>115</v>
          </cell>
          <cell r="G38">
            <v>26</v>
          </cell>
          <cell r="I38" t="str">
            <v>גני ילדים גיל חובה</v>
          </cell>
          <cell r="J38">
            <v>26</v>
          </cell>
          <cell r="K38">
            <v>0</v>
          </cell>
          <cell r="L38">
            <v>1312200490</v>
          </cell>
        </row>
        <row r="39">
          <cell r="C39">
            <v>121</v>
          </cell>
          <cell r="G39">
            <v>31</v>
          </cell>
          <cell r="I39" t="str">
            <v>גני ילדים גיל חובה</v>
          </cell>
          <cell r="J39">
            <v>0</v>
          </cell>
          <cell r="K39">
            <v>0</v>
          </cell>
          <cell r="L39">
            <v>1312200920</v>
          </cell>
        </row>
        <row r="40">
          <cell r="C40">
            <v>121</v>
          </cell>
          <cell r="G40">
            <v>31</v>
          </cell>
          <cell r="I40" t="str">
            <v>גני ילדים גיל חובה</v>
          </cell>
          <cell r="J40">
            <v>0</v>
          </cell>
          <cell r="K40">
            <v>0</v>
          </cell>
          <cell r="L40">
            <v>1312201920</v>
          </cell>
        </row>
        <row r="41">
          <cell r="C41">
            <v>121</v>
          </cell>
          <cell r="G41">
            <v>31</v>
          </cell>
          <cell r="I41" t="str">
            <v>גני ילדים גיל חובה</v>
          </cell>
          <cell r="J41">
            <v>0</v>
          </cell>
          <cell r="K41">
            <v>0</v>
          </cell>
          <cell r="L41">
            <v>1312210920</v>
          </cell>
        </row>
        <row r="42">
          <cell r="C42">
            <v>121</v>
          </cell>
          <cell r="G42">
            <v>31</v>
          </cell>
          <cell r="I42" t="str">
            <v>גני ילדים גיל חובה</v>
          </cell>
          <cell r="J42">
            <v>0</v>
          </cell>
          <cell r="K42">
            <v>0</v>
          </cell>
          <cell r="L42">
            <v>1312211920</v>
          </cell>
        </row>
        <row r="43">
          <cell r="C43">
            <v>113</v>
          </cell>
          <cell r="G43">
            <v>31</v>
          </cell>
          <cell r="I43" t="str">
            <v>גני ילדים טרום חובה</v>
          </cell>
          <cell r="J43">
            <v>31</v>
          </cell>
          <cell r="K43">
            <v>0</v>
          </cell>
          <cell r="L43">
            <v>1312300410</v>
          </cell>
        </row>
        <row r="44">
          <cell r="C44">
            <v>113</v>
          </cell>
          <cell r="G44">
            <v>31</v>
          </cell>
          <cell r="I44" t="str">
            <v>גני ילדים טרום חובה</v>
          </cell>
          <cell r="J44">
            <v>31</v>
          </cell>
          <cell r="K44">
            <v>0</v>
          </cell>
          <cell r="L44">
            <v>1312300411</v>
          </cell>
        </row>
        <row r="45">
          <cell r="C45">
            <v>121</v>
          </cell>
          <cell r="G45">
            <v>31</v>
          </cell>
          <cell r="I45" t="str">
            <v>גני ילדים טרום חובה</v>
          </cell>
          <cell r="J45">
            <v>0</v>
          </cell>
          <cell r="K45">
            <v>0</v>
          </cell>
          <cell r="L45">
            <v>1312300490</v>
          </cell>
        </row>
        <row r="46">
          <cell r="C46">
            <v>121</v>
          </cell>
          <cell r="G46">
            <v>31</v>
          </cell>
          <cell r="I46" t="str">
            <v>גני ילדים טרום חובה</v>
          </cell>
          <cell r="J46">
            <v>0</v>
          </cell>
          <cell r="K46">
            <v>0</v>
          </cell>
          <cell r="L46">
            <v>1312300920</v>
          </cell>
        </row>
        <row r="47">
          <cell r="C47">
            <v>121</v>
          </cell>
          <cell r="G47">
            <v>31</v>
          </cell>
          <cell r="I47" t="str">
            <v>גני ילדים טרום חובה</v>
          </cell>
          <cell r="J47">
            <v>0</v>
          </cell>
          <cell r="K47">
            <v>0</v>
          </cell>
          <cell r="L47">
            <v>1312300921</v>
          </cell>
        </row>
        <row r="48">
          <cell r="C48">
            <v>121</v>
          </cell>
          <cell r="G48">
            <v>31</v>
          </cell>
          <cell r="I48" t="str">
            <v>גני ילדים טרום חובה</v>
          </cell>
          <cell r="J48">
            <v>0</v>
          </cell>
          <cell r="K48">
            <v>0</v>
          </cell>
          <cell r="L48">
            <v>1312310920</v>
          </cell>
        </row>
        <row r="49">
          <cell r="C49">
            <v>113</v>
          </cell>
          <cell r="G49">
            <v>31</v>
          </cell>
          <cell r="I49" t="str">
            <v>גני ילדים טרום חובה</v>
          </cell>
          <cell r="J49">
            <v>31</v>
          </cell>
          <cell r="K49">
            <v>0</v>
          </cell>
          <cell r="L49">
            <v>1312320920</v>
          </cell>
        </row>
        <row r="50">
          <cell r="C50">
            <v>113</v>
          </cell>
          <cell r="G50">
            <v>31</v>
          </cell>
          <cell r="I50" t="str">
            <v>מעונות ופעוטונים</v>
          </cell>
          <cell r="J50">
            <v>31</v>
          </cell>
          <cell r="K50">
            <v>0</v>
          </cell>
          <cell r="L50">
            <v>1312400920</v>
          </cell>
        </row>
        <row r="51">
          <cell r="C51">
            <v>113</v>
          </cell>
          <cell r="G51">
            <v>31</v>
          </cell>
          <cell r="I51" t="str">
            <v>גני מועדון וצהרונים</v>
          </cell>
          <cell r="J51">
            <v>31</v>
          </cell>
          <cell r="K51">
            <v>0</v>
          </cell>
          <cell r="L51">
            <v>1312500410</v>
          </cell>
        </row>
        <row r="52">
          <cell r="C52">
            <v>121</v>
          </cell>
          <cell r="G52">
            <v>31</v>
          </cell>
          <cell r="I52" t="str">
            <v>גני מועדון וצהרונים</v>
          </cell>
          <cell r="J52">
            <v>0</v>
          </cell>
          <cell r="K52">
            <v>0</v>
          </cell>
          <cell r="L52">
            <v>1312500920</v>
          </cell>
        </row>
        <row r="53">
          <cell r="C53">
            <v>121</v>
          </cell>
          <cell r="G53">
            <v>31</v>
          </cell>
          <cell r="I53" t="str">
            <v>גני ילדים לחינוך מיוחד</v>
          </cell>
          <cell r="J53">
            <v>0</v>
          </cell>
          <cell r="K53">
            <v>0</v>
          </cell>
          <cell r="L53">
            <v>1312600920</v>
          </cell>
        </row>
        <row r="54">
          <cell r="C54">
            <v>121</v>
          </cell>
          <cell r="G54">
            <v>31</v>
          </cell>
          <cell r="I54" t="str">
            <v>מינהל החינוך היסודי</v>
          </cell>
          <cell r="J54">
            <v>0</v>
          </cell>
          <cell r="K54">
            <v>0</v>
          </cell>
          <cell r="L54">
            <v>1313001920</v>
          </cell>
        </row>
        <row r="55">
          <cell r="C55">
            <v>121</v>
          </cell>
          <cell r="G55">
            <v>31</v>
          </cell>
          <cell r="I55" t="str">
            <v>מינהל החינוך היסודי</v>
          </cell>
          <cell r="J55">
            <v>0</v>
          </cell>
          <cell r="K55">
            <v>0</v>
          </cell>
          <cell r="L55">
            <v>1313002920</v>
          </cell>
        </row>
        <row r="56">
          <cell r="C56">
            <v>121</v>
          </cell>
          <cell r="G56">
            <v>31</v>
          </cell>
          <cell r="I56" t="str">
            <v>מינהל החינוך היסודי</v>
          </cell>
          <cell r="J56">
            <v>0</v>
          </cell>
          <cell r="K56">
            <v>0</v>
          </cell>
          <cell r="L56">
            <v>1313003920</v>
          </cell>
        </row>
        <row r="57">
          <cell r="C57">
            <v>113</v>
          </cell>
          <cell r="G57">
            <v>31</v>
          </cell>
          <cell r="I57" t="str">
            <v>מינהל החינוך היסודי</v>
          </cell>
          <cell r="J57">
            <v>31</v>
          </cell>
          <cell r="K57">
            <v>0</v>
          </cell>
          <cell r="L57">
            <v>1313004920</v>
          </cell>
        </row>
        <row r="58">
          <cell r="C58">
            <v>121</v>
          </cell>
          <cell r="G58">
            <v>31</v>
          </cell>
          <cell r="I58" t="str">
            <v>בתי"ס יסודיים</v>
          </cell>
          <cell r="J58">
            <v>0</v>
          </cell>
          <cell r="K58">
            <v>0</v>
          </cell>
          <cell r="L58">
            <v>1313200490</v>
          </cell>
        </row>
        <row r="59">
          <cell r="C59">
            <v>121</v>
          </cell>
          <cell r="G59">
            <v>31</v>
          </cell>
          <cell r="I59" t="str">
            <v>בתי"ס יסודיים</v>
          </cell>
          <cell r="J59">
            <v>0</v>
          </cell>
          <cell r="K59">
            <v>0</v>
          </cell>
          <cell r="L59">
            <v>1313200920</v>
          </cell>
        </row>
        <row r="60">
          <cell r="C60">
            <v>121</v>
          </cell>
          <cell r="G60">
            <v>31</v>
          </cell>
          <cell r="I60" t="str">
            <v>בתי"ס יסודיים</v>
          </cell>
          <cell r="J60">
            <v>0</v>
          </cell>
          <cell r="K60">
            <v>0</v>
          </cell>
          <cell r="L60">
            <v>1313200921</v>
          </cell>
        </row>
        <row r="61">
          <cell r="C61">
            <v>121</v>
          </cell>
          <cell r="G61">
            <v>31</v>
          </cell>
          <cell r="I61" t="str">
            <v>בתי"ס יסודיים</v>
          </cell>
          <cell r="J61">
            <v>0</v>
          </cell>
          <cell r="K61">
            <v>0</v>
          </cell>
          <cell r="L61">
            <v>1313201920</v>
          </cell>
        </row>
        <row r="62">
          <cell r="C62">
            <v>121</v>
          </cell>
          <cell r="G62">
            <v>31</v>
          </cell>
          <cell r="I62" t="str">
            <v>בתי"ס יסודיים</v>
          </cell>
          <cell r="J62">
            <v>0</v>
          </cell>
          <cell r="K62">
            <v>0</v>
          </cell>
          <cell r="L62">
            <v>1313202920</v>
          </cell>
        </row>
        <row r="63">
          <cell r="C63">
            <v>121</v>
          </cell>
          <cell r="G63">
            <v>31</v>
          </cell>
          <cell r="I63" t="str">
            <v>בתי"ס יסודיים</v>
          </cell>
          <cell r="J63">
            <v>0</v>
          </cell>
          <cell r="K63">
            <v>0</v>
          </cell>
          <cell r="L63">
            <v>1313203920</v>
          </cell>
        </row>
        <row r="64">
          <cell r="C64">
            <v>113</v>
          </cell>
          <cell r="G64">
            <v>31</v>
          </cell>
          <cell r="I64" t="str">
            <v>בתי"ס יסודיים</v>
          </cell>
          <cell r="J64">
            <v>31</v>
          </cell>
          <cell r="K64">
            <v>0</v>
          </cell>
          <cell r="L64">
            <v>1313205920</v>
          </cell>
        </row>
        <row r="65">
          <cell r="C65">
            <v>121</v>
          </cell>
          <cell r="G65">
            <v>31</v>
          </cell>
          <cell r="I65" t="str">
            <v>בתי"ס יסודיים</v>
          </cell>
          <cell r="J65">
            <v>0</v>
          </cell>
          <cell r="K65">
            <v>0</v>
          </cell>
          <cell r="L65">
            <v>1313206410</v>
          </cell>
        </row>
        <row r="66">
          <cell r="C66">
            <v>121</v>
          </cell>
          <cell r="G66">
            <v>31</v>
          </cell>
          <cell r="I66" t="str">
            <v>בתי"ס יסודיים</v>
          </cell>
          <cell r="J66">
            <v>0</v>
          </cell>
          <cell r="K66">
            <v>0</v>
          </cell>
          <cell r="L66">
            <v>1313206810</v>
          </cell>
        </row>
        <row r="67">
          <cell r="C67">
            <v>121</v>
          </cell>
          <cell r="G67">
            <v>31</v>
          </cell>
          <cell r="I67" t="str">
            <v>בתי"ס יסודיים</v>
          </cell>
          <cell r="J67">
            <v>0</v>
          </cell>
          <cell r="K67">
            <v>0</v>
          </cell>
          <cell r="L67">
            <v>1313207920</v>
          </cell>
        </row>
        <row r="68">
          <cell r="C68">
            <v>121</v>
          </cell>
          <cell r="G68">
            <v>31</v>
          </cell>
          <cell r="I68" t="str">
            <v>בתי"ס יסודיים</v>
          </cell>
          <cell r="J68">
            <v>0</v>
          </cell>
          <cell r="K68">
            <v>0</v>
          </cell>
          <cell r="L68">
            <v>1313209920</v>
          </cell>
        </row>
        <row r="69">
          <cell r="C69">
            <v>121</v>
          </cell>
          <cell r="G69">
            <v>31</v>
          </cell>
          <cell r="I69" t="str">
            <v>בתי"ס יסודיים</v>
          </cell>
          <cell r="J69">
            <v>0</v>
          </cell>
          <cell r="K69">
            <v>0</v>
          </cell>
          <cell r="L69">
            <v>1313210920</v>
          </cell>
        </row>
        <row r="70">
          <cell r="C70">
            <v>121</v>
          </cell>
          <cell r="G70">
            <v>31</v>
          </cell>
          <cell r="I70" t="str">
            <v>בתי"ס יסודיים</v>
          </cell>
          <cell r="J70">
            <v>0</v>
          </cell>
          <cell r="K70">
            <v>0</v>
          </cell>
          <cell r="L70">
            <v>1313210921</v>
          </cell>
        </row>
        <row r="71">
          <cell r="C71">
            <v>113</v>
          </cell>
          <cell r="G71">
            <v>31</v>
          </cell>
          <cell r="I71" t="str">
            <v>בתי"ס יסודיים</v>
          </cell>
          <cell r="J71">
            <v>31</v>
          </cell>
          <cell r="K71">
            <v>0</v>
          </cell>
          <cell r="L71">
            <v>1313211920</v>
          </cell>
        </row>
        <row r="72">
          <cell r="C72">
            <v>113</v>
          </cell>
          <cell r="G72">
            <v>31</v>
          </cell>
          <cell r="I72" t="str">
            <v>בתי"ס יסודיים</v>
          </cell>
          <cell r="J72">
            <v>31</v>
          </cell>
          <cell r="K72">
            <v>0</v>
          </cell>
          <cell r="L72">
            <v>1313211921</v>
          </cell>
        </row>
        <row r="73">
          <cell r="C73">
            <v>121</v>
          </cell>
          <cell r="G73">
            <v>31</v>
          </cell>
          <cell r="I73" t="str">
            <v>בתי"ס יסודיים</v>
          </cell>
          <cell r="J73">
            <v>0</v>
          </cell>
          <cell r="K73">
            <v>0</v>
          </cell>
          <cell r="L73">
            <v>1313212920</v>
          </cell>
        </row>
        <row r="74">
          <cell r="C74">
            <v>121</v>
          </cell>
          <cell r="G74">
            <v>31</v>
          </cell>
          <cell r="I74" t="str">
            <v>בתי"ס יסודיים</v>
          </cell>
          <cell r="J74">
            <v>0</v>
          </cell>
          <cell r="K74">
            <v>0</v>
          </cell>
          <cell r="L74">
            <v>1313213920</v>
          </cell>
        </row>
        <row r="75">
          <cell r="C75">
            <v>121</v>
          </cell>
          <cell r="G75">
            <v>31</v>
          </cell>
          <cell r="I75" t="str">
            <v>בתי"ס יסודיים</v>
          </cell>
          <cell r="J75">
            <v>0</v>
          </cell>
          <cell r="K75">
            <v>0</v>
          </cell>
          <cell r="L75">
            <v>1313213970</v>
          </cell>
        </row>
        <row r="76">
          <cell r="C76">
            <v>121</v>
          </cell>
          <cell r="G76">
            <v>31</v>
          </cell>
          <cell r="I76" t="str">
            <v>בתי"ס יסודיים</v>
          </cell>
          <cell r="J76">
            <v>0</v>
          </cell>
          <cell r="K76">
            <v>0</v>
          </cell>
          <cell r="L76">
            <v>1313213990</v>
          </cell>
        </row>
        <row r="77">
          <cell r="C77">
            <v>121</v>
          </cell>
          <cell r="G77">
            <v>31</v>
          </cell>
          <cell r="I77" t="str">
            <v>בתי"ס יסודיים</v>
          </cell>
          <cell r="J77">
            <v>0</v>
          </cell>
          <cell r="K77">
            <v>0</v>
          </cell>
          <cell r="L77">
            <v>1313214410</v>
          </cell>
        </row>
        <row r="78">
          <cell r="C78">
            <v>121</v>
          </cell>
          <cell r="G78">
            <v>31</v>
          </cell>
          <cell r="I78" t="str">
            <v>בתי"ס יסודיים</v>
          </cell>
          <cell r="J78">
            <v>0</v>
          </cell>
          <cell r="K78">
            <v>0</v>
          </cell>
          <cell r="L78">
            <v>1313214920</v>
          </cell>
        </row>
        <row r="79">
          <cell r="C79">
            <v>121</v>
          </cell>
          <cell r="G79">
            <v>31</v>
          </cell>
          <cell r="I79" t="str">
            <v>בתי"ס יסודיים</v>
          </cell>
          <cell r="J79">
            <v>0</v>
          </cell>
          <cell r="K79">
            <v>0</v>
          </cell>
          <cell r="L79">
            <v>1313215920</v>
          </cell>
        </row>
        <row r="80">
          <cell r="C80">
            <v>121</v>
          </cell>
          <cell r="G80">
            <v>31</v>
          </cell>
          <cell r="I80" t="str">
            <v>בתי"ס יסודיים</v>
          </cell>
          <cell r="J80">
            <v>0</v>
          </cell>
          <cell r="K80">
            <v>0</v>
          </cell>
          <cell r="L80">
            <v>1313216920</v>
          </cell>
        </row>
        <row r="81">
          <cell r="C81">
            <v>115</v>
          </cell>
          <cell r="G81">
            <v>31</v>
          </cell>
          <cell r="I81" t="str">
            <v>בתי"ס יסודיים</v>
          </cell>
          <cell r="J81">
            <v>31</v>
          </cell>
          <cell r="K81">
            <v>0</v>
          </cell>
          <cell r="L81">
            <v>1313217920</v>
          </cell>
        </row>
        <row r="82">
          <cell r="C82">
            <v>115</v>
          </cell>
          <cell r="G82">
            <v>31</v>
          </cell>
          <cell r="I82" t="str">
            <v>בתי"ס יסודיים</v>
          </cell>
          <cell r="J82">
            <v>31</v>
          </cell>
          <cell r="K82">
            <v>0</v>
          </cell>
          <cell r="L82">
            <v>1313220920</v>
          </cell>
        </row>
        <row r="83">
          <cell r="C83">
            <v>113</v>
          </cell>
          <cell r="G83">
            <v>31</v>
          </cell>
          <cell r="I83" t="str">
            <v>בתי"ס יסודיים</v>
          </cell>
          <cell r="J83">
            <v>31</v>
          </cell>
          <cell r="K83">
            <v>0</v>
          </cell>
          <cell r="L83">
            <v>1313221920</v>
          </cell>
        </row>
        <row r="84">
          <cell r="C84">
            <v>121</v>
          </cell>
          <cell r="G84">
            <v>31</v>
          </cell>
          <cell r="I84" t="str">
            <v>בתי"ס יסודיים</v>
          </cell>
          <cell r="J84">
            <v>0</v>
          </cell>
          <cell r="K84">
            <v>0</v>
          </cell>
          <cell r="L84">
            <v>1313230920</v>
          </cell>
        </row>
        <row r="85">
          <cell r="C85">
            <v>121</v>
          </cell>
          <cell r="G85">
            <v>31</v>
          </cell>
          <cell r="I85" t="str">
            <v>בתי"ס יסודיים</v>
          </cell>
          <cell r="J85">
            <v>0</v>
          </cell>
          <cell r="K85">
            <v>0</v>
          </cell>
          <cell r="L85">
            <v>1313240920</v>
          </cell>
        </row>
        <row r="86">
          <cell r="C86">
            <v>121</v>
          </cell>
          <cell r="G86">
            <v>31</v>
          </cell>
          <cell r="I86" t="str">
            <v>בתי"ס יסודיים</v>
          </cell>
          <cell r="J86">
            <v>0</v>
          </cell>
          <cell r="K86">
            <v>0</v>
          </cell>
          <cell r="L86">
            <v>1313250920</v>
          </cell>
        </row>
        <row r="87">
          <cell r="C87">
            <v>121</v>
          </cell>
          <cell r="G87">
            <v>31</v>
          </cell>
          <cell r="I87" t="str">
            <v>בתי"ס יסודיים</v>
          </cell>
          <cell r="J87">
            <v>0</v>
          </cell>
          <cell r="K87">
            <v>0</v>
          </cell>
          <cell r="L87">
            <v>1313260920</v>
          </cell>
        </row>
        <row r="88">
          <cell r="C88">
            <v>121</v>
          </cell>
          <cell r="G88">
            <v>31</v>
          </cell>
          <cell r="I88" t="str">
            <v>בתי"ס יסודיים</v>
          </cell>
          <cell r="J88">
            <v>0</v>
          </cell>
          <cell r="K88">
            <v>0</v>
          </cell>
          <cell r="L88">
            <v>1313270920</v>
          </cell>
        </row>
        <row r="89">
          <cell r="C89">
            <v>121</v>
          </cell>
          <cell r="G89">
            <v>31</v>
          </cell>
          <cell r="I89" t="str">
            <v>בתי"ס יסודיים</v>
          </cell>
          <cell r="J89">
            <v>0</v>
          </cell>
          <cell r="K89">
            <v>0</v>
          </cell>
          <cell r="L89">
            <v>1313280920</v>
          </cell>
        </row>
        <row r="90">
          <cell r="C90">
            <v>121</v>
          </cell>
          <cell r="G90">
            <v>31</v>
          </cell>
          <cell r="I90" t="str">
            <v>בתי"ס יסודיים</v>
          </cell>
          <cell r="J90">
            <v>0</v>
          </cell>
          <cell r="K90">
            <v>0</v>
          </cell>
          <cell r="L90">
            <v>1313290920</v>
          </cell>
        </row>
        <row r="91">
          <cell r="C91">
            <v>121</v>
          </cell>
          <cell r="G91">
            <v>31</v>
          </cell>
          <cell r="I91" t="str">
            <v>חינוך מיוחד</v>
          </cell>
          <cell r="J91">
            <v>0</v>
          </cell>
          <cell r="K91">
            <v>0</v>
          </cell>
          <cell r="L91">
            <v>1313310920</v>
          </cell>
        </row>
        <row r="92">
          <cell r="C92">
            <v>121</v>
          </cell>
          <cell r="G92">
            <v>31</v>
          </cell>
          <cell r="I92" t="str">
            <v>חינוך מיוחד</v>
          </cell>
          <cell r="J92">
            <v>0</v>
          </cell>
          <cell r="K92">
            <v>0</v>
          </cell>
          <cell r="L92">
            <v>1313312920</v>
          </cell>
        </row>
        <row r="93">
          <cell r="C93">
            <v>121</v>
          </cell>
          <cell r="G93">
            <v>31</v>
          </cell>
          <cell r="I93" t="str">
            <v>חינוך מיוחד</v>
          </cell>
          <cell r="J93">
            <v>0</v>
          </cell>
          <cell r="K93">
            <v>0</v>
          </cell>
          <cell r="L93">
            <v>1313313920</v>
          </cell>
        </row>
        <row r="94">
          <cell r="C94">
            <v>121</v>
          </cell>
          <cell r="G94">
            <v>31</v>
          </cell>
          <cell r="I94" t="str">
            <v>חינוך מיוחד</v>
          </cell>
          <cell r="J94">
            <v>0</v>
          </cell>
          <cell r="K94">
            <v>0</v>
          </cell>
          <cell r="L94">
            <v>1313314920</v>
          </cell>
        </row>
        <row r="95">
          <cell r="C95">
            <v>121</v>
          </cell>
          <cell r="G95">
            <v>31</v>
          </cell>
          <cell r="I95" t="str">
            <v>חינוך מיוחד</v>
          </cell>
          <cell r="J95">
            <v>0</v>
          </cell>
          <cell r="K95">
            <v>0</v>
          </cell>
          <cell r="L95">
            <v>1313315920</v>
          </cell>
        </row>
        <row r="96">
          <cell r="C96">
            <v>121</v>
          </cell>
          <cell r="G96">
            <v>31</v>
          </cell>
          <cell r="I96" t="str">
            <v>חינוך מיוחד</v>
          </cell>
          <cell r="J96">
            <v>0</v>
          </cell>
          <cell r="K96">
            <v>0</v>
          </cell>
          <cell r="L96">
            <v>1313316920</v>
          </cell>
        </row>
        <row r="97">
          <cell r="C97">
            <v>121</v>
          </cell>
          <cell r="G97">
            <v>31</v>
          </cell>
          <cell r="I97" t="str">
            <v>חינוך משלים בבתי"ס</v>
          </cell>
          <cell r="J97">
            <v>0</v>
          </cell>
          <cell r="K97">
            <v>0</v>
          </cell>
          <cell r="L97">
            <v>1313600920</v>
          </cell>
        </row>
        <row r="98">
          <cell r="C98">
            <v>121</v>
          </cell>
          <cell r="G98">
            <v>31</v>
          </cell>
          <cell r="I98" t="str">
            <v>קיטנות/לימודיות וחודש לימוד נוסף</v>
          </cell>
          <cell r="J98">
            <v>0</v>
          </cell>
          <cell r="K98">
            <v>0</v>
          </cell>
          <cell r="L98">
            <v>1313800920</v>
          </cell>
        </row>
        <row r="99">
          <cell r="C99">
            <v>121</v>
          </cell>
          <cell r="G99">
            <v>31</v>
          </cell>
          <cell r="I99" t="str">
            <v>קיטנות/לימודיות וחודש לימוד נוסף</v>
          </cell>
          <cell r="J99">
            <v>0</v>
          </cell>
          <cell r="K99">
            <v>0</v>
          </cell>
          <cell r="L99">
            <v>1313810920</v>
          </cell>
        </row>
        <row r="100">
          <cell r="C100">
            <v>121</v>
          </cell>
          <cell r="G100">
            <v>31</v>
          </cell>
          <cell r="I100" t="str">
            <v>קיטנות/לימודיות וחודש לימוד נוסף</v>
          </cell>
          <cell r="J100">
            <v>0</v>
          </cell>
          <cell r="K100">
            <v>0</v>
          </cell>
          <cell r="L100">
            <v>1313820920</v>
          </cell>
        </row>
        <row r="101">
          <cell r="C101">
            <v>121</v>
          </cell>
          <cell r="G101">
            <v>31</v>
          </cell>
          <cell r="I101" t="str">
            <v>חטיבות ביניים</v>
          </cell>
          <cell r="J101">
            <v>0</v>
          </cell>
          <cell r="K101">
            <v>0</v>
          </cell>
          <cell r="L101">
            <v>1314000920</v>
          </cell>
        </row>
        <row r="102">
          <cell r="C102">
            <v>121</v>
          </cell>
          <cell r="G102">
            <v>31</v>
          </cell>
          <cell r="I102" t="str">
            <v>חטיבות ביניים</v>
          </cell>
          <cell r="J102">
            <v>0</v>
          </cell>
          <cell r="K102">
            <v>0</v>
          </cell>
          <cell r="L102">
            <v>1314100920</v>
          </cell>
        </row>
        <row r="103">
          <cell r="C103">
            <v>121</v>
          </cell>
          <cell r="G103">
            <v>31</v>
          </cell>
          <cell r="I103" t="str">
            <v>חטיבות ביניים</v>
          </cell>
          <cell r="J103">
            <v>0</v>
          </cell>
          <cell r="K103">
            <v>0</v>
          </cell>
          <cell r="L103">
            <v>1314200920</v>
          </cell>
        </row>
        <row r="104">
          <cell r="C104">
            <v>121</v>
          </cell>
          <cell r="G104">
            <v>31</v>
          </cell>
          <cell r="I104" t="str">
            <v>חטיבות ביניים</v>
          </cell>
          <cell r="J104">
            <v>0</v>
          </cell>
          <cell r="K104">
            <v>0</v>
          </cell>
          <cell r="L104">
            <v>1314701920</v>
          </cell>
        </row>
        <row r="105">
          <cell r="C105">
            <v>121</v>
          </cell>
          <cell r="G105">
            <v>31</v>
          </cell>
          <cell r="I105" t="str">
            <v>חטיבות ביניים</v>
          </cell>
          <cell r="J105">
            <v>0</v>
          </cell>
          <cell r="K105">
            <v>0</v>
          </cell>
          <cell r="L105">
            <v>1314750920</v>
          </cell>
        </row>
        <row r="106">
          <cell r="C106">
            <v>121</v>
          </cell>
          <cell r="G106">
            <v>31</v>
          </cell>
          <cell r="I106" t="str">
            <v>מינהל החינוך העל יסודי</v>
          </cell>
          <cell r="J106">
            <v>0</v>
          </cell>
          <cell r="K106">
            <v>0</v>
          </cell>
          <cell r="L106">
            <v>1315100920</v>
          </cell>
        </row>
        <row r="107">
          <cell r="C107">
            <v>121</v>
          </cell>
          <cell r="G107">
            <v>31</v>
          </cell>
          <cell r="I107" t="str">
            <v>בתי"ס על יסודיים מקיפים</v>
          </cell>
          <cell r="J107">
            <v>0</v>
          </cell>
          <cell r="K107">
            <v>0</v>
          </cell>
          <cell r="L107">
            <v>1315700920</v>
          </cell>
        </row>
        <row r="108">
          <cell r="C108">
            <v>121</v>
          </cell>
          <cell r="G108">
            <v>31</v>
          </cell>
          <cell r="I108" t="str">
            <v>בתי"ס על יסודיים מקיפים</v>
          </cell>
          <cell r="J108">
            <v>0</v>
          </cell>
          <cell r="K108">
            <v>0</v>
          </cell>
          <cell r="L108">
            <v>1315710920</v>
          </cell>
        </row>
        <row r="109">
          <cell r="C109">
            <v>121</v>
          </cell>
          <cell r="G109">
            <v>31</v>
          </cell>
          <cell r="I109" t="str">
            <v>ישיבות גבוהות וכוללים</v>
          </cell>
          <cell r="J109">
            <v>0</v>
          </cell>
          <cell r="K109">
            <v>0</v>
          </cell>
          <cell r="L109">
            <v>1316400930</v>
          </cell>
        </row>
        <row r="110">
          <cell r="C110">
            <v>121</v>
          </cell>
          <cell r="G110">
            <v>31</v>
          </cell>
          <cell r="I110" t="str">
            <v>קב"ט שמירה ובטחון מוסדות חינוך</v>
          </cell>
          <cell r="J110">
            <v>0</v>
          </cell>
          <cell r="K110">
            <v>0</v>
          </cell>
          <cell r="L110">
            <v>1317100920</v>
          </cell>
        </row>
        <row r="111">
          <cell r="C111">
            <v>121</v>
          </cell>
          <cell r="G111">
            <v>31</v>
          </cell>
          <cell r="I111" t="str">
            <v>קב"ט שמירה ובטחון מוסדות חינוך</v>
          </cell>
          <cell r="J111">
            <v>0</v>
          </cell>
          <cell r="K111">
            <v>0</v>
          </cell>
          <cell r="L111">
            <v>1317110920</v>
          </cell>
        </row>
        <row r="112">
          <cell r="C112">
            <v>121</v>
          </cell>
          <cell r="G112">
            <v>31</v>
          </cell>
          <cell r="I112" t="str">
            <v>מרכזיה פדגוגית</v>
          </cell>
          <cell r="J112">
            <v>0</v>
          </cell>
          <cell r="K112">
            <v>0</v>
          </cell>
          <cell r="L112">
            <v>1317200920</v>
          </cell>
        </row>
        <row r="113">
          <cell r="C113">
            <v>121</v>
          </cell>
          <cell r="G113">
            <v>31</v>
          </cell>
          <cell r="I113" t="str">
            <v>שרות פסיכולוגי חינוכי</v>
          </cell>
          <cell r="J113">
            <v>0</v>
          </cell>
          <cell r="K113">
            <v>0</v>
          </cell>
          <cell r="L113">
            <v>1317300920</v>
          </cell>
        </row>
        <row r="114">
          <cell r="C114">
            <v>121</v>
          </cell>
          <cell r="G114">
            <v>31</v>
          </cell>
          <cell r="I114" t="str">
            <v>שרות פסיכולוגי חינוכי</v>
          </cell>
          <cell r="J114">
            <v>0</v>
          </cell>
          <cell r="K114">
            <v>0</v>
          </cell>
          <cell r="L114">
            <v>1317310690</v>
          </cell>
        </row>
        <row r="115">
          <cell r="C115">
            <v>121</v>
          </cell>
          <cell r="G115">
            <v>31</v>
          </cell>
          <cell r="I115" t="str">
            <v>שרות פסיכולוגי חינוכי</v>
          </cell>
          <cell r="J115">
            <v>0</v>
          </cell>
          <cell r="K115">
            <v>0</v>
          </cell>
          <cell r="L115">
            <v>1317310920</v>
          </cell>
        </row>
        <row r="116">
          <cell r="C116">
            <v>121</v>
          </cell>
          <cell r="G116">
            <v>31</v>
          </cell>
          <cell r="I116" t="str">
            <v>שרות בריאות לתלמיד</v>
          </cell>
          <cell r="J116">
            <v>0</v>
          </cell>
          <cell r="K116">
            <v>0</v>
          </cell>
          <cell r="L116">
            <v>1317400920</v>
          </cell>
        </row>
        <row r="117">
          <cell r="C117">
            <v>121</v>
          </cell>
          <cell r="G117">
            <v>31</v>
          </cell>
          <cell r="I117" t="str">
            <v>שרות בריאות לתלמיד</v>
          </cell>
          <cell r="J117">
            <v>0</v>
          </cell>
          <cell r="K117">
            <v>0</v>
          </cell>
          <cell r="L117">
            <v>1317410920</v>
          </cell>
        </row>
        <row r="118">
          <cell r="C118">
            <v>121</v>
          </cell>
          <cell r="G118">
            <v>31</v>
          </cell>
          <cell r="I118" t="str">
            <v>שרות בריאות לתלמיד</v>
          </cell>
          <cell r="J118">
            <v>0</v>
          </cell>
          <cell r="K118">
            <v>0</v>
          </cell>
          <cell r="L118">
            <v>1317420920</v>
          </cell>
        </row>
        <row r="119">
          <cell r="C119">
            <v>121</v>
          </cell>
          <cell r="G119">
            <v>31</v>
          </cell>
          <cell r="I119" t="str">
            <v>שרות בריאות לתלמיד</v>
          </cell>
          <cell r="J119">
            <v>0</v>
          </cell>
          <cell r="K119">
            <v>0</v>
          </cell>
          <cell r="L119">
            <v>1317430920</v>
          </cell>
        </row>
        <row r="120">
          <cell r="C120">
            <v>113</v>
          </cell>
          <cell r="G120">
            <v>31</v>
          </cell>
          <cell r="I120" t="str">
            <v>שרות בריאות לתלמיד</v>
          </cell>
          <cell r="J120">
            <v>31</v>
          </cell>
          <cell r="K120">
            <v>0</v>
          </cell>
          <cell r="L120">
            <v>1317440920</v>
          </cell>
        </row>
        <row r="121">
          <cell r="C121">
            <v>121</v>
          </cell>
          <cell r="G121">
            <v>31</v>
          </cell>
          <cell r="I121" t="str">
            <v>ביטוח תלמידים</v>
          </cell>
          <cell r="J121">
            <v>0</v>
          </cell>
          <cell r="K121">
            <v>0</v>
          </cell>
          <cell r="L121">
            <v>1317500410</v>
          </cell>
        </row>
        <row r="122">
          <cell r="C122">
            <v>121</v>
          </cell>
          <cell r="G122">
            <v>31</v>
          </cell>
          <cell r="I122" t="str">
            <v>ביטוח תלמידים</v>
          </cell>
          <cell r="J122">
            <v>0</v>
          </cell>
          <cell r="K122">
            <v>0</v>
          </cell>
          <cell r="L122">
            <v>1317500920</v>
          </cell>
        </row>
        <row r="123">
          <cell r="C123">
            <v>121</v>
          </cell>
          <cell r="G123">
            <v>31</v>
          </cell>
          <cell r="I123" t="str">
            <v>רווחה חינוכית</v>
          </cell>
          <cell r="J123">
            <v>0</v>
          </cell>
          <cell r="K123">
            <v>0</v>
          </cell>
          <cell r="L123">
            <v>1317600920</v>
          </cell>
        </row>
        <row r="124">
          <cell r="C124">
            <v>121</v>
          </cell>
          <cell r="G124">
            <v>31</v>
          </cell>
          <cell r="I124" t="str">
            <v>רווחה חינוכית</v>
          </cell>
          <cell r="J124">
            <v>0</v>
          </cell>
          <cell r="K124">
            <v>0</v>
          </cell>
          <cell r="L124">
            <v>1317602920</v>
          </cell>
        </row>
        <row r="125">
          <cell r="C125">
            <v>121</v>
          </cell>
          <cell r="G125">
            <v>31</v>
          </cell>
          <cell r="I125" t="str">
            <v>רווחה חינוכית</v>
          </cell>
          <cell r="J125">
            <v>0</v>
          </cell>
          <cell r="K125">
            <v>0</v>
          </cell>
          <cell r="L125">
            <v>1317610920</v>
          </cell>
        </row>
        <row r="126">
          <cell r="C126">
            <v>121</v>
          </cell>
          <cell r="G126">
            <v>31</v>
          </cell>
          <cell r="I126" t="str">
            <v>רווחה חינוכית</v>
          </cell>
          <cell r="J126">
            <v>0</v>
          </cell>
          <cell r="K126">
            <v>0</v>
          </cell>
          <cell r="L126">
            <v>1317620910</v>
          </cell>
        </row>
        <row r="127">
          <cell r="C127">
            <v>113</v>
          </cell>
          <cell r="G127">
            <v>31</v>
          </cell>
          <cell r="I127" t="str">
            <v>רווחה חינוכית</v>
          </cell>
          <cell r="J127">
            <v>31</v>
          </cell>
          <cell r="K127">
            <v>0</v>
          </cell>
          <cell r="L127">
            <v>1317620920</v>
          </cell>
        </row>
        <row r="128">
          <cell r="C128">
            <v>121</v>
          </cell>
          <cell r="G128">
            <v>31</v>
          </cell>
          <cell r="I128" t="str">
            <v>רווחה חינוכית</v>
          </cell>
          <cell r="J128">
            <v>0</v>
          </cell>
          <cell r="K128">
            <v>0</v>
          </cell>
          <cell r="L128">
            <v>1317621920</v>
          </cell>
        </row>
        <row r="129">
          <cell r="C129">
            <v>121</v>
          </cell>
          <cell r="G129">
            <v>31</v>
          </cell>
          <cell r="I129" t="str">
            <v>רווחה חינוכית</v>
          </cell>
          <cell r="J129">
            <v>0</v>
          </cell>
          <cell r="K129">
            <v>0</v>
          </cell>
          <cell r="L129">
            <v>1317622920</v>
          </cell>
        </row>
        <row r="130">
          <cell r="C130">
            <v>121</v>
          </cell>
          <cell r="G130">
            <v>31</v>
          </cell>
          <cell r="I130" t="str">
            <v>רווחה חינוכית</v>
          </cell>
          <cell r="J130">
            <v>0</v>
          </cell>
          <cell r="K130">
            <v>0</v>
          </cell>
          <cell r="L130">
            <v>1317623920</v>
          </cell>
        </row>
        <row r="131">
          <cell r="C131">
            <v>121</v>
          </cell>
          <cell r="G131">
            <v>31</v>
          </cell>
          <cell r="I131" t="str">
            <v>רווחה חינוכית</v>
          </cell>
          <cell r="J131">
            <v>0</v>
          </cell>
          <cell r="K131">
            <v>0</v>
          </cell>
          <cell r="L131">
            <v>1317624920</v>
          </cell>
        </row>
        <row r="132">
          <cell r="C132">
            <v>113</v>
          </cell>
          <cell r="G132">
            <v>31</v>
          </cell>
          <cell r="I132" t="str">
            <v>רווחה חינוכית</v>
          </cell>
          <cell r="J132">
            <v>31</v>
          </cell>
          <cell r="K132">
            <v>0</v>
          </cell>
          <cell r="L132">
            <v>1317625920</v>
          </cell>
        </row>
        <row r="133">
          <cell r="C133">
            <v>121</v>
          </cell>
          <cell r="G133">
            <v>31</v>
          </cell>
          <cell r="I133" t="str">
            <v>רווחה חינוכית</v>
          </cell>
          <cell r="J133">
            <v>0</v>
          </cell>
          <cell r="K133">
            <v>0</v>
          </cell>
          <cell r="L133">
            <v>1317626920</v>
          </cell>
        </row>
        <row r="134">
          <cell r="C134">
            <v>121</v>
          </cell>
          <cell r="G134">
            <v>31</v>
          </cell>
          <cell r="I134" t="str">
            <v>קב"סים</v>
          </cell>
          <cell r="J134">
            <v>0</v>
          </cell>
          <cell r="K134">
            <v>0</v>
          </cell>
          <cell r="L134">
            <v>1317700920</v>
          </cell>
        </row>
        <row r="135">
          <cell r="C135">
            <v>121</v>
          </cell>
          <cell r="G135">
            <v>31</v>
          </cell>
          <cell r="I135" t="str">
            <v>הסעות ילדים</v>
          </cell>
          <cell r="J135">
            <v>0</v>
          </cell>
          <cell r="K135">
            <v>0</v>
          </cell>
          <cell r="L135">
            <v>1317800920</v>
          </cell>
        </row>
        <row r="136">
          <cell r="C136">
            <v>121</v>
          </cell>
          <cell r="G136">
            <v>31</v>
          </cell>
          <cell r="I136" t="str">
            <v>הסעות ילדים</v>
          </cell>
          <cell r="J136">
            <v>0</v>
          </cell>
          <cell r="K136">
            <v>0</v>
          </cell>
          <cell r="L136">
            <v>1317810920</v>
          </cell>
        </row>
        <row r="137">
          <cell r="C137">
            <v>121</v>
          </cell>
          <cell r="G137">
            <v>31</v>
          </cell>
          <cell r="I137" t="str">
            <v>הסעות ילדים</v>
          </cell>
          <cell r="J137">
            <v>0</v>
          </cell>
          <cell r="K137">
            <v>0</v>
          </cell>
          <cell r="L137">
            <v>1317811920</v>
          </cell>
        </row>
        <row r="138">
          <cell r="C138">
            <v>121</v>
          </cell>
          <cell r="G138">
            <v>31</v>
          </cell>
          <cell r="I138" t="str">
            <v>הסעות ילדים</v>
          </cell>
          <cell r="J138">
            <v>0</v>
          </cell>
          <cell r="K138">
            <v>0</v>
          </cell>
          <cell r="L138">
            <v>1317812920</v>
          </cell>
        </row>
        <row r="139">
          <cell r="C139">
            <v>121</v>
          </cell>
          <cell r="G139">
            <v>31</v>
          </cell>
          <cell r="I139" t="str">
            <v>הסעות ילדים</v>
          </cell>
          <cell r="J139">
            <v>0</v>
          </cell>
          <cell r="K139">
            <v>0</v>
          </cell>
          <cell r="L139">
            <v>1317820920</v>
          </cell>
        </row>
        <row r="140">
          <cell r="C140">
            <v>121</v>
          </cell>
          <cell r="G140">
            <v>31</v>
          </cell>
          <cell r="I140" t="str">
            <v>הסעות ילדים</v>
          </cell>
          <cell r="J140">
            <v>0</v>
          </cell>
          <cell r="K140">
            <v>0</v>
          </cell>
          <cell r="L140">
            <v>1317830920</v>
          </cell>
        </row>
        <row r="141">
          <cell r="C141">
            <v>121</v>
          </cell>
          <cell r="G141">
            <v>31</v>
          </cell>
          <cell r="I141" t="str">
            <v>הסעות ילדים</v>
          </cell>
          <cell r="J141">
            <v>0</v>
          </cell>
          <cell r="K141">
            <v>0</v>
          </cell>
          <cell r="L141">
            <v>1317840920</v>
          </cell>
        </row>
        <row r="142">
          <cell r="C142">
            <v>121</v>
          </cell>
          <cell r="G142">
            <v>31</v>
          </cell>
          <cell r="I142" t="str">
            <v>הסעות ילדים</v>
          </cell>
          <cell r="J142">
            <v>0</v>
          </cell>
          <cell r="K142">
            <v>0</v>
          </cell>
          <cell r="L142">
            <v>1317850920</v>
          </cell>
        </row>
        <row r="143">
          <cell r="C143">
            <v>121</v>
          </cell>
          <cell r="G143">
            <v>31</v>
          </cell>
          <cell r="I143" t="str">
            <v>הסעות ילדים</v>
          </cell>
          <cell r="J143">
            <v>0</v>
          </cell>
          <cell r="K143">
            <v>0</v>
          </cell>
          <cell r="L143">
            <v>1317860920</v>
          </cell>
        </row>
        <row r="144">
          <cell r="C144">
            <v>121</v>
          </cell>
          <cell r="G144">
            <v>31</v>
          </cell>
          <cell r="I144" t="str">
            <v>הסעות ילדים</v>
          </cell>
          <cell r="J144">
            <v>0</v>
          </cell>
          <cell r="K144">
            <v>0</v>
          </cell>
          <cell r="L144">
            <v>1317870920</v>
          </cell>
        </row>
        <row r="145">
          <cell r="C145">
            <v>121</v>
          </cell>
          <cell r="G145">
            <v>31</v>
          </cell>
          <cell r="I145" t="str">
            <v>שרותים אחרים</v>
          </cell>
          <cell r="J145">
            <v>0</v>
          </cell>
          <cell r="K145">
            <v>0</v>
          </cell>
          <cell r="L145">
            <v>1317900420</v>
          </cell>
        </row>
        <row r="146">
          <cell r="C146">
            <v>121</v>
          </cell>
          <cell r="G146">
            <v>31</v>
          </cell>
          <cell r="I146" t="str">
            <v>שרותים אחרים</v>
          </cell>
          <cell r="J146">
            <v>0</v>
          </cell>
          <cell r="K146">
            <v>0</v>
          </cell>
          <cell r="L146">
            <v>1317900920</v>
          </cell>
        </row>
        <row r="147">
          <cell r="C147">
            <v>121</v>
          </cell>
          <cell r="G147">
            <v>31</v>
          </cell>
          <cell r="I147" t="str">
            <v>שרותים אחרים</v>
          </cell>
          <cell r="J147">
            <v>0</v>
          </cell>
          <cell r="K147">
            <v>0</v>
          </cell>
          <cell r="L147">
            <v>1317901920</v>
          </cell>
        </row>
        <row r="148">
          <cell r="C148">
            <v>121</v>
          </cell>
          <cell r="G148">
            <v>31</v>
          </cell>
          <cell r="I148" t="str">
            <v>שרותים אחרים</v>
          </cell>
          <cell r="J148">
            <v>0</v>
          </cell>
          <cell r="K148">
            <v>0</v>
          </cell>
          <cell r="L148">
            <v>1317930920</v>
          </cell>
        </row>
        <row r="149">
          <cell r="C149">
            <v>121</v>
          </cell>
          <cell r="G149">
            <v>31</v>
          </cell>
          <cell r="I149" t="str">
            <v>שרותים אחרים</v>
          </cell>
          <cell r="J149">
            <v>0</v>
          </cell>
          <cell r="K149">
            <v>0</v>
          </cell>
          <cell r="L149">
            <v>1317940920</v>
          </cell>
        </row>
        <row r="150">
          <cell r="C150">
            <v>121</v>
          </cell>
          <cell r="G150">
            <v>31</v>
          </cell>
          <cell r="I150" t="str">
            <v>שרותים אחרים</v>
          </cell>
          <cell r="J150">
            <v>0</v>
          </cell>
          <cell r="K150">
            <v>0</v>
          </cell>
          <cell r="L150">
            <v>1317941920</v>
          </cell>
        </row>
        <row r="151">
          <cell r="C151">
            <v>113</v>
          </cell>
          <cell r="G151">
            <v>31</v>
          </cell>
          <cell r="I151" t="str">
            <v>שרותים אחרים</v>
          </cell>
          <cell r="J151">
            <v>31</v>
          </cell>
          <cell r="K151">
            <v>0</v>
          </cell>
          <cell r="L151">
            <v>1317942920</v>
          </cell>
        </row>
        <row r="152">
          <cell r="C152">
            <v>121</v>
          </cell>
          <cell r="G152">
            <v>31</v>
          </cell>
          <cell r="I152" t="str">
            <v>שרותים אחרים</v>
          </cell>
          <cell r="J152">
            <v>0</v>
          </cell>
          <cell r="K152">
            <v>0</v>
          </cell>
          <cell r="L152">
            <v>1317943920</v>
          </cell>
        </row>
        <row r="153">
          <cell r="C153">
            <v>121</v>
          </cell>
          <cell r="G153">
            <v>31</v>
          </cell>
          <cell r="I153" t="str">
            <v>שרותים אחרים</v>
          </cell>
          <cell r="J153">
            <v>0</v>
          </cell>
          <cell r="K153">
            <v>0</v>
          </cell>
          <cell r="L153">
            <v>1317950920</v>
          </cell>
        </row>
        <row r="154">
          <cell r="C154">
            <v>121</v>
          </cell>
          <cell r="G154">
            <v>31</v>
          </cell>
          <cell r="I154" t="str">
            <v>שרותים אחרים</v>
          </cell>
          <cell r="J154">
            <v>0</v>
          </cell>
          <cell r="K154">
            <v>0</v>
          </cell>
          <cell r="L154">
            <v>1317951920</v>
          </cell>
        </row>
        <row r="155">
          <cell r="C155">
            <v>121</v>
          </cell>
          <cell r="G155">
            <v>31</v>
          </cell>
          <cell r="I155" t="str">
            <v>שרותים אחרים</v>
          </cell>
          <cell r="J155">
            <v>0</v>
          </cell>
          <cell r="K155">
            <v>0</v>
          </cell>
          <cell r="L155">
            <v>1318000920</v>
          </cell>
        </row>
        <row r="156">
          <cell r="C156">
            <v>121</v>
          </cell>
          <cell r="G156">
            <v>31</v>
          </cell>
          <cell r="I156" t="str">
            <v>שירותי חינוך מיוחדים</v>
          </cell>
          <cell r="J156">
            <v>0</v>
          </cell>
          <cell r="K156">
            <v>0</v>
          </cell>
          <cell r="L156">
            <v>1319000920</v>
          </cell>
        </row>
        <row r="157">
          <cell r="C157">
            <v>121</v>
          </cell>
          <cell r="G157">
            <v>31</v>
          </cell>
          <cell r="I157" t="str">
            <v>חינוך מוכר שאינו רשמי</v>
          </cell>
          <cell r="J157">
            <v>0</v>
          </cell>
          <cell r="K157">
            <v>0</v>
          </cell>
          <cell r="L157">
            <v>1319100420</v>
          </cell>
        </row>
        <row r="158">
          <cell r="C158">
            <v>121</v>
          </cell>
          <cell r="G158">
            <v>31</v>
          </cell>
          <cell r="I158" t="str">
            <v>חינוך מוכר שאינו רשמי</v>
          </cell>
          <cell r="J158">
            <v>0</v>
          </cell>
          <cell r="K158">
            <v>0</v>
          </cell>
          <cell r="L158">
            <v>1319100920</v>
          </cell>
        </row>
        <row r="159">
          <cell r="C159">
            <v>121</v>
          </cell>
          <cell r="G159">
            <v>31</v>
          </cell>
          <cell r="I159" t="str">
            <v>שירותי חינוך מיוחדים</v>
          </cell>
          <cell r="J159">
            <v>0</v>
          </cell>
          <cell r="K159">
            <v>0</v>
          </cell>
          <cell r="L159">
            <v>1319200420</v>
          </cell>
        </row>
        <row r="160">
          <cell r="C160">
            <v>121</v>
          </cell>
          <cell r="G160">
            <v>31</v>
          </cell>
          <cell r="I160" t="str">
            <v>שירותי חינוך מיוחדים</v>
          </cell>
          <cell r="J160">
            <v>0</v>
          </cell>
          <cell r="K160">
            <v>0</v>
          </cell>
          <cell r="L160">
            <v>1319200920</v>
          </cell>
        </row>
        <row r="161">
          <cell r="C161">
            <v>121</v>
          </cell>
          <cell r="G161">
            <v>31</v>
          </cell>
          <cell r="I161" t="str">
            <v>שירותי חינוך מיוחדים</v>
          </cell>
          <cell r="J161">
            <v>0</v>
          </cell>
          <cell r="K161">
            <v>0</v>
          </cell>
          <cell r="L161">
            <v>1319300920</v>
          </cell>
        </row>
        <row r="162">
          <cell r="C162">
            <v>121</v>
          </cell>
          <cell r="G162">
            <v>31</v>
          </cell>
          <cell r="I162" t="str">
            <v>תרבות</v>
          </cell>
          <cell r="J162">
            <v>0</v>
          </cell>
          <cell r="K162">
            <v>0</v>
          </cell>
          <cell r="L162">
            <v>1322000920</v>
          </cell>
        </row>
        <row r="163">
          <cell r="C163">
            <v>113</v>
          </cell>
          <cell r="G163">
            <v>31</v>
          </cell>
          <cell r="I163" t="str">
            <v>תרבות</v>
          </cell>
          <cell r="J163">
            <v>31</v>
          </cell>
          <cell r="K163">
            <v>0</v>
          </cell>
          <cell r="L163">
            <v>1322000940</v>
          </cell>
        </row>
        <row r="164">
          <cell r="C164">
            <v>121</v>
          </cell>
          <cell r="G164">
            <v>31</v>
          </cell>
          <cell r="I164" t="str">
            <v>תרבות</v>
          </cell>
          <cell r="J164">
            <v>0</v>
          </cell>
          <cell r="K164">
            <v>0</v>
          </cell>
          <cell r="L164">
            <v>1322200940</v>
          </cell>
        </row>
        <row r="165">
          <cell r="C165">
            <v>113</v>
          </cell>
          <cell r="G165">
            <v>31</v>
          </cell>
          <cell r="I165" t="str">
            <v>תרבות</v>
          </cell>
          <cell r="J165">
            <v>31</v>
          </cell>
          <cell r="K165">
            <v>0</v>
          </cell>
          <cell r="L165">
            <v>1322220940</v>
          </cell>
        </row>
        <row r="166">
          <cell r="C166">
            <v>121</v>
          </cell>
          <cell r="G166">
            <v>31</v>
          </cell>
          <cell r="I166" t="str">
            <v>תרבות</v>
          </cell>
          <cell r="J166">
            <v>0</v>
          </cell>
          <cell r="K166">
            <v>0</v>
          </cell>
          <cell r="L166">
            <v>1325000420</v>
          </cell>
        </row>
        <row r="167">
          <cell r="C167">
            <v>121</v>
          </cell>
          <cell r="G167">
            <v>31</v>
          </cell>
          <cell r="I167" t="str">
            <v>תרבות</v>
          </cell>
          <cell r="J167">
            <v>0</v>
          </cell>
          <cell r="K167">
            <v>0</v>
          </cell>
          <cell r="L167">
            <v>1326400420</v>
          </cell>
        </row>
        <row r="168">
          <cell r="C168">
            <v>121</v>
          </cell>
          <cell r="G168">
            <v>32</v>
          </cell>
          <cell r="I168" t="str">
            <v>תרבות</v>
          </cell>
          <cell r="J168">
            <v>0</v>
          </cell>
          <cell r="K168">
            <v>0</v>
          </cell>
          <cell r="L168">
            <v>1326410410</v>
          </cell>
        </row>
        <row r="169">
          <cell r="C169">
            <v>123</v>
          </cell>
          <cell r="G169">
            <v>26</v>
          </cell>
          <cell r="I169" t="str">
            <v>תרבות</v>
          </cell>
          <cell r="J169">
            <v>0</v>
          </cell>
          <cell r="K169">
            <v>0</v>
          </cell>
          <cell r="L169">
            <v>1328100920</v>
          </cell>
        </row>
        <row r="170">
          <cell r="C170">
            <v>123</v>
          </cell>
          <cell r="G170">
            <v>32</v>
          </cell>
          <cell r="I170" t="str">
            <v>תרבות</v>
          </cell>
          <cell r="J170">
            <v>0</v>
          </cell>
          <cell r="K170">
            <v>0</v>
          </cell>
          <cell r="L170">
            <v>1328101970</v>
          </cell>
        </row>
        <row r="171">
          <cell r="C171">
            <v>123</v>
          </cell>
          <cell r="G171">
            <v>32</v>
          </cell>
          <cell r="I171" t="str">
            <v>תרבות</v>
          </cell>
          <cell r="J171">
            <v>0</v>
          </cell>
          <cell r="K171">
            <v>0</v>
          </cell>
          <cell r="L171">
            <v>1328200840</v>
          </cell>
        </row>
        <row r="172">
          <cell r="C172">
            <v>123</v>
          </cell>
          <cell r="G172">
            <v>32</v>
          </cell>
          <cell r="I172" t="str">
            <v>תרבות</v>
          </cell>
          <cell r="J172">
            <v>0</v>
          </cell>
          <cell r="K172">
            <v>0</v>
          </cell>
          <cell r="L172">
            <v>1328200940</v>
          </cell>
        </row>
        <row r="173">
          <cell r="C173">
            <v>123</v>
          </cell>
          <cell r="G173">
            <v>32</v>
          </cell>
          <cell r="I173" t="str">
            <v>תרבות</v>
          </cell>
          <cell r="J173">
            <v>0</v>
          </cell>
          <cell r="K173">
            <v>0</v>
          </cell>
          <cell r="L173">
            <v>1328210920</v>
          </cell>
        </row>
        <row r="174">
          <cell r="C174">
            <v>115</v>
          </cell>
          <cell r="G174">
            <v>32</v>
          </cell>
          <cell r="I174" t="str">
            <v>תרבות</v>
          </cell>
          <cell r="J174">
            <v>32</v>
          </cell>
          <cell r="K174">
            <v>0</v>
          </cell>
          <cell r="L174">
            <v>1328504990</v>
          </cell>
        </row>
        <row r="175">
          <cell r="C175">
            <v>115</v>
          </cell>
          <cell r="G175">
            <v>32</v>
          </cell>
          <cell r="I175" t="str">
            <v>תרבות</v>
          </cell>
          <cell r="J175">
            <v>32</v>
          </cell>
          <cell r="K175">
            <v>0</v>
          </cell>
          <cell r="L175">
            <v>1329000920</v>
          </cell>
        </row>
        <row r="176">
          <cell r="C176">
            <v>113</v>
          </cell>
          <cell r="G176">
            <v>32</v>
          </cell>
          <cell r="I176" t="str">
            <v>תרבות</v>
          </cell>
          <cell r="J176">
            <v>32</v>
          </cell>
          <cell r="K176">
            <v>0</v>
          </cell>
          <cell r="L176">
            <v>1329000940</v>
          </cell>
        </row>
        <row r="177">
          <cell r="C177">
            <v>123</v>
          </cell>
          <cell r="G177">
            <v>32</v>
          </cell>
          <cell r="I177" t="str">
            <v>תרבות</v>
          </cell>
          <cell r="J177">
            <v>0</v>
          </cell>
          <cell r="K177">
            <v>0</v>
          </cell>
          <cell r="L177">
            <v>1329100920</v>
          </cell>
        </row>
        <row r="178">
          <cell r="C178">
            <v>123</v>
          </cell>
          <cell r="G178">
            <v>32</v>
          </cell>
          <cell r="I178" t="str">
            <v>בריאות</v>
          </cell>
          <cell r="J178">
            <v>0</v>
          </cell>
          <cell r="K178">
            <v>0</v>
          </cell>
          <cell r="L178">
            <v>1331000940</v>
          </cell>
        </row>
        <row r="179">
          <cell r="C179">
            <v>129</v>
          </cell>
          <cell r="G179">
            <v>32</v>
          </cell>
          <cell r="I179" t="str">
            <v>בריאות</v>
          </cell>
          <cell r="J179">
            <v>32</v>
          </cell>
          <cell r="K179">
            <v>0</v>
          </cell>
          <cell r="L179">
            <v>1332000940</v>
          </cell>
        </row>
        <row r="180">
          <cell r="C180">
            <v>123</v>
          </cell>
          <cell r="G180">
            <v>32</v>
          </cell>
          <cell r="I180" t="str">
            <v>רווחה</v>
          </cell>
          <cell r="J180">
            <v>0</v>
          </cell>
          <cell r="K180">
            <v>0</v>
          </cell>
          <cell r="L180">
            <v>1341000420</v>
          </cell>
        </row>
        <row r="181">
          <cell r="C181">
            <v>123</v>
          </cell>
          <cell r="G181">
            <v>32</v>
          </cell>
          <cell r="I181" t="str">
            <v>רווחה</v>
          </cell>
          <cell r="J181">
            <v>0</v>
          </cell>
          <cell r="K181">
            <v>0</v>
          </cell>
          <cell r="L181">
            <v>1341000930</v>
          </cell>
        </row>
        <row r="182">
          <cell r="C182">
            <v>123</v>
          </cell>
          <cell r="G182">
            <v>32</v>
          </cell>
          <cell r="I182" t="str">
            <v>רווחה</v>
          </cell>
          <cell r="J182">
            <v>0</v>
          </cell>
          <cell r="K182">
            <v>0</v>
          </cell>
          <cell r="L182">
            <v>1341001930</v>
          </cell>
        </row>
        <row r="183">
          <cell r="C183">
            <v>121</v>
          </cell>
          <cell r="G183">
            <v>32</v>
          </cell>
          <cell r="I183" t="str">
            <v>רווחה</v>
          </cell>
          <cell r="J183">
            <v>0</v>
          </cell>
          <cell r="K183">
            <v>0</v>
          </cell>
          <cell r="L183">
            <v>1341002440</v>
          </cell>
        </row>
        <row r="184">
          <cell r="C184">
            <v>123</v>
          </cell>
          <cell r="G184">
            <v>32</v>
          </cell>
          <cell r="I184" t="str">
            <v>רווחה</v>
          </cell>
          <cell r="J184">
            <v>0</v>
          </cell>
          <cell r="K184">
            <v>0</v>
          </cell>
          <cell r="L184">
            <v>1341002930</v>
          </cell>
        </row>
        <row r="185">
          <cell r="C185">
            <v>121</v>
          </cell>
          <cell r="G185">
            <v>32</v>
          </cell>
          <cell r="I185" t="str">
            <v>רווחה</v>
          </cell>
          <cell r="J185">
            <v>0</v>
          </cell>
          <cell r="K185">
            <v>0</v>
          </cell>
          <cell r="L185">
            <v>1341003930</v>
          </cell>
        </row>
        <row r="186">
          <cell r="C186">
            <v>126</v>
          </cell>
          <cell r="G186">
            <v>32</v>
          </cell>
          <cell r="I186" t="str">
            <v>רווחה</v>
          </cell>
          <cell r="J186">
            <v>0</v>
          </cell>
          <cell r="K186">
            <v>0</v>
          </cell>
          <cell r="L186">
            <v>1341004930</v>
          </cell>
        </row>
        <row r="187">
          <cell r="C187">
            <v>123</v>
          </cell>
          <cell r="G187">
            <v>33</v>
          </cell>
          <cell r="I187" t="str">
            <v>רווחה</v>
          </cell>
          <cell r="J187">
            <v>0</v>
          </cell>
          <cell r="K187">
            <v>0</v>
          </cell>
          <cell r="L187">
            <v>1341100930</v>
          </cell>
        </row>
        <row r="188">
          <cell r="C188">
            <v>123</v>
          </cell>
          <cell r="G188">
            <v>33</v>
          </cell>
          <cell r="I188" t="str">
            <v>רווחה</v>
          </cell>
          <cell r="J188">
            <v>0</v>
          </cell>
          <cell r="K188">
            <v>0</v>
          </cell>
          <cell r="L188">
            <v>1341200930</v>
          </cell>
        </row>
        <row r="189">
          <cell r="C189">
            <v>114</v>
          </cell>
          <cell r="G189">
            <v>34</v>
          </cell>
          <cell r="I189" t="str">
            <v>רווחה</v>
          </cell>
          <cell r="J189">
            <v>34</v>
          </cell>
          <cell r="K189">
            <v>0</v>
          </cell>
          <cell r="L189">
            <v>1341900930</v>
          </cell>
        </row>
        <row r="190">
          <cell r="C190">
            <v>122</v>
          </cell>
          <cell r="G190">
            <v>34</v>
          </cell>
          <cell r="I190" t="str">
            <v>רווחה</v>
          </cell>
          <cell r="J190">
            <v>0</v>
          </cell>
          <cell r="K190">
            <v>0</v>
          </cell>
          <cell r="L190">
            <v>1342190930</v>
          </cell>
        </row>
        <row r="191">
          <cell r="C191">
            <v>122</v>
          </cell>
          <cell r="G191">
            <v>34</v>
          </cell>
          <cell r="I191" t="str">
            <v>רווחה</v>
          </cell>
          <cell r="J191">
            <v>0</v>
          </cell>
          <cell r="K191">
            <v>0</v>
          </cell>
          <cell r="L191">
            <v>1342200930</v>
          </cell>
        </row>
        <row r="192">
          <cell r="C192">
            <v>114</v>
          </cell>
          <cell r="G192">
            <v>34</v>
          </cell>
          <cell r="I192" t="str">
            <v>רווחה</v>
          </cell>
          <cell r="J192">
            <v>34</v>
          </cell>
          <cell r="K192">
            <v>0</v>
          </cell>
          <cell r="L192">
            <v>1342201930</v>
          </cell>
        </row>
        <row r="193">
          <cell r="C193">
            <v>122</v>
          </cell>
          <cell r="G193">
            <v>34</v>
          </cell>
          <cell r="I193" t="str">
            <v>רווחה</v>
          </cell>
          <cell r="J193">
            <v>0</v>
          </cell>
          <cell r="K193">
            <v>0</v>
          </cell>
          <cell r="L193">
            <v>1342202930</v>
          </cell>
        </row>
        <row r="194">
          <cell r="C194">
            <v>122</v>
          </cell>
          <cell r="G194">
            <v>34</v>
          </cell>
          <cell r="I194" t="str">
            <v>רווחה</v>
          </cell>
          <cell r="J194">
            <v>0</v>
          </cell>
          <cell r="K194">
            <v>0</v>
          </cell>
          <cell r="L194">
            <v>1342210420</v>
          </cell>
        </row>
        <row r="195">
          <cell r="C195">
            <v>122</v>
          </cell>
          <cell r="G195">
            <v>34</v>
          </cell>
          <cell r="I195" t="str">
            <v>רווחה</v>
          </cell>
          <cell r="J195">
            <v>0</v>
          </cell>
          <cell r="K195">
            <v>0</v>
          </cell>
          <cell r="L195">
            <v>1342210930</v>
          </cell>
        </row>
        <row r="196">
          <cell r="C196">
            <v>122</v>
          </cell>
          <cell r="G196">
            <v>34</v>
          </cell>
          <cell r="I196" t="str">
            <v>רווחה</v>
          </cell>
          <cell r="J196">
            <v>0</v>
          </cell>
          <cell r="K196">
            <v>0</v>
          </cell>
          <cell r="L196">
            <v>1342211930</v>
          </cell>
        </row>
        <row r="197">
          <cell r="C197">
            <v>122</v>
          </cell>
          <cell r="G197">
            <v>34</v>
          </cell>
          <cell r="I197" t="str">
            <v>רווחה</v>
          </cell>
          <cell r="J197">
            <v>0</v>
          </cell>
          <cell r="K197">
            <v>0</v>
          </cell>
          <cell r="L197">
            <v>1342212930</v>
          </cell>
        </row>
        <row r="198">
          <cell r="C198">
            <v>122</v>
          </cell>
          <cell r="G198">
            <v>34</v>
          </cell>
          <cell r="I198" t="str">
            <v>רווחה</v>
          </cell>
          <cell r="J198">
            <v>0</v>
          </cell>
          <cell r="K198">
            <v>0</v>
          </cell>
          <cell r="L198">
            <v>1342230930</v>
          </cell>
        </row>
        <row r="199">
          <cell r="C199">
            <v>122</v>
          </cell>
          <cell r="G199">
            <v>34</v>
          </cell>
          <cell r="I199" t="str">
            <v>רווחה</v>
          </cell>
          <cell r="J199">
            <v>0</v>
          </cell>
          <cell r="K199">
            <v>0</v>
          </cell>
          <cell r="L199">
            <v>1342400420</v>
          </cell>
        </row>
        <row r="200">
          <cell r="C200">
            <v>122</v>
          </cell>
          <cell r="G200">
            <v>34</v>
          </cell>
          <cell r="I200" t="str">
            <v>רווחה</v>
          </cell>
          <cell r="J200">
            <v>0</v>
          </cell>
          <cell r="K200">
            <v>0</v>
          </cell>
          <cell r="L200">
            <v>1342400930</v>
          </cell>
        </row>
        <row r="201">
          <cell r="C201">
            <v>122</v>
          </cell>
          <cell r="G201">
            <v>34</v>
          </cell>
          <cell r="I201" t="str">
            <v>רווחה</v>
          </cell>
          <cell r="J201">
            <v>0</v>
          </cell>
          <cell r="K201">
            <v>0</v>
          </cell>
          <cell r="L201">
            <v>1342401420</v>
          </cell>
        </row>
        <row r="202">
          <cell r="C202">
            <v>122</v>
          </cell>
          <cell r="G202">
            <v>34</v>
          </cell>
          <cell r="I202" t="str">
            <v>רווחה</v>
          </cell>
          <cell r="J202">
            <v>0</v>
          </cell>
          <cell r="K202">
            <v>0</v>
          </cell>
          <cell r="L202">
            <v>1342401930</v>
          </cell>
        </row>
        <row r="203">
          <cell r="C203">
            <v>122</v>
          </cell>
          <cell r="G203">
            <v>34</v>
          </cell>
          <cell r="I203" t="str">
            <v>רווחה</v>
          </cell>
          <cell r="J203">
            <v>0</v>
          </cell>
          <cell r="K203">
            <v>0</v>
          </cell>
          <cell r="L203">
            <v>1342402930</v>
          </cell>
        </row>
        <row r="204">
          <cell r="C204">
            <v>122</v>
          </cell>
          <cell r="G204">
            <v>34</v>
          </cell>
          <cell r="I204" t="str">
            <v>רווחה</v>
          </cell>
          <cell r="J204">
            <v>0</v>
          </cell>
          <cell r="K204">
            <v>0</v>
          </cell>
          <cell r="L204">
            <v>1342410420</v>
          </cell>
        </row>
        <row r="205">
          <cell r="C205">
            <v>122</v>
          </cell>
          <cell r="G205">
            <v>34</v>
          </cell>
          <cell r="I205" t="str">
            <v>רווחה</v>
          </cell>
          <cell r="J205">
            <v>0</v>
          </cell>
          <cell r="K205">
            <v>0</v>
          </cell>
          <cell r="L205">
            <v>1342410930</v>
          </cell>
        </row>
        <row r="206">
          <cell r="C206">
            <v>122</v>
          </cell>
          <cell r="G206">
            <v>34</v>
          </cell>
          <cell r="I206" t="str">
            <v>רווחה</v>
          </cell>
          <cell r="J206">
            <v>0</v>
          </cell>
          <cell r="K206">
            <v>0</v>
          </cell>
          <cell r="L206">
            <v>1342412930</v>
          </cell>
        </row>
        <row r="207">
          <cell r="C207">
            <v>114</v>
          </cell>
          <cell r="G207">
            <v>34</v>
          </cell>
          <cell r="I207" t="str">
            <v>רווחה</v>
          </cell>
          <cell r="J207">
            <v>34</v>
          </cell>
          <cell r="K207">
            <v>0</v>
          </cell>
          <cell r="L207">
            <v>1342420930</v>
          </cell>
        </row>
        <row r="208">
          <cell r="C208">
            <v>122</v>
          </cell>
          <cell r="G208">
            <v>34</v>
          </cell>
          <cell r="I208" t="str">
            <v>רווחה</v>
          </cell>
          <cell r="J208">
            <v>0</v>
          </cell>
          <cell r="K208">
            <v>0</v>
          </cell>
          <cell r="L208">
            <v>1342500930</v>
          </cell>
        </row>
        <row r="209">
          <cell r="C209">
            <v>122</v>
          </cell>
          <cell r="G209">
            <v>34</v>
          </cell>
          <cell r="I209" t="str">
            <v>רווחה</v>
          </cell>
          <cell r="J209">
            <v>0</v>
          </cell>
          <cell r="K209">
            <v>0</v>
          </cell>
          <cell r="L209">
            <v>1343100990</v>
          </cell>
        </row>
        <row r="210">
          <cell r="C210">
            <v>122</v>
          </cell>
          <cell r="G210">
            <v>34</v>
          </cell>
          <cell r="I210" t="str">
            <v>רווחה</v>
          </cell>
          <cell r="J210">
            <v>0</v>
          </cell>
          <cell r="K210">
            <v>0</v>
          </cell>
          <cell r="L210">
            <v>1343101990</v>
          </cell>
        </row>
        <row r="211">
          <cell r="C211">
            <v>122</v>
          </cell>
          <cell r="G211">
            <v>34</v>
          </cell>
          <cell r="I211" t="str">
            <v>רווחה</v>
          </cell>
          <cell r="J211">
            <v>0</v>
          </cell>
          <cell r="K211">
            <v>0</v>
          </cell>
          <cell r="L211">
            <v>1343500930</v>
          </cell>
        </row>
        <row r="212">
          <cell r="C212">
            <v>114</v>
          </cell>
          <cell r="G212">
            <v>34</v>
          </cell>
          <cell r="I212" t="str">
            <v>רווחה</v>
          </cell>
          <cell r="J212">
            <v>34</v>
          </cell>
          <cell r="K212">
            <v>0</v>
          </cell>
          <cell r="L212">
            <v>1343520420</v>
          </cell>
        </row>
        <row r="213">
          <cell r="C213">
            <v>122</v>
          </cell>
          <cell r="G213">
            <v>34</v>
          </cell>
          <cell r="I213" t="str">
            <v>רווחה</v>
          </cell>
          <cell r="J213">
            <v>0</v>
          </cell>
          <cell r="K213">
            <v>0</v>
          </cell>
          <cell r="L213">
            <v>1343520930</v>
          </cell>
        </row>
        <row r="214">
          <cell r="C214">
            <v>114</v>
          </cell>
          <cell r="G214">
            <v>34</v>
          </cell>
          <cell r="I214" t="str">
            <v>רווחה</v>
          </cell>
          <cell r="J214">
            <v>34</v>
          </cell>
          <cell r="K214">
            <v>0</v>
          </cell>
          <cell r="L214">
            <v>1343530930</v>
          </cell>
        </row>
        <row r="215">
          <cell r="C215">
            <v>122</v>
          </cell>
          <cell r="G215">
            <v>34</v>
          </cell>
          <cell r="I215" t="str">
            <v>רווחה</v>
          </cell>
          <cell r="J215">
            <v>0</v>
          </cell>
          <cell r="K215">
            <v>0</v>
          </cell>
          <cell r="L215">
            <v>1343535930</v>
          </cell>
        </row>
        <row r="216">
          <cell r="C216">
            <v>122</v>
          </cell>
          <cell r="G216">
            <v>34</v>
          </cell>
          <cell r="I216" t="str">
            <v>רווחה</v>
          </cell>
          <cell r="J216">
            <v>0</v>
          </cell>
          <cell r="K216">
            <v>0</v>
          </cell>
          <cell r="L216">
            <v>1343536930</v>
          </cell>
        </row>
        <row r="217">
          <cell r="C217">
            <v>122</v>
          </cell>
          <cell r="G217">
            <v>34</v>
          </cell>
          <cell r="I217" t="str">
            <v>רווחה</v>
          </cell>
          <cell r="J217">
            <v>0</v>
          </cell>
          <cell r="K217">
            <v>0</v>
          </cell>
          <cell r="L217">
            <v>1343540930</v>
          </cell>
        </row>
        <row r="218">
          <cell r="C218">
            <v>114</v>
          </cell>
          <cell r="G218">
            <v>34</v>
          </cell>
          <cell r="I218" t="str">
            <v>רווחה</v>
          </cell>
          <cell r="J218">
            <v>34</v>
          </cell>
          <cell r="K218">
            <v>0</v>
          </cell>
          <cell r="L218">
            <v>1343550930</v>
          </cell>
        </row>
        <row r="219">
          <cell r="C219">
            <v>122</v>
          </cell>
          <cell r="G219">
            <v>34</v>
          </cell>
          <cell r="I219" t="str">
            <v>רווחה</v>
          </cell>
          <cell r="J219">
            <v>0</v>
          </cell>
          <cell r="K219">
            <v>0</v>
          </cell>
          <cell r="L219">
            <v>1343560930</v>
          </cell>
        </row>
        <row r="220">
          <cell r="C220">
            <v>122</v>
          </cell>
          <cell r="G220">
            <v>34</v>
          </cell>
          <cell r="I220" t="str">
            <v>רווחה</v>
          </cell>
          <cell r="J220">
            <v>0</v>
          </cell>
          <cell r="K220">
            <v>0</v>
          </cell>
          <cell r="L220">
            <v>1343800420</v>
          </cell>
        </row>
        <row r="221">
          <cell r="C221">
            <v>122</v>
          </cell>
          <cell r="G221">
            <v>34</v>
          </cell>
          <cell r="I221" t="str">
            <v>רווחה</v>
          </cell>
          <cell r="J221">
            <v>0</v>
          </cell>
          <cell r="K221">
            <v>0</v>
          </cell>
          <cell r="L221">
            <v>1343800930</v>
          </cell>
        </row>
        <row r="222">
          <cell r="C222">
            <v>122</v>
          </cell>
          <cell r="G222">
            <v>34</v>
          </cell>
          <cell r="I222" t="str">
            <v>רווחה</v>
          </cell>
          <cell r="J222">
            <v>0</v>
          </cell>
          <cell r="K222">
            <v>0</v>
          </cell>
          <cell r="L222">
            <v>1343810930</v>
          </cell>
        </row>
        <row r="223">
          <cell r="C223">
            <v>122</v>
          </cell>
          <cell r="G223">
            <v>34</v>
          </cell>
          <cell r="I223" t="str">
            <v>רווחה</v>
          </cell>
          <cell r="J223">
            <v>0</v>
          </cell>
          <cell r="K223">
            <v>0</v>
          </cell>
          <cell r="L223">
            <v>1343900930</v>
          </cell>
        </row>
        <row r="224">
          <cell r="C224">
            <v>123</v>
          </cell>
          <cell r="G224">
            <v>34</v>
          </cell>
          <cell r="I224" t="str">
            <v>רווחה</v>
          </cell>
          <cell r="J224">
            <v>0</v>
          </cell>
          <cell r="K224">
            <v>0</v>
          </cell>
          <cell r="L224">
            <v>1343901930</v>
          </cell>
        </row>
        <row r="225">
          <cell r="C225">
            <v>123</v>
          </cell>
          <cell r="G225">
            <v>34</v>
          </cell>
          <cell r="I225" t="str">
            <v>רווחה</v>
          </cell>
          <cell r="J225">
            <v>0</v>
          </cell>
          <cell r="K225">
            <v>0</v>
          </cell>
          <cell r="L225">
            <v>1343902930</v>
          </cell>
        </row>
        <row r="226">
          <cell r="C226">
            <v>122</v>
          </cell>
          <cell r="G226">
            <v>34</v>
          </cell>
          <cell r="I226" t="str">
            <v>רווחה</v>
          </cell>
          <cell r="J226">
            <v>0</v>
          </cell>
          <cell r="K226">
            <v>0</v>
          </cell>
          <cell r="L226">
            <v>1344300930</v>
          </cell>
        </row>
        <row r="227">
          <cell r="C227">
            <v>122</v>
          </cell>
          <cell r="G227">
            <v>34</v>
          </cell>
          <cell r="I227" t="str">
            <v>רווחה</v>
          </cell>
          <cell r="J227">
            <v>0</v>
          </cell>
          <cell r="K227">
            <v>0</v>
          </cell>
          <cell r="L227">
            <v>1344400420</v>
          </cell>
        </row>
        <row r="228">
          <cell r="C228">
            <v>122</v>
          </cell>
          <cell r="G228">
            <v>34</v>
          </cell>
          <cell r="I228" t="str">
            <v>רווחה</v>
          </cell>
          <cell r="J228">
            <v>0</v>
          </cell>
          <cell r="K228">
            <v>0</v>
          </cell>
          <cell r="L228">
            <v>1344400930</v>
          </cell>
        </row>
        <row r="229">
          <cell r="C229">
            <v>114</v>
          </cell>
          <cell r="G229">
            <v>34</v>
          </cell>
          <cell r="I229" t="str">
            <v>רווחה</v>
          </cell>
          <cell r="J229">
            <v>34</v>
          </cell>
          <cell r="K229">
            <v>0</v>
          </cell>
          <cell r="L229">
            <v>1344401930</v>
          </cell>
        </row>
        <row r="230">
          <cell r="C230">
            <v>122</v>
          </cell>
          <cell r="G230">
            <v>34</v>
          </cell>
          <cell r="I230" t="str">
            <v>רווחה</v>
          </cell>
          <cell r="J230">
            <v>0</v>
          </cell>
          <cell r="K230">
            <v>0</v>
          </cell>
          <cell r="L230">
            <v>1344410930</v>
          </cell>
        </row>
        <row r="231">
          <cell r="C231">
            <v>122</v>
          </cell>
          <cell r="G231">
            <v>34</v>
          </cell>
          <cell r="I231" t="str">
            <v>רווחה</v>
          </cell>
          <cell r="J231">
            <v>0</v>
          </cell>
          <cell r="K231">
            <v>0</v>
          </cell>
          <cell r="L231">
            <v>1344420930</v>
          </cell>
        </row>
        <row r="232">
          <cell r="C232">
            <v>122</v>
          </cell>
          <cell r="G232">
            <v>34</v>
          </cell>
          <cell r="I232" t="str">
            <v>רווחה</v>
          </cell>
          <cell r="J232">
            <v>0</v>
          </cell>
          <cell r="K232">
            <v>0</v>
          </cell>
          <cell r="L232">
            <v>1344440930</v>
          </cell>
        </row>
        <row r="233">
          <cell r="C233">
            <v>122</v>
          </cell>
          <cell r="G233">
            <v>34</v>
          </cell>
          <cell r="I233" t="str">
            <v>רווחה</v>
          </cell>
          <cell r="J233">
            <v>0</v>
          </cell>
          <cell r="K233">
            <v>0</v>
          </cell>
          <cell r="L233">
            <v>1344500420</v>
          </cell>
        </row>
        <row r="234">
          <cell r="C234">
            <v>122</v>
          </cell>
          <cell r="G234">
            <v>34</v>
          </cell>
          <cell r="I234" t="str">
            <v>רווחה</v>
          </cell>
          <cell r="J234">
            <v>0</v>
          </cell>
          <cell r="K234">
            <v>0</v>
          </cell>
          <cell r="L234">
            <v>1344500930</v>
          </cell>
        </row>
        <row r="235">
          <cell r="C235">
            <v>122</v>
          </cell>
          <cell r="G235">
            <v>34</v>
          </cell>
          <cell r="I235" t="str">
            <v>רווחה</v>
          </cell>
          <cell r="J235">
            <v>0</v>
          </cell>
          <cell r="K235">
            <v>0</v>
          </cell>
          <cell r="L235">
            <v>1344510930</v>
          </cell>
        </row>
        <row r="236">
          <cell r="C236">
            <v>122</v>
          </cell>
          <cell r="G236">
            <v>34</v>
          </cell>
          <cell r="I236" t="str">
            <v>רווחה</v>
          </cell>
          <cell r="J236">
            <v>0</v>
          </cell>
          <cell r="K236">
            <v>0</v>
          </cell>
          <cell r="L236">
            <v>1344520930</v>
          </cell>
        </row>
        <row r="237">
          <cell r="C237">
            <v>122</v>
          </cell>
          <cell r="G237">
            <v>34</v>
          </cell>
          <cell r="I237" t="str">
            <v>רווחה</v>
          </cell>
          <cell r="J237">
            <v>0</v>
          </cell>
          <cell r="K237">
            <v>0</v>
          </cell>
          <cell r="L237">
            <v>1345000930</v>
          </cell>
        </row>
        <row r="238">
          <cell r="C238">
            <v>114</v>
          </cell>
          <cell r="G238">
            <v>34</v>
          </cell>
          <cell r="I238" t="str">
            <v>רווחה</v>
          </cell>
          <cell r="J238">
            <v>34</v>
          </cell>
          <cell r="K238">
            <v>0</v>
          </cell>
          <cell r="L238">
            <v>1345100420</v>
          </cell>
        </row>
        <row r="239">
          <cell r="C239">
            <v>122</v>
          </cell>
          <cell r="G239">
            <v>34</v>
          </cell>
          <cell r="I239" t="str">
            <v>רווחה</v>
          </cell>
          <cell r="J239">
            <v>0</v>
          </cell>
          <cell r="K239">
            <v>0</v>
          </cell>
          <cell r="L239">
            <v>1345100930</v>
          </cell>
        </row>
        <row r="240">
          <cell r="C240">
            <v>122</v>
          </cell>
          <cell r="G240">
            <v>34</v>
          </cell>
          <cell r="I240" t="str">
            <v>רווחה</v>
          </cell>
          <cell r="J240">
            <v>0</v>
          </cell>
          <cell r="K240">
            <v>0</v>
          </cell>
          <cell r="L240">
            <v>1345110930</v>
          </cell>
        </row>
        <row r="241">
          <cell r="C241">
            <v>122</v>
          </cell>
          <cell r="G241">
            <v>34</v>
          </cell>
          <cell r="I241" t="str">
            <v>רווחה</v>
          </cell>
          <cell r="J241">
            <v>0</v>
          </cell>
          <cell r="K241">
            <v>0</v>
          </cell>
          <cell r="L241">
            <v>1345120930</v>
          </cell>
        </row>
        <row r="242">
          <cell r="C242">
            <v>122</v>
          </cell>
          <cell r="G242">
            <v>34</v>
          </cell>
          <cell r="I242" t="str">
            <v>רווחה</v>
          </cell>
          <cell r="J242">
            <v>0</v>
          </cell>
          <cell r="K242">
            <v>0</v>
          </cell>
          <cell r="L242">
            <v>1345121930</v>
          </cell>
        </row>
        <row r="243">
          <cell r="C243">
            <v>122</v>
          </cell>
          <cell r="G243">
            <v>34</v>
          </cell>
          <cell r="I243" t="str">
            <v>רווחה</v>
          </cell>
          <cell r="J243">
            <v>0</v>
          </cell>
          <cell r="K243">
            <v>0</v>
          </cell>
          <cell r="L243">
            <v>1345130930</v>
          </cell>
        </row>
        <row r="244">
          <cell r="C244">
            <v>122</v>
          </cell>
          <cell r="G244">
            <v>34</v>
          </cell>
          <cell r="I244" t="str">
            <v>רווחה</v>
          </cell>
          <cell r="J244">
            <v>0</v>
          </cell>
          <cell r="K244">
            <v>0</v>
          </cell>
          <cell r="L244">
            <v>1345131930</v>
          </cell>
        </row>
        <row r="245">
          <cell r="C245">
            <v>122</v>
          </cell>
          <cell r="G245">
            <v>34</v>
          </cell>
          <cell r="I245" t="str">
            <v>רווחה</v>
          </cell>
          <cell r="J245">
            <v>0</v>
          </cell>
          <cell r="K245">
            <v>0</v>
          </cell>
          <cell r="L245">
            <v>1345132930</v>
          </cell>
        </row>
        <row r="246">
          <cell r="C246">
            <v>114</v>
          </cell>
          <cell r="G246">
            <v>34</v>
          </cell>
          <cell r="I246" t="str">
            <v>רווחה</v>
          </cell>
          <cell r="J246">
            <v>34</v>
          </cell>
          <cell r="K246">
            <v>0</v>
          </cell>
          <cell r="L246">
            <v>1345140420</v>
          </cell>
        </row>
        <row r="247">
          <cell r="C247">
            <v>122</v>
          </cell>
          <cell r="G247">
            <v>34</v>
          </cell>
          <cell r="I247" t="str">
            <v>רווחה</v>
          </cell>
          <cell r="J247">
            <v>0</v>
          </cell>
          <cell r="K247">
            <v>0</v>
          </cell>
          <cell r="L247">
            <v>1345140930</v>
          </cell>
        </row>
        <row r="248">
          <cell r="C248">
            <v>122</v>
          </cell>
          <cell r="G248">
            <v>34</v>
          </cell>
          <cell r="I248" t="str">
            <v>רווחה</v>
          </cell>
          <cell r="J248">
            <v>0</v>
          </cell>
          <cell r="K248">
            <v>0</v>
          </cell>
          <cell r="L248">
            <v>1345200420</v>
          </cell>
        </row>
        <row r="249">
          <cell r="C249">
            <v>122</v>
          </cell>
          <cell r="G249">
            <v>34</v>
          </cell>
          <cell r="I249" t="str">
            <v>רווחה</v>
          </cell>
          <cell r="J249">
            <v>0</v>
          </cell>
          <cell r="K249">
            <v>0</v>
          </cell>
          <cell r="L249">
            <v>1345200930</v>
          </cell>
        </row>
        <row r="250">
          <cell r="C250">
            <v>122</v>
          </cell>
          <cell r="G250">
            <v>34</v>
          </cell>
          <cell r="I250" t="str">
            <v>רווחה</v>
          </cell>
          <cell r="J250">
            <v>0</v>
          </cell>
          <cell r="K250">
            <v>0</v>
          </cell>
          <cell r="L250">
            <v>1345201930</v>
          </cell>
        </row>
        <row r="251">
          <cell r="C251">
            <v>122</v>
          </cell>
          <cell r="G251">
            <v>34</v>
          </cell>
          <cell r="I251" t="str">
            <v>רווחה</v>
          </cell>
          <cell r="J251">
            <v>0</v>
          </cell>
          <cell r="K251">
            <v>0</v>
          </cell>
          <cell r="L251">
            <v>1345210930</v>
          </cell>
        </row>
        <row r="252">
          <cell r="C252">
            <v>122</v>
          </cell>
          <cell r="G252">
            <v>34</v>
          </cell>
          <cell r="I252" t="str">
            <v>רווחה</v>
          </cell>
          <cell r="J252">
            <v>0</v>
          </cell>
          <cell r="K252">
            <v>0</v>
          </cell>
          <cell r="L252">
            <v>1345220930</v>
          </cell>
        </row>
        <row r="253">
          <cell r="C253">
            <v>122</v>
          </cell>
          <cell r="G253">
            <v>34</v>
          </cell>
          <cell r="I253" t="str">
            <v>רווחה</v>
          </cell>
          <cell r="J253">
            <v>0</v>
          </cell>
          <cell r="K253">
            <v>0</v>
          </cell>
          <cell r="L253">
            <v>1345230930</v>
          </cell>
        </row>
        <row r="254">
          <cell r="C254">
            <v>122</v>
          </cell>
          <cell r="G254">
            <v>34</v>
          </cell>
          <cell r="I254" t="str">
            <v>רווחה</v>
          </cell>
          <cell r="J254">
            <v>0</v>
          </cell>
          <cell r="K254">
            <v>0</v>
          </cell>
          <cell r="L254">
            <v>1345240420</v>
          </cell>
        </row>
        <row r="255">
          <cell r="C255">
            <v>114</v>
          </cell>
          <cell r="G255">
            <v>34</v>
          </cell>
          <cell r="I255" t="str">
            <v>רווחה</v>
          </cell>
          <cell r="J255">
            <v>34</v>
          </cell>
          <cell r="K255">
            <v>0</v>
          </cell>
          <cell r="L255">
            <v>1345240930</v>
          </cell>
        </row>
        <row r="256">
          <cell r="C256">
            <v>122</v>
          </cell>
          <cell r="G256">
            <v>34</v>
          </cell>
          <cell r="I256" t="str">
            <v>רווחה</v>
          </cell>
          <cell r="J256">
            <v>0</v>
          </cell>
          <cell r="K256">
            <v>0</v>
          </cell>
          <cell r="L256">
            <v>1345300420</v>
          </cell>
        </row>
        <row r="257">
          <cell r="C257">
            <v>122</v>
          </cell>
          <cell r="G257">
            <v>34</v>
          </cell>
          <cell r="I257" t="str">
            <v>רווחה</v>
          </cell>
          <cell r="J257">
            <v>0</v>
          </cell>
          <cell r="K257">
            <v>0</v>
          </cell>
          <cell r="L257">
            <v>1345300930</v>
          </cell>
        </row>
        <row r="258">
          <cell r="C258">
            <v>122</v>
          </cell>
          <cell r="G258">
            <v>34</v>
          </cell>
          <cell r="I258" t="str">
            <v>רווחה</v>
          </cell>
          <cell r="J258">
            <v>0</v>
          </cell>
          <cell r="K258">
            <v>0</v>
          </cell>
          <cell r="L258">
            <v>1345301930</v>
          </cell>
        </row>
        <row r="259">
          <cell r="C259">
            <v>122</v>
          </cell>
          <cell r="G259">
            <v>34</v>
          </cell>
          <cell r="I259" t="str">
            <v>רווחה</v>
          </cell>
          <cell r="J259">
            <v>0</v>
          </cell>
          <cell r="K259">
            <v>0</v>
          </cell>
          <cell r="L259">
            <v>1345305930</v>
          </cell>
        </row>
        <row r="260">
          <cell r="C260">
            <v>122</v>
          </cell>
          <cell r="G260">
            <v>34</v>
          </cell>
          <cell r="I260" t="str">
            <v>רווחה</v>
          </cell>
          <cell r="J260">
            <v>0</v>
          </cell>
          <cell r="K260">
            <v>0</v>
          </cell>
          <cell r="L260">
            <v>1345310420</v>
          </cell>
        </row>
        <row r="261">
          <cell r="C261">
            <v>122</v>
          </cell>
          <cell r="G261">
            <v>34</v>
          </cell>
          <cell r="I261" t="str">
            <v>רווחה</v>
          </cell>
          <cell r="J261">
            <v>0</v>
          </cell>
          <cell r="K261">
            <v>0</v>
          </cell>
          <cell r="L261">
            <v>1345310930</v>
          </cell>
        </row>
        <row r="262">
          <cell r="C262">
            <v>114</v>
          </cell>
          <cell r="G262">
            <v>34</v>
          </cell>
          <cell r="I262" t="str">
            <v>רווחה</v>
          </cell>
          <cell r="J262">
            <v>34</v>
          </cell>
          <cell r="K262">
            <v>0</v>
          </cell>
          <cell r="L262">
            <v>1345311930</v>
          </cell>
        </row>
        <row r="263">
          <cell r="C263">
            <v>122</v>
          </cell>
          <cell r="G263">
            <v>34</v>
          </cell>
          <cell r="I263" t="str">
            <v>רווחה</v>
          </cell>
          <cell r="J263">
            <v>0</v>
          </cell>
          <cell r="K263">
            <v>0</v>
          </cell>
          <cell r="L263">
            <v>1345315930</v>
          </cell>
        </row>
        <row r="264">
          <cell r="C264">
            <v>122</v>
          </cell>
          <cell r="G264">
            <v>34</v>
          </cell>
          <cell r="I264" t="str">
            <v>רווחה</v>
          </cell>
          <cell r="J264">
            <v>0</v>
          </cell>
          <cell r="K264">
            <v>0</v>
          </cell>
          <cell r="L264">
            <v>1345320930</v>
          </cell>
        </row>
        <row r="265">
          <cell r="C265">
            <v>122</v>
          </cell>
          <cell r="G265">
            <v>34</v>
          </cell>
          <cell r="I265" t="str">
            <v>רווחה</v>
          </cell>
          <cell r="J265">
            <v>0</v>
          </cell>
          <cell r="K265">
            <v>0</v>
          </cell>
          <cell r="L265">
            <v>1345500930</v>
          </cell>
        </row>
        <row r="266">
          <cell r="C266">
            <v>122</v>
          </cell>
          <cell r="G266">
            <v>34</v>
          </cell>
          <cell r="I266" t="str">
            <v>רווחה</v>
          </cell>
          <cell r="J266">
            <v>0</v>
          </cell>
          <cell r="K266">
            <v>0</v>
          </cell>
          <cell r="L266">
            <v>1346290930</v>
          </cell>
        </row>
        <row r="267">
          <cell r="C267">
            <v>122</v>
          </cell>
          <cell r="G267">
            <v>34</v>
          </cell>
          <cell r="I267" t="str">
            <v>רווחה</v>
          </cell>
          <cell r="J267">
            <v>0</v>
          </cell>
          <cell r="K267">
            <v>0</v>
          </cell>
          <cell r="L267">
            <v>1346300930</v>
          </cell>
        </row>
        <row r="268">
          <cell r="C268">
            <v>122</v>
          </cell>
          <cell r="G268">
            <v>34</v>
          </cell>
          <cell r="I268" t="str">
            <v>רווחה</v>
          </cell>
          <cell r="J268">
            <v>0</v>
          </cell>
          <cell r="K268">
            <v>0</v>
          </cell>
          <cell r="L268">
            <v>1346310930</v>
          </cell>
        </row>
        <row r="269">
          <cell r="C269">
            <v>122</v>
          </cell>
          <cell r="G269">
            <v>34</v>
          </cell>
          <cell r="I269" t="str">
            <v>רווחה</v>
          </cell>
          <cell r="J269">
            <v>0</v>
          </cell>
          <cell r="K269">
            <v>0</v>
          </cell>
          <cell r="L269">
            <v>1346320930</v>
          </cell>
        </row>
        <row r="270">
          <cell r="C270">
            <v>122</v>
          </cell>
          <cell r="G270">
            <v>34</v>
          </cell>
          <cell r="I270" t="str">
            <v>רווחה</v>
          </cell>
          <cell r="J270">
            <v>0</v>
          </cell>
          <cell r="K270">
            <v>0</v>
          </cell>
          <cell r="L270">
            <v>1346400930</v>
          </cell>
        </row>
        <row r="271">
          <cell r="C271">
            <v>122</v>
          </cell>
          <cell r="G271">
            <v>34</v>
          </cell>
          <cell r="I271" t="str">
            <v>רווחה</v>
          </cell>
          <cell r="J271">
            <v>0</v>
          </cell>
          <cell r="K271">
            <v>0</v>
          </cell>
          <cell r="L271">
            <v>1346500930</v>
          </cell>
        </row>
        <row r="272">
          <cell r="C272">
            <v>122</v>
          </cell>
          <cell r="G272">
            <v>34</v>
          </cell>
          <cell r="I272" t="str">
            <v>רווחה</v>
          </cell>
          <cell r="J272">
            <v>0</v>
          </cell>
          <cell r="K272">
            <v>0</v>
          </cell>
          <cell r="L272">
            <v>1346510930</v>
          </cell>
        </row>
        <row r="273">
          <cell r="C273">
            <v>122</v>
          </cell>
          <cell r="G273">
            <v>34</v>
          </cell>
          <cell r="I273" t="str">
            <v>רווחה</v>
          </cell>
          <cell r="J273">
            <v>0</v>
          </cell>
          <cell r="K273">
            <v>0</v>
          </cell>
          <cell r="L273">
            <v>1346600930</v>
          </cell>
        </row>
        <row r="274">
          <cell r="C274">
            <v>122</v>
          </cell>
          <cell r="G274">
            <v>34</v>
          </cell>
          <cell r="I274" t="str">
            <v>רווחה</v>
          </cell>
          <cell r="J274">
            <v>0</v>
          </cell>
          <cell r="K274">
            <v>0</v>
          </cell>
          <cell r="L274">
            <v>1346610930</v>
          </cell>
        </row>
        <row r="275">
          <cell r="C275">
            <v>114</v>
          </cell>
          <cell r="G275">
            <v>34</v>
          </cell>
          <cell r="I275" t="str">
            <v>רווחה</v>
          </cell>
          <cell r="J275">
            <v>34</v>
          </cell>
          <cell r="K275">
            <v>0</v>
          </cell>
          <cell r="L275">
            <v>1346620930</v>
          </cell>
        </row>
        <row r="276">
          <cell r="C276">
            <v>122</v>
          </cell>
          <cell r="G276">
            <v>34</v>
          </cell>
          <cell r="I276" t="str">
            <v>רווחה</v>
          </cell>
          <cell r="J276">
            <v>0</v>
          </cell>
          <cell r="K276">
            <v>0</v>
          </cell>
          <cell r="L276">
            <v>1346700420</v>
          </cell>
        </row>
        <row r="277">
          <cell r="C277">
            <v>114</v>
          </cell>
          <cell r="G277">
            <v>34</v>
          </cell>
          <cell r="I277" t="str">
            <v>רווחה</v>
          </cell>
          <cell r="J277">
            <v>34</v>
          </cell>
          <cell r="K277">
            <v>0</v>
          </cell>
          <cell r="L277">
            <v>1346700930</v>
          </cell>
        </row>
        <row r="278">
          <cell r="C278">
            <v>122</v>
          </cell>
          <cell r="G278">
            <v>34</v>
          </cell>
          <cell r="I278" t="str">
            <v>רווחה</v>
          </cell>
          <cell r="J278">
            <v>0</v>
          </cell>
          <cell r="K278">
            <v>0</v>
          </cell>
          <cell r="L278">
            <v>1346705930</v>
          </cell>
        </row>
        <row r="279">
          <cell r="C279">
            <v>122</v>
          </cell>
          <cell r="G279">
            <v>34</v>
          </cell>
          <cell r="I279" t="str">
            <v>רווחה</v>
          </cell>
          <cell r="J279">
            <v>0</v>
          </cell>
          <cell r="K279">
            <v>0</v>
          </cell>
          <cell r="L279">
            <v>1346709930</v>
          </cell>
        </row>
        <row r="280">
          <cell r="C280">
            <v>122</v>
          </cell>
          <cell r="G280">
            <v>34</v>
          </cell>
          <cell r="I280" t="str">
            <v>רווחה</v>
          </cell>
          <cell r="J280">
            <v>0</v>
          </cell>
          <cell r="K280">
            <v>0</v>
          </cell>
          <cell r="L280">
            <v>1346710930</v>
          </cell>
        </row>
        <row r="281">
          <cell r="C281">
            <v>122</v>
          </cell>
          <cell r="G281">
            <v>34</v>
          </cell>
          <cell r="I281" t="str">
            <v>רווחה</v>
          </cell>
          <cell r="J281">
            <v>0</v>
          </cell>
          <cell r="K281">
            <v>0</v>
          </cell>
          <cell r="L281">
            <v>1346720930</v>
          </cell>
        </row>
        <row r="282">
          <cell r="C282">
            <v>122</v>
          </cell>
          <cell r="G282">
            <v>34</v>
          </cell>
          <cell r="I282" t="str">
            <v>רווחה</v>
          </cell>
          <cell r="J282">
            <v>0</v>
          </cell>
          <cell r="K282">
            <v>0</v>
          </cell>
          <cell r="L282">
            <v>1346730930</v>
          </cell>
        </row>
        <row r="283">
          <cell r="C283">
            <v>114</v>
          </cell>
          <cell r="G283">
            <v>34</v>
          </cell>
          <cell r="I283" t="str">
            <v>רווחה</v>
          </cell>
          <cell r="J283">
            <v>34</v>
          </cell>
          <cell r="K283">
            <v>0</v>
          </cell>
          <cell r="L283">
            <v>1346750930</v>
          </cell>
        </row>
        <row r="284">
          <cell r="C284">
            <v>122</v>
          </cell>
          <cell r="G284">
            <v>34</v>
          </cell>
          <cell r="I284" t="str">
            <v>רווחה</v>
          </cell>
          <cell r="J284">
            <v>0</v>
          </cell>
          <cell r="K284">
            <v>0</v>
          </cell>
          <cell r="L284">
            <v>1346760930</v>
          </cell>
        </row>
        <row r="285">
          <cell r="C285">
            <v>114</v>
          </cell>
          <cell r="G285">
            <v>34</v>
          </cell>
          <cell r="I285" t="str">
            <v>רווחה</v>
          </cell>
          <cell r="J285">
            <v>34</v>
          </cell>
          <cell r="K285">
            <v>0</v>
          </cell>
          <cell r="L285">
            <v>1346800930</v>
          </cell>
        </row>
        <row r="286">
          <cell r="C286">
            <v>122</v>
          </cell>
          <cell r="G286">
            <v>34</v>
          </cell>
          <cell r="I286" t="str">
            <v>רווחה</v>
          </cell>
          <cell r="J286">
            <v>0</v>
          </cell>
          <cell r="K286">
            <v>0</v>
          </cell>
          <cell r="L286">
            <v>1346810930</v>
          </cell>
        </row>
        <row r="287">
          <cell r="C287">
            <v>122</v>
          </cell>
          <cell r="G287">
            <v>34</v>
          </cell>
          <cell r="I287" t="str">
            <v>רווחה</v>
          </cell>
          <cell r="J287">
            <v>0</v>
          </cell>
          <cell r="K287">
            <v>0</v>
          </cell>
          <cell r="L287">
            <v>1346820420</v>
          </cell>
        </row>
        <row r="288">
          <cell r="C288">
            <v>122</v>
          </cell>
          <cell r="G288">
            <v>34</v>
          </cell>
          <cell r="I288" t="str">
            <v>רווחה</v>
          </cell>
          <cell r="J288">
            <v>0</v>
          </cell>
          <cell r="K288">
            <v>0</v>
          </cell>
          <cell r="L288">
            <v>1346820930</v>
          </cell>
        </row>
        <row r="289">
          <cell r="C289">
            <v>122</v>
          </cell>
          <cell r="G289">
            <v>34</v>
          </cell>
          <cell r="I289" t="str">
            <v>רווחה</v>
          </cell>
          <cell r="J289">
            <v>0</v>
          </cell>
          <cell r="K289">
            <v>0</v>
          </cell>
          <cell r="L289">
            <v>1346825930</v>
          </cell>
        </row>
        <row r="290">
          <cell r="C290">
            <v>122</v>
          </cell>
          <cell r="G290">
            <v>34</v>
          </cell>
          <cell r="I290" t="str">
            <v>רווחה</v>
          </cell>
          <cell r="J290">
            <v>0</v>
          </cell>
          <cell r="K290">
            <v>0</v>
          </cell>
          <cell r="L290">
            <v>1346830930</v>
          </cell>
        </row>
        <row r="291">
          <cell r="C291">
            <v>114</v>
          </cell>
          <cell r="G291">
            <v>34</v>
          </cell>
          <cell r="I291" t="str">
            <v>רווחה</v>
          </cell>
          <cell r="J291">
            <v>34</v>
          </cell>
          <cell r="K291">
            <v>0</v>
          </cell>
          <cell r="L291">
            <v>1346840930</v>
          </cell>
        </row>
        <row r="292">
          <cell r="C292">
            <v>122</v>
          </cell>
          <cell r="G292">
            <v>34</v>
          </cell>
          <cell r="I292" t="str">
            <v>רווחה</v>
          </cell>
          <cell r="J292">
            <v>0</v>
          </cell>
          <cell r="K292">
            <v>0</v>
          </cell>
          <cell r="L292">
            <v>1346850930</v>
          </cell>
        </row>
        <row r="293">
          <cell r="C293">
            <v>122</v>
          </cell>
          <cell r="G293">
            <v>34</v>
          </cell>
          <cell r="I293" t="str">
            <v>רווחה</v>
          </cell>
          <cell r="J293">
            <v>0</v>
          </cell>
          <cell r="K293">
            <v>0</v>
          </cell>
          <cell r="L293">
            <v>1346860930</v>
          </cell>
        </row>
        <row r="294">
          <cell r="C294">
            <v>122</v>
          </cell>
          <cell r="G294">
            <v>34</v>
          </cell>
          <cell r="I294" t="str">
            <v>רווחה</v>
          </cell>
          <cell r="J294">
            <v>0</v>
          </cell>
          <cell r="K294">
            <v>0</v>
          </cell>
          <cell r="L294">
            <v>1347100930</v>
          </cell>
        </row>
        <row r="295">
          <cell r="C295">
            <v>122</v>
          </cell>
          <cell r="G295">
            <v>34</v>
          </cell>
          <cell r="I295" t="str">
            <v>רווחה</v>
          </cell>
          <cell r="J295">
            <v>0</v>
          </cell>
          <cell r="K295">
            <v>0</v>
          </cell>
          <cell r="L295">
            <v>1347110930</v>
          </cell>
        </row>
        <row r="296">
          <cell r="C296">
            <v>122</v>
          </cell>
          <cell r="G296">
            <v>34</v>
          </cell>
          <cell r="I296" t="str">
            <v>רווחה</v>
          </cell>
          <cell r="J296">
            <v>0</v>
          </cell>
          <cell r="K296">
            <v>0</v>
          </cell>
          <cell r="L296">
            <v>1347120930</v>
          </cell>
        </row>
        <row r="297">
          <cell r="C297">
            <v>122</v>
          </cell>
          <cell r="G297">
            <v>34</v>
          </cell>
          <cell r="I297" t="str">
            <v>רווחה</v>
          </cell>
          <cell r="J297">
            <v>0</v>
          </cell>
          <cell r="K297">
            <v>0</v>
          </cell>
          <cell r="L297">
            <v>1347130930</v>
          </cell>
        </row>
        <row r="298">
          <cell r="C298">
            <v>122</v>
          </cell>
          <cell r="G298">
            <v>34</v>
          </cell>
          <cell r="I298" t="str">
            <v>רווחה</v>
          </cell>
          <cell r="J298">
            <v>0</v>
          </cell>
          <cell r="K298">
            <v>0</v>
          </cell>
          <cell r="L298">
            <v>1347140930</v>
          </cell>
        </row>
        <row r="299">
          <cell r="C299">
            <v>122</v>
          </cell>
          <cell r="G299">
            <v>34</v>
          </cell>
          <cell r="I299" t="str">
            <v>רווחה</v>
          </cell>
          <cell r="J299">
            <v>0</v>
          </cell>
          <cell r="K299">
            <v>0</v>
          </cell>
          <cell r="L299">
            <v>1347200930</v>
          </cell>
        </row>
        <row r="300">
          <cell r="C300">
            <v>122</v>
          </cell>
          <cell r="G300">
            <v>34</v>
          </cell>
          <cell r="I300" t="str">
            <v>רווחה</v>
          </cell>
          <cell r="J300">
            <v>0</v>
          </cell>
          <cell r="K300">
            <v>0</v>
          </cell>
          <cell r="L300">
            <v>1347300790</v>
          </cell>
        </row>
        <row r="301">
          <cell r="C301">
            <v>122</v>
          </cell>
          <cell r="G301">
            <v>34</v>
          </cell>
          <cell r="I301" t="str">
            <v>רווחה</v>
          </cell>
          <cell r="J301">
            <v>0</v>
          </cell>
          <cell r="K301">
            <v>0</v>
          </cell>
          <cell r="L301">
            <v>1347300930</v>
          </cell>
        </row>
        <row r="302">
          <cell r="C302">
            <v>122</v>
          </cell>
          <cell r="G302">
            <v>34</v>
          </cell>
          <cell r="I302" t="str">
            <v>רווחה</v>
          </cell>
          <cell r="J302">
            <v>0</v>
          </cell>
          <cell r="K302">
            <v>0</v>
          </cell>
          <cell r="L302">
            <v>1347300990</v>
          </cell>
        </row>
        <row r="303">
          <cell r="C303">
            <v>122</v>
          </cell>
          <cell r="G303">
            <v>34</v>
          </cell>
          <cell r="I303" t="str">
            <v>רווחה</v>
          </cell>
          <cell r="J303">
            <v>0</v>
          </cell>
          <cell r="K303">
            <v>0</v>
          </cell>
          <cell r="L303">
            <v>1347301930</v>
          </cell>
        </row>
        <row r="304">
          <cell r="C304">
            <v>122</v>
          </cell>
          <cell r="G304">
            <v>34</v>
          </cell>
          <cell r="I304" t="str">
            <v>רווחה</v>
          </cell>
          <cell r="J304">
            <v>0</v>
          </cell>
          <cell r="K304">
            <v>0</v>
          </cell>
          <cell r="L304">
            <v>1347305930</v>
          </cell>
        </row>
        <row r="305">
          <cell r="C305">
            <v>122</v>
          </cell>
          <cell r="G305">
            <v>34</v>
          </cell>
          <cell r="I305" t="str">
            <v>רווחה</v>
          </cell>
          <cell r="J305">
            <v>0</v>
          </cell>
          <cell r="K305">
            <v>0</v>
          </cell>
          <cell r="L305">
            <v>1347310930</v>
          </cell>
        </row>
        <row r="306">
          <cell r="C306">
            <v>122</v>
          </cell>
          <cell r="G306">
            <v>34</v>
          </cell>
          <cell r="I306" t="str">
            <v>רווחה</v>
          </cell>
          <cell r="J306">
            <v>0</v>
          </cell>
          <cell r="K306">
            <v>0</v>
          </cell>
          <cell r="L306">
            <v>1347330930</v>
          </cell>
        </row>
        <row r="307">
          <cell r="C307">
            <v>114</v>
          </cell>
          <cell r="G307">
            <v>34</v>
          </cell>
          <cell r="I307" t="str">
            <v>רווחה</v>
          </cell>
          <cell r="J307">
            <v>34</v>
          </cell>
          <cell r="K307">
            <v>0</v>
          </cell>
          <cell r="L307">
            <v>1347400930</v>
          </cell>
        </row>
        <row r="308">
          <cell r="C308">
            <v>122</v>
          </cell>
          <cell r="G308">
            <v>34</v>
          </cell>
          <cell r="I308" t="str">
            <v>רווחה</v>
          </cell>
          <cell r="J308">
            <v>0</v>
          </cell>
          <cell r="K308">
            <v>0</v>
          </cell>
          <cell r="L308">
            <v>1347410930</v>
          </cell>
        </row>
        <row r="309">
          <cell r="C309">
            <v>122</v>
          </cell>
          <cell r="G309">
            <v>34</v>
          </cell>
          <cell r="I309" t="str">
            <v>רווחה</v>
          </cell>
          <cell r="J309">
            <v>0</v>
          </cell>
          <cell r="K309">
            <v>0</v>
          </cell>
          <cell r="L309">
            <v>1347420930</v>
          </cell>
        </row>
        <row r="310">
          <cell r="C310">
            <v>122</v>
          </cell>
          <cell r="G310">
            <v>34</v>
          </cell>
          <cell r="I310" t="str">
            <v>רווחה</v>
          </cell>
          <cell r="J310">
            <v>0</v>
          </cell>
          <cell r="K310">
            <v>0</v>
          </cell>
          <cell r="L310">
            <v>1347570930</v>
          </cell>
        </row>
        <row r="311">
          <cell r="C311">
            <v>122</v>
          </cell>
          <cell r="G311">
            <v>34</v>
          </cell>
          <cell r="I311" t="str">
            <v>רווחה</v>
          </cell>
          <cell r="J311">
            <v>0</v>
          </cell>
          <cell r="K311">
            <v>0</v>
          </cell>
          <cell r="L311">
            <v>1348200930</v>
          </cell>
        </row>
        <row r="312">
          <cell r="C312">
            <v>122</v>
          </cell>
          <cell r="G312">
            <v>34</v>
          </cell>
          <cell r="I312" t="str">
            <v>רווחה</v>
          </cell>
          <cell r="J312">
            <v>0</v>
          </cell>
          <cell r="K312">
            <v>0</v>
          </cell>
          <cell r="L312">
            <v>1348210930</v>
          </cell>
        </row>
        <row r="313">
          <cell r="C313">
            <v>122</v>
          </cell>
          <cell r="G313">
            <v>34</v>
          </cell>
          <cell r="I313" t="str">
            <v>רווחה</v>
          </cell>
          <cell r="J313">
            <v>0</v>
          </cell>
          <cell r="K313">
            <v>0</v>
          </cell>
          <cell r="L313">
            <v>1348220930</v>
          </cell>
        </row>
        <row r="314">
          <cell r="C314">
            <v>122</v>
          </cell>
          <cell r="G314">
            <v>34</v>
          </cell>
          <cell r="I314" t="str">
            <v>רווחה</v>
          </cell>
          <cell r="J314">
            <v>0</v>
          </cell>
          <cell r="K314">
            <v>0</v>
          </cell>
          <cell r="L314">
            <v>1348230930</v>
          </cell>
        </row>
        <row r="315">
          <cell r="C315">
            <v>122</v>
          </cell>
          <cell r="G315">
            <v>34</v>
          </cell>
          <cell r="I315" t="str">
            <v>רווחה</v>
          </cell>
          <cell r="J315">
            <v>0</v>
          </cell>
          <cell r="K315">
            <v>0</v>
          </cell>
          <cell r="L315">
            <v>1348300930</v>
          </cell>
        </row>
        <row r="316">
          <cell r="C316">
            <v>122</v>
          </cell>
          <cell r="G316">
            <v>34</v>
          </cell>
          <cell r="I316" t="str">
            <v>רווחה</v>
          </cell>
          <cell r="J316">
            <v>0</v>
          </cell>
          <cell r="K316">
            <v>0</v>
          </cell>
          <cell r="L316">
            <v>1349000930</v>
          </cell>
        </row>
        <row r="317">
          <cell r="C317">
            <v>122</v>
          </cell>
          <cell r="G317">
            <v>34</v>
          </cell>
          <cell r="I317" t="str">
            <v>רווחה</v>
          </cell>
          <cell r="J317">
            <v>0</v>
          </cell>
          <cell r="K317">
            <v>0</v>
          </cell>
          <cell r="L317">
            <v>1349100930</v>
          </cell>
        </row>
        <row r="318">
          <cell r="C318">
            <v>122</v>
          </cell>
          <cell r="G318">
            <v>34</v>
          </cell>
          <cell r="I318" t="str">
            <v>רווחה</v>
          </cell>
          <cell r="J318">
            <v>0</v>
          </cell>
          <cell r="K318">
            <v>0</v>
          </cell>
          <cell r="L318">
            <v>1349110930</v>
          </cell>
        </row>
        <row r="319">
          <cell r="C319">
            <v>114</v>
          </cell>
          <cell r="G319">
            <v>34</v>
          </cell>
          <cell r="I319" t="str">
            <v>רווחה</v>
          </cell>
          <cell r="J319">
            <v>34</v>
          </cell>
          <cell r="K319">
            <v>0</v>
          </cell>
          <cell r="L319">
            <v>1349120930</v>
          </cell>
        </row>
        <row r="320">
          <cell r="C320">
            <v>122</v>
          </cell>
          <cell r="G320">
            <v>34</v>
          </cell>
          <cell r="I320" t="str">
            <v>רווחה</v>
          </cell>
          <cell r="J320">
            <v>0</v>
          </cell>
          <cell r="K320">
            <v>0</v>
          </cell>
          <cell r="L320">
            <v>1349130930</v>
          </cell>
        </row>
        <row r="321">
          <cell r="C321">
            <v>122</v>
          </cell>
          <cell r="G321">
            <v>34</v>
          </cell>
          <cell r="I321" t="str">
            <v>רווחה</v>
          </cell>
          <cell r="J321">
            <v>0</v>
          </cell>
          <cell r="K321">
            <v>0</v>
          </cell>
          <cell r="L321">
            <v>1349140930</v>
          </cell>
        </row>
        <row r="322">
          <cell r="C322">
            <v>122</v>
          </cell>
          <cell r="G322">
            <v>34</v>
          </cell>
          <cell r="I322" t="str">
            <v>רווחה</v>
          </cell>
          <cell r="J322">
            <v>0</v>
          </cell>
          <cell r="K322">
            <v>0</v>
          </cell>
          <cell r="L322">
            <v>1349150930</v>
          </cell>
        </row>
        <row r="323">
          <cell r="C323">
            <v>122</v>
          </cell>
          <cell r="G323">
            <v>34</v>
          </cell>
          <cell r="I323" t="str">
            <v>רווחה</v>
          </cell>
          <cell r="J323">
            <v>0</v>
          </cell>
          <cell r="K323">
            <v>0</v>
          </cell>
          <cell r="L323">
            <v>1349160930</v>
          </cell>
        </row>
        <row r="324">
          <cell r="C324">
            <v>122</v>
          </cell>
          <cell r="G324">
            <v>34</v>
          </cell>
          <cell r="I324" t="str">
            <v>רווחה</v>
          </cell>
          <cell r="J324">
            <v>0</v>
          </cell>
          <cell r="K324">
            <v>0</v>
          </cell>
          <cell r="L324">
            <v>1349260930</v>
          </cell>
        </row>
        <row r="325">
          <cell r="C325">
            <v>122</v>
          </cell>
          <cell r="G325">
            <v>34</v>
          </cell>
          <cell r="I325" t="str">
            <v>איכות הסביבה</v>
          </cell>
          <cell r="J325">
            <v>0</v>
          </cell>
          <cell r="K325">
            <v>0</v>
          </cell>
          <cell r="L325">
            <v>1371620920</v>
          </cell>
        </row>
        <row r="326">
          <cell r="C326">
            <v>122</v>
          </cell>
          <cell r="G326">
            <v>34</v>
          </cell>
          <cell r="I326" t="str">
            <v>רווחה</v>
          </cell>
          <cell r="J326">
            <v>0</v>
          </cell>
          <cell r="K326">
            <v>0</v>
          </cell>
          <cell r="L326">
            <v>1344200930</v>
          </cell>
        </row>
        <row r="327">
          <cell r="C327">
            <v>122</v>
          </cell>
          <cell r="G327">
            <v>34</v>
          </cell>
          <cell r="I327" t="str">
            <v>מים</v>
          </cell>
          <cell r="J327">
            <v>0</v>
          </cell>
          <cell r="K327">
            <v>0</v>
          </cell>
          <cell r="L327">
            <v>1413100210</v>
          </cell>
        </row>
        <row r="328">
          <cell r="C328">
            <v>122</v>
          </cell>
          <cell r="G328">
            <v>34</v>
          </cell>
          <cell r="I328" t="str">
            <v>מים</v>
          </cell>
          <cell r="J328">
            <v>0</v>
          </cell>
          <cell r="K328">
            <v>0</v>
          </cell>
          <cell r="L328">
            <v>1413110210</v>
          </cell>
        </row>
        <row r="329">
          <cell r="C329">
            <v>122</v>
          </cell>
          <cell r="G329">
            <v>34</v>
          </cell>
          <cell r="I329" t="str">
            <v>מים</v>
          </cell>
          <cell r="J329">
            <v>0</v>
          </cell>
          <cell r="K329">
            <v>0</v>
          </cell>
          <cell r="L329">
            <v>1413200410</v>
          </cell>
        </row>
        <row r="330">
          <cell r="C330">
            <v>122</v>
          </cell>
          <cell r="G330">
            <v>34</v>
          </cell>
          <cell r="I330" t="str">
            <v>מים</v>
          </cell>
          <cell r="J330">
            <v>0</v>
          </cell>
          <cell r="K330">
            <v>0</v>
          </cell>
          <cell r="L330">
            <v>1413300810</v>
          </cell>
        </row>
        <row r="331">
          <cell r="C331">
            <v>122</v>
          </cell>
          <cell r="G331">
            <v>34</v>
          </cell>
          <cell r="I331" t="str">
            <v>מפעל הביוב</v>
          </cell>
          <cell r="J331">
            <v>0</v>
          </cell>
          <cell r="K331">
            <v>0</v>
          </cell>
          <cell r="L331">
            <v>1472000310</v>
          </cell>
        </row>
        <row r="332">
          <cell r="C332">
            <v>122</v>
          </cell>
          <cell r="G332">
            <v>34</v>
          </cell>
          <cell r="I332" t="str">
            <v>מפעל הביוב</v>
          </cell>
          <cell r="J332">
            <v>0</v>
          </cell>
          <cell r="K332">
            <v>0</v>
          </cell>
          <cell r="L332">
            <v>1472000810</v>
          </cell>
        </row>
        <row r="333">
          <cell r="C333">
            <v>122</v>
          </cell>
          <cell r="G333">
            <v>34</v>
          </cell>
          <cell r="I333" t="str">
            <v>מפעל הביוב</v>
          </cell>
          <cell r="J333">
            <v>0</v>
          </cell>
          <cell r="K333">
            <v>0</v>
          </cell>
          <cell r="L333">
            <v>1472300310</v>
          </cell>
        </row>
        <row r="334">
          <cell r="C334">
            <v>122</v>
          </cell>
          <cell r="G334">
            <v>34</v>
          </cell>
          <cell r="I334" t="str">
            <v>ריבית והחזר הוצאות שנים קודמות</v>
          </cell>
          <cell r="J334">
            <v>0</v>
          </cell>
          <cell r="K334">
            <v>0</v>
          </cell>
          <cell r="L334">
            <v>1511000660</v>
          </cell>
        </row>
        <row r="335">
          <cell r="C335">
            <v>122</v>
          </cell>
          <cell r="G335">
            <v>34</v>
          </cell>
          <cell r="I335" t="str">
            <v>ריבית והחזר הוצאות שנים קודמות</v>
          </cell>
          <cell r="J335">
            <v>0</v>
          </cell>
          <cell r="K335">
            <v>0</v>
          </cell>
          <cell r="L335">
            <v>1513000510</v>
          </cell>
        </row>
        <row r="336">
          <cell r="C336">
            <v>122</v>
          </cell>
          <cell r="G336">
            <v>34</v>
          </cell>
          <cell r="I336" t="str">
            <v>ריבית והחזר הוצאות שנים קודמות</v>
          </cell>
          <cell r="J336">
            <v>0</v>
          </cell>
          <cell r="K336">
            <v>0</v>
          </cell>
          <cell r="L336">
            <v>1513000690</v>
          </cell>
        </row>
        <row r="337">
          <cell r="C337">
            <v>122</v>
          </cell>
          <cell r="G337">
            <v>34</v>
          </cell>
          <cell r="I337" t="str">
            <v>ריבית והחזר הוצאות שנים קודמות</v>
          </cell>
          <cell r="J337">
            <v>0</v>
          </cell>
          <cell r="K337">
            <v>0</v>
          </cell>
          <cell r="L337">
            <v>1513100900</v>
          </cell>
        </row>
        <row r="338">
          <cell r="C338">
            <v>122</v>
          </cell>
          <cell r="G338">
            <v>34</v>
          </cell>
          <cell r="I338" t="str">
            <v>החזר מקרנות והכנסות מיוחדות</v>
          </cell>
          <cell r="J338">
            <v>0</v>
          </cell>
          <cell r="K338">
            <v>0</v>
          </cell>
          <cell r="L338">
            <v>1599100980</v>
          </cell>
        </row>
        <row r="339">
          <cell r="C339">
            <v>114</v>
          </cell>
          <cell r="G339">
            <v>34</v>
          </cell>
          <cell r="I339" t="str">
            <v>לשכה</v>
          </cell>
          <cell r="J339">
            <v>34</v>
          </cell>
          <cell r="K339">
            <v>0</v>
          </cell>
          <cell r="L339">
            <v>1611000430</v>
          </cell>
        </row>
        <row r="340">
          <cell r="C340">
            <v>122</v>
          </cell>
          <cell r="G340">
            <v>34</v>
          </cell>
          <cell r="I340" t="str">
            <v>לשכה</v>
          </cell>
          <cell r="J340">
            <v>0</v>
          </cell>
          <cell r="K340">
            <v>0</v>
          </cell>
          <cell r="L340">
            <v>1611000450</v>
          </cell>
        </row>
        <row r="341">
          <cell r="C341">
            <v>122</v>
          </cell>
          <cell r="G341">
            <v>34</v>
          </cell>
          <cell r="I341" t="str">
            <v>לשכה</v>
          </cell>
          <cell r="J341">
            <v>0</v>
          </cell>
          <cell r="K341">
            <v>0</v>
          </cell>
          <cell r="L341">
            <v>1611000470</v>
          </cell>
        </row>
        <row r="342">
          <cell r="C342">
            <v>122</v>
          </cell>
          <cell r="G342">
            <v>34</v>
          </cell>
          <cell r="I342" t="str">
            <v>לשכה</v>
          </cell>
          <cell r="J342">
            <v>0</v>
          </cell>
          <cell r="K342">
            <v>0</v>
          </cell>
          <cell r="L342">
            <v>1611000480</v>
          </cell>
        </row>
        <row r="343">
          <cell r="C343">
            <v>122</v>
          </cell>
          <cell r="G343">
            <v>34</v>
          </cell>
          <cell r="I343" t="str">
            <v>לשכה</v>
          </cell>
          <cell r="J343">
            <v>0</v>
          </cell>
          <cell r="K343">
            <v>0</v>
          </cell>
          <cell r="L343">
            <v>1611000514</v>
          </cell>
        </row>
        <row r="344">
          <cell r="C344">
            <v>122</v>
          </cell>
          <cell r="G344">
            <v>34</v>
          </cell>
          <cell r="I344" t="str">
            <v>לשכה</v>
          </cell>
          <cell r="J344">
            <v>0</v>
          </cell>
          <cell r="K344">
            <v>0</v>
          </cell>
          <cell r="L344">
            <v>1611000530</v>
          </cell>
        </row>
        <row r="345">
          <cell r="C345">
            <v>122</v>
          </cell>
          <cell r="G345">
            <v>34</v>
          </cell>
          <cell r="I345" t="str">
            <v>לשכה</v>
          </cell>
          <cell r="J345">
            <v>0</v>
          </cell>
          <cell r="K345">
            <v>0</v>
          </cell>
          <cell r="L345">
            <v>1611000535</v>
          </cell>
        </row>
        <row r="346">
          <cell r="C346">
            <v>122</v>
          </cell>
          <cell r="G346">
            <v>34</v>
          </cell>
          <cell r="I346" t="str">
            <v>לשכה</v>
          </cell>
          <cell r="J346">
            <v>0</v>
          </cell>
          <cell r="K346">
            <v>0</v>
          </cell>
          <cell r="L346">
            <v>1611000540</v>
          </cell>
        </row>
        <row r="347">
          <cell r="C347">
            <v>122</v>
          </cell>
          <cell r="G347">
            <v>34</v>
          </cell>
          <cell r="I347" t="str">
            <v>לשכה</v>
          </cell>
          <cell r="J347">
            <v>0</v>
          </cell>
          <cell r="K347">
            <v>0</v>
          </cell>
          <cell r="L347">
            <v>1611000550</v>
          </cell>
        </row>
        <row r="348">
          <cell r="C348">
            <v>122</v>
          </cell>
          <cell r="G348">
            <v>34</v>
          </cell>
          <cell r="I348" t="str">
            <v>לשכה</v>
          </cell>
          <cell r="J348">
            <v>0</v>
          </cell>
          <cell r="K348">
            <v>0</v>
          </cell>
          <cell r="L348">
            <v>1611000720</v>
          </cell>
        </row>
        <row r="349">
          <cell r="C349">
            <v>122</v>
          </cell>
          <cell r="G349">
            <v>34</v>
          </cell>
          <cell r="I349" t="str">
            <v>לשכה</v>
          </cell>
          <cell r="J349">
            <v>0</v>
          </cell>
          <cell r="K349">
            <v>0</v>
          </cell>
          <cell r="L349">
            <v>1611000735</v>
          </cell>
        </row>
        <row r="350">
          <cell r="C350">
            <v>122</v>
          </cell>
          <cell r="G350">
            <v>34</v>
          </cell>
          <cell r="I350" t="str">
            <v>לשכה</v>
          </cell>
          <cell r="J350">
            <v>0</v>
          </cell>
          <cell r="K350">
            <v>0</v>
          </cell>
          <cell r="L350">
            <v>1611000780</v>
          </cell>
        </row>
        <row r="351">
          <cell r="C351">
            <v>122</v>
          </cell>
          <cell r="G351">
            <v>34</v>
          </cell>
          <cell r="I351" t="str">
            <v>לשכה</v>
          </cell>
          <cell r="J351">
            <v>0</v>
          </cell>
          <cell r="K351">
            <v>0</v>
          </cell>
          <cell r="L351">
            <v>1611001780</v>
          </cell>
        </row>
        <row r="352">
          <cell r="C352">
            <v>122</v>
          </cell>
          <cell r="G352">
            <v>34</v>
          </cell>
          <cell r="I352" t="str">
            <v>לשכה</v>
          </cell>
          <cell r="J352">
            <v>0</v>
          </cell>
          <cell r="K352">
            <v>0</v>
          </cell>
          <cell r="L352">
            <v>1611100110</v>
          </cell>
        </row>
        <row r="353">
          <cell r="C353">
            <v>122</v>
          </cell>
          <cell r="G353">
            <v>34</v>
          </cell>
          <cell r="I353" t="str">
            <v>לשכה</v>
          </cell>
          <cell r="J353">
            <v>0</v>
          </cell>
          <cell r="K353">
            <v>0</v>
          </cell>
          <cell r="L353">
            <v>1611100115</v>
          </cell>
        </row>
        <row r="354">
          <cell r="C354">
            <v>122</v>
          </cell>
          <cell r="G354">
            <v>34</v>
          </cell>
          <cell r="I354" t="str">
            <v>לשכה</v>
          </cell>
          <cell r="J354">
            <v>0</v>
          </cell>
          <cell r="K354">
            <v>0</v>
          </cell>
          <cell r="L354">
            <v>1611100320</v>
          </cell>
        </row>
        <row r="355">
          <cell r="C355">
            <v>122</v>
          </cell>
          <cell r="G355">
            <v>34</v>
          </cell>
          <cell r="I355" t="str">
            <v>לשכה</v>
          </cell>
          <cell r="J355">
            <v>0</v>
          </cell>
          <cell r="K355">
            <v>0</v>
          </cell>
          <cell r="L355">
            <v>1611100510</v>
          </cell>
        </row>
        <row r="356">
          <cell r="C356">
            <v>122</v>
          </cell>
          <cell r="G356">
            <v>34</v>
          </cell>
          <cell r="I356" t="str">
            <v>לשכה</v>
          </cell>
          <cell r="J356">
            <v>0</v>
          </cell>
          <cell r="K356">
            <v>0</v>
          </cell>
          <cell r="L356">
            <v>1611100523</v>
          </cell>
        </row>
        <row r="357">
          <cell r="C357">
            <v>122</v>
          </cell>
          <cell r="G357">
            <v>34</v>
          </cell>
          <cell r="I357" t="str">
            <v>לשכה</v>
          </cell>
          <cell r="J357">
            <v>0</v>
          </cell>
          <cell r="K357">
            <v>0</v>
          </cell>
          <cell r="L357">
            <v>1611100535</v>
          </cell>
        </row>
        <row r="358">
          <cell r="C358">
            <v>122</v>
          </cell>
          <cell r="G358">
            <v>34</v>
          </cell>
          <cell r="I358" t="str">
            <v>לשכה</v>
          </cell>
          <cell r="J358">
            <v>0</v>
          </cell>
          <cell r="K358">
            <v>0</v>
          </cell>
          <cell r="L358">
            <v>1611100541</v>
          </cell>
        </row>
        <row r="359">
          <cell r="C359">
            <v>122</v>
          </cell>
          <cell r="G359">
            <v>34</v>
          </cell>
          <cell r="I359" t="str">
            <v>לשכה</v>
          </cell>
          <cell r="J359">
            <v>0</v>
          </cell>
          <cell r="K359">
            <v>0</v>
          </cell>
          <cell r="L359">
            <v>1611110110</v>
          </cell>
        </row>
        <row r="360">
          <cell r="C360">
            <v>122</v>
          </cell>
          <cell r="G360">
            <v>34</v>
          </cell>
          <cell r="I360" t="str">
            <v>לשכה</v>
          </cell>
          <cell r="J360">
            <v>0</v>
          </cell>
          <cell r="K360">
            <v>0</v>
          </cell>
          <cell r="L360">
            <v>1611110350</v>
          </cell>
        </row>
        <row r="361">
          <cell r="C361">
            <v>122</v>
          </cell>
          <cell r="G361">
            <v>34</v>
          </cell>
          <cell r="I361" t="str">
            <v>לשכה</v>
          </cell>
          <cell r="J361">
            <v>0</v>
          </cell>
          <cell r="K361">
            <v>0</v>
          </cell>
          <cell r="L361">
            <v>1611110541</v>
          </cell>
        </row>
        <row r="362">
          <cell r="C362">
            <v>122</v>
          </cell>
          <cell r="G362">
            <v>34</v>
          </cell>
          <cell r="I362" t="str">
            <v>לשכה</v>
          </cell>
          <cell r="J362">
            <v>0</v>
          </cell>
          <cell r="K362">
            <v>0</v>
          </cell>
          <cell r="L362">
            <v>1611111110</v>
          </cell>
        </row>
        <row r="363">
          <cell r="C363">
            <v>122</v>
          </cell>
          <cell r="G363">
            <v>34</v>
          </cell>
          <cell r="I363" t="str">
            <v>לשכה</v>
          </cell>
          <cell r="J363">
            <v>0</v>
          </cell>
          <cell r="K363">
            <v>0</v>
          </cell>
          <cell r="L363">
            <v>1611200110</v>
          </cell>
        </row>
        <row r="364">
          <cell r="C364">
            <v>122</v>
          </cell>
          <cell r="G364">
            <v>34</v>
          </cell>
          <cell r="I364" t="str">
            <v>לשכה</v>
          </cell>
          <cell r="J364">
            <v>0</v>
          </cell>
          <cell r="K364">
            <v>0</v>
          </cell>
          <cell r="L364">
            <v>1611200310</v>
          </cell>
        </row>
        <row r="365">
          <cell r="C365">
            <v>121</v>
          </cell>
          <cell r="G365">
            <v>37</v>
          </cell>
          <cell r="I365" t="str">
            <v>לשכה</v>
          </cell>
          <cell r="J365">
            <v>0</v>
          </cell>
          <cell r="K365">
            <v>0</v>
          </cell>
          <cell r="L365">
            <v>1611200350</v>
          </cell>
        </row>
        <row r="366">
          <cell r="C366">
            <v>112</v>
          </cell>
          <cell r="G366">
            <v>41</v>
          </cell>
          <cell r="I366" t="str">
            <v>לשכה</v>
          </cell>
          <cell r="J366">
            <v>0</v>
          </cell>
          <cell r="K366">
            <v>0</v>
          </cell>
          <cell r="L366">
            <v>1611200390</v>
          </cell>
        </row>
        <row r="367">
          <cell r="C367">
            <v>112</v>
          </cell>
          <cell r="G367">
            <v>41</v>
          </cell>
          <cell r="I367" t="str">
            <v>לשכה</v>
          </cell>
          <cell r="J367">
            <v>0</v>
          </cell>
          <cell r="K367">
            <v>0</v>
          </cell>
          <cell r="L367">
            <v>1611200535</v>
          </cell>
        </row>
        <row r="368">
          <cell r="C368">
            <v>112</v>
          </cell>
          <cell r="G368">
            <v>41</v>
          </cell>
          <cell r="I368" t="str">
            <v>לשכה</v>
          </cell>
          <cell r="J368">
            <v>0</v>
          </cell>
          <cell r="K368">
            <v>0</v>
          </cell>
          <cell r="L368">
            <v>1611200541</v>
          </cell>
        </row>
        <row r="369">
          <cell r="C369">
            <v>115</v>
          </cell>
          <cell r="G369">
            <v>41</v>
          </cell>
          <cell r="I369" t="str">
            <v>מינהל כללי</v>
          </cell>
          <cell r="J369">
            <v>41</v>
          </cell>
          <cell r="K369">
            <v>0</v>
          </cell>
          <cell r="L369">
            <v>1611300110</v>
          </cell>
        </row>
        <row r="370">
          <cell r="C370">
            <v>115</v>
          </cell>
          <cell r="G370">
            <v>47</v>
          </cell>
          <cell r="I370" t="str">
            <v>מבקר פנים</v>
          </cell>
          <cell r="J370">
            <v>47</v>
          </cell>
          <cell r="K370">
            <v>0</v>
          </cell>
          <cell r="L370">
            <v>1612000110</v>
          </cell>
        </row>
        <row r="371">
          <cell r="C371">
            <v>115</v>
          </cell>
          <cell r="G371">
            <v>47</v>
          </cell>
          <cell r="I371" t="str">
            <v>מבקר פנים</v>
          </cell>
          <cell r="J371">
            <v>47</v>
          </cell>
          <cell r="K371">
            <v>0</v>
          </cell>
          <cell r="L371">
            <v>1612000350</v>
          </cell>
        </row>
        <row r="372">
          <cell r="C372">
            <v>115</v>
          </cell>
          <cell r="G372">
            <v>47</v>
          </cell>
          <cell r="I372" t="str">
            <v>מבקר פנים</v>
          </cell>
          <cell r="J372">
            <v>47</v>
          </cell>
          <cell r="K372">
            <v>0</v>
          </cell>
          <cell r="L372">
            <v>1612000470</v>
          </cell>
        </row>
        <row r="373">
          <cell r="C373">
            <v>115</v>
          </cell>
          <cell r="G373">
            <v>51</v>
          </cell>
          <cell r="I373" t="str">
            <v>מבקר פנים</v>
          </cell>
          <cell r="J373">
            <v>51</v>
          </cell>
          <cell r="K373">
            <v>0</v>
          </cell>
          <cell r="L373">
            <v>1612000521</v>
          </cell>
        </row>
        <row r="374">
          <cell r="C374">
            <v>129</v>
          </cell>
          <cell r="G374">
            <v>51</v>
          </cell>
          <cell r="I374" t="str">
            <v>מבקר פנים</v>
          </cell>
          <cell r="J374">
            <v>51</v>
          </cell>
          <cell r="K374">
            <v>0</v>
          </cell>
          <cell r="L374">
            <v>1612000700</v>
          </cell>
        </row>
        <row r="375">
          <cell r="C375">
            <v>115</v>
          </cell>
          <cell r="G375">
            <v>51</v>
          </cell>
          <cell r="I375" t="str">
            <v>מבקר פנים</v>
          </cell>
          <cell r="J375">
            <v>51</v>
          </cell>
          <cell r="K375">
            <v>0</v>
          </cell>
          <cell r="L375">
            <v>1612000750</v>
          </cell>
        </row>
        <row r="376">
          <cell r="C376">
            <v>115</v>
          </cell>
          <cell r="G376">
            <v>51</v>
          </cell>
          <cell r="I376" t="str">
            <v>מבקר פנים</v>
          </cell>
          <cell r="J376">
            <v>51</v>
          </cell>
          <cell r="K376">
            <v>0</v>
          </cell>
          <cell r="L376">
            <v>1612000780</v>
          </cell>
        </row>
        <row r="377">
          <cell r="C377">
            <v>131</v>
          </cell>
          <cell r="G377">
            <v>59</v>
          </cell>
          <cell r="I377" t="str">
            <v>מנכ"ל</v>
          </cell>
          <cell r="J377">
            <v>0</v>
          </cell>
          <cell r="K377">
            <v>0</v>
          </cell>
          <cell r="L377">
            <v>1613000110</v>
          </cell>
        </row>
        <row r="378">
          <cell r="C378">
            <v>125</v>
          </cell>
          <cell r="G378">
            <v>59</v>
          </cell>
          <cell r="I378" t="str">
            <v>מנכ"ל</v>
          </cell>
          <cell r="J378">
            <v>0</v>
          </cell>
          <cell r="K378">
            <v>0</v>
          </cell>
          <cell r="L378">
            <v>1613000350</v>
          </cell>
        </row>
        <row r="379">
          <cell r="C379">
            <v>152</v>
          </cell>
          <cell r="G379">
            <v>61</v>
          </cell>
          <cell r="I379" t="str">
            <v>מנכ"ל</v>
          </cell>
          <cell r="J379">
            <v>0</v>
          </cell>
          <cell r="K379">
            <v>0</v>
          </cell>
          <cell r="L379">
            <v>1613000420</v>
          </cell>
        </row>
        <row r="380">
          <cell r="C380">
            <v>152</v>
          </cell>
          <cell r="G380">
            <v>61</v>
          </cell>
          <cell r="I380" t="str">
            <v>מנכ"ל</v>
          </cell>
          <cell r="J380">
            <v>0</v>
          </cell>
          <cell r="K380">
            <v>0</v>
          </cell>
          <cell r="L380">
            <v>1613000430</v>
          </cell>
        </row>
        <row r="381">
          <cell r="C381">
            <v>152</v>
          </cell>
          <cell r="G381">
            <v>61</v>
          </cell>
          <cell r="I381" t="str">
            <v>מנכ"ל</v>
          </cell>
          <cell r="J381">
            <v>0</v>
          </cell>
          <cell r="K381">
            <v>0</v>
          </cell>
          <cell r="L381">
            <v>1613000431</v>
          </cell>
        </row>
        <row r="382">
          <cell r="C382">
            <v>152</v>
          </cell>
          <cell r="G382">
            <v>61</v>
          </cell>
          <cell r="I382" t="str">
            <v>מנכ"ל</v>
          </cell>
          <cell r="J382">
            <v>0</v>
          </cell>
          <cell r="K382">
            <v>0</v>
          </cell>
          <cell r="L382">
            <v>1613000450</v>
          </cell>
        </row>
        <row r="383">
          <cell r="C383">
            <v>152</v>
          </cell>
          <cell r="G383">
            <v>61</v>
          </cell>
          <cell r="I383" t="str">
            <v>מנכ"ל</v>
          </cell>
          <cell r="J383">
            <v>0</v>
          </cell>
          <cell r="K383">
            <v>0</v>
          </cell>
          <cell r="L383">
            <v>1613000470</v>
          </cell>
        </row>
        <row r="384">
          <cell r="C384">
            <v>152</v>
          </cell>
          <cell r="G384">
            <v>61</v>
          </cell>
          <cell r="I384" t="str">
            <v>מנכ"ל</v>
          </cell>
          <cell r="J384">
            <v>0</v>
          </cell>
          <cell r="K384">
            <v>0</v>
          </cell>
          <cell r="L384">
            <v>1613000475</v>
          </cell>
        </row>
        <row r="385">
          <cell r="C385">
            <v>152</v>
          </cell>
          <cell r="G385">
            <v>61</v>
          </cell>
          <cell r="I385" t="str">
            <v>מנכ"ל</v>
          </cell>
          <cell r="J385">
            <v>0</v>
          </cell>
          <cell r="K385">
            <v>0</v>
          </cell>
          <cell r="L385">
            <v>1613000510</v>
          </cell>
        </row>
        <row r="386">
          <cell r="C386">
            <v>152</v>
          </cell>
          <cell r="G386">
            <v>61</v>
          </cell>
          <cell r="I386" t="str">
            <v>מנכ"ל</v>
          </cell>
          <cell r="J386">
            <v>0</v>
          </cell>
          <cell r="K386">
            <v>0</v>
          </cell>
          <cell r="L386">
            <v>1613000521</v>
          </cell>
        </row>
        <row r="387">
          <cell r="C387">
            <v>152</v>
          </cell>
          <cell r="G387">
            <v>61</v>
          </cell>
          <cell r="I387" t="str">
            <v>מנכ"ל</v>
          </cell>
          <cell r="J387">
            <v>0</v>
          </cell>
          <cell r="K387">
            <v>0</v>
          </cell>
          <cell r="L387">
            <v>1613000523</v>
          </cell>
        </row>
        <row r="388">
          <cell r="C388">
            <v>152</v>
          </cell>
          <cell r="G388">
            <v>61</v>
          </cell>
          <cell r="I388" t="str">
            <v>מנכ"ל</v>
          </cell>
          <cell r="J388">
            <v>0</v>
          </cell>
          <cell r="K388">
            <v>0</v>
          </cell>
          <cell r="L388">
            <v>1613000525</v>
          </cell>
        </row>
        <row r="389">
          <cell r="C389">
            <v>152</v>
          </cell>
          <cell r="G389">
            <v>61</v>
          </cell>
          <cell r="I389" t="str">
            <v>מנכ"ל</v>
          </cell>
          <cell r="J389">
            <v>0</v>
          </cell>
          <cell r="K389">
            <v>0</v>
          </cell>
          <cell r="L389">
            <v>1613000540</v>
          </cell>
        </row>
        <row r="390">
          <cell r="C390">
            <v>152</v>
          </cell>
          <cell r="G390">
            <v>61</v>
          </cell>
          <cell r="I390" t="str">
            <v>מנכ"ל</v>
          </cell>
          <cell r="J390">
            <v>0</v>
          </cell>
          <cell r="K390">
            <v>0</v>
          </cell>
          <cell r="L390">
            <v>1613000541</v>
          </cell>
        </row>
        <row r="391">
          <cell r="C391">
            <v>152</v>
          </cell>
          <cell r="G391">
            <v>61</v>
          </cell>
          <cell r="I391" t="str">
            <v>מנכ"ל</v>
          </cell>
          <cell r="J391">
            <v>0</v>
          </cell>
          <cell r="K391">
            <v>0</v>
          </cell>
          <cell r="L391">
            <v>1613000542</v>
          </cell>
        </row>
        <row r="392">
          <cell r="C392">
            <v>151</v>
          </cell>
          <cell r="G392">
            <v>61</v>
          </cell>
          <cell r="I392" t="str">
            <v>מנכ"ל</v>
          </cell>
          <cell r="J392">
            <v>0</v>
          </cell>
          <cell r="K392">
            <v>0</v>
          </cell>
          <cell r="L392">
            <v>1613000543</v>
          </cell>
        </row>
        <row r="393">
          <cell r="C393">
            <v>151</v>
          </cell>
          <cell r="G393">
            <v>61</v>
          </cell>
          <cell r="I393" t="str">
            <v>מנכ"ל</v>
          </cell>
          <cell r="J393">
            <v>0</v>
          </cell>
          <cell r="K393">
            <v>0</v>
          </cell>
          <cell r="L393">
            <v>1613000544</v>
          </cell>
        </row>
        <row r="394">
          <cell r="C394">
            <v>151</v>
          </cell>
          <cell r="G394">
            <v>61</v>
          </cell>
          <cell r="I394" t="str">
            <v>מנכ"ל</v>
          </cell>
          <cell r="J394">
            <v>0</v>
          </cell>
          <cell r="K394">
            <v>0</v>
          </cell>
          <cell r="L394">
            <v>1613000550</v>
          </cell>
        </row>
        <row r="395">
          <cell r="C395">
            <v>152</v>
          </cell>
          <cell r="G395">
            <v>61</v>
          </cell>
          <cell r="I395" t="str">
            <v>מנכ"ל</v>
          </cell>
          <cell r="J395">
            <v>0</v>
          </cell>
          <cell r="K395">
            <v>0</v>
          </cell>
          <cell r="L395">
            <v>1613000560</v>
          </cell>
        </row>
        <row r="396">
          <cell r="C396">
            <v>152</v>
          </cell>
          <cell r="G396">
            <v>61</v>
          </cell>
          <cell r="I396" t="str">
            <v>מנכ"ל</v>
          </cell>
          <cell r="J396">
            <v>0</v>
          </cell>
          <cell r="K396">
            <v>0</v>
          </cell>
          <cell r="L396">
            <v>1613000570</v>
          </cell>
        </row>
        <row r="397">
          <cell r="C397">
            <v>152</v>
          </cell>
          <cell r="G397">
            <v>61</v>
          </cell>
          <cell r="I397" t="str">
            <v>מנכ"ל</v>
          </cell>
          <cell r="J397">
            <v>0</v>
          </cell>
          <cell r="K397">
            <v>0</v>
          </cell>
          <cell r="L397">
            <v>1613000720</v>
          </cell>
        </row>
        <row r="398">
          <cell r="C398">
            <v>152</v>
          </cell>
          <cell r="G398">
            <v>61</v>
          </cell>
          <cell r="I398" t="str">
            <v>מנכ"ל</v>
          </cell>
          <cell r="J398">
            <v>0</v>
          </cell>
          <cell r="K398">
            <v>0</v>
          </cell>
          <cell r="L398">
            <v>1613000730</v>
          </cell>
        </row>
        <row r="399">
          <cell r="C399">
            <v>151</v>
          </cell>
          <cell r="G399">
            <v>61</v>
          </cell>
          <cell r="I399" t="str">
            <v>מנכ"ל</v>
          </cell>
          <cell r="J399">
            <v>0</v>
          </cell>
          <cell r="K399">
            <v>0</v>
          </cell>
          <cell r="L399">
            <v>1613000740</v>
          </cell>
        </row>
        <row r="400">
          <cell r="C400">
            <v>151</v>
          </cell>
          <cell r="G400">
            <v>61</v>
          </cell>
          <cell r="I400" t="str">
            <v>מנכ"ל</v>
          </cell>
          <cell r="J400">
            <v>0</v>
          </cell>
          <cell r="K400">
            <v>0</v>
          </cell>
          <cell r="L400">
            <v>1613000760</v>
          </cell>
        </row>
        <row r="401">
          <cell r="C401">
            <v>152</v>
          </cell>
          <cell r="G401">
            <v>61</v>
          </cell>
          <cell r="I401" t="str">
            <v>מנכ"ל</v>
          </cell>
          <cell r="J401">
            <v>0</v>
          </cell>
          <cell r="K401">
            <v>0</v>
          </cell>
          <cell r="L401">
            <v>1613000770</v>
          </cell>
        </row>
        <row r="402">
          <cell r="C402">
            <v>151</v>
          </cell>
          <cell r="G402">
            <v>61</v>
          </cell>
          <cell r="I402" t="str">
            <v>מנכ"ל</v>
          </cell>
          <cell r="J402">
            <v>0</v>
          </cell>
          <cell r="K402">
            <v>0</v>
          </cell>
          <cell r="L402">
            <v>1613000780</v>
          </cell>
        </row>
        <row r="403">
          <cell r="C403">
            <v>151</v>
          </cell>
          <cell r="G403">
            <v>61</v>
          </cell>
          <cell r="I403" t="str">
            <v>מנכ"ל</v>
          </cell>
          <cell r="J403">
            <v>0</v>
          </cell>
          <cell r="K403">
            <v>0</v>
          </cell>
          <cell r="L403">
            <v>1613000790</v>
          </cell>
        </row>
        <row r="404">
          <cell r="C404">
            <v>151</v>
          </cell>
          <cell r="G404">
            <v>61</v>
          </cell>
          <cell r="I404" t="str">
            <v>מנכ"ל</v>
          </cell>
          <cell r="J404">
            <v>0</v>
          </cell>
          <cell r="K404">
            <v>0</v>
          </cell>
          <cell r="L404">
            <v>1613001523</v>
          </cell>
        </row>
        <row r="405">
          <cell r="C405">
            <v>151</v>
          </cell>
          <cell r="G405">
            <v>61</v>
          </cell>
          <cell r="I405" t="str">
            <v>מנכ"ל</v>
          </cell>
          <cell r="J405">
            <v>0</v>
          </cell>
          <cell r="K405">
            <v>0</v>
          </cell>
          <cell r="L405">
            <v>1613001541</v>
          </cell>
        </row>
        <row r="406">
          <cell r="C406">
            <v>151</v>
          </cell>
          <cell r="G406">
            <v>61</v>
          </cell>
          <cell r="I406" t="str">
            <v>מנכ"ל</v>
          </cell>
          <cell r="J406">
            <v>0</v>
          </cell>
          <cell r="K406">
            <v>0</v>
          </cell>
          <cell r="L406">
            <v>1613002523</v>
          </cell>
        </row>
        <row r="407">
          <cell r="C407">
            <v>152</v>
          </cell>
          <cell r="G407">
            <v>61</v>
          </cell>
          <cell r="I407" t="str">
            <v>מנכ"ל</v>
          </cell>
          <cell r="J407">
            <v>0</v>
          </cell>
          <cell r="K407">
            <v>0</v>
          </cell>
          <cell r="L407">
            <v>1613100470</v>
          </cell>
        </row>
        <row r="408">
          <cell r="C408">
            <v>152</v>
          </cell>
          <cell r="G408">
            <v>61</v>
          </cell>
          <cell r="I408" t="str">
            <v>מנכ"ל</v>
          </cell>
          <cell r="J408">
            <v>0</v>
          </cell>
          <cell r="K408">
            <v>0</v>
          </cell>
          <cell r="L408">
            <v>1613100570</v>
          </cell>
        </row>
        <row r="409">
          <cell r="C409">
            <v>151</v>
          </cell>
          <cell r="G409">
            <v>61</v>
          </cell>
          <cell r="I409" t="str">
            <v>מנכ"ל</v>
          </cell>
          <cell r="J409">
            <v>0</v>
          </cell>
          <cell r="K409">
            <v>0</v>
          </cell>
          <cell r="L409">
            <v>1613100611</v>
          </cell>
        </row>
        <row r="410">
          <cell r="C410">
            <v>151</v>
          </cell>
          <cell r="G410">
            <v>61</v>
          </cell>
          <cell r="I410" t="str">
            <v>מנכ"ל</v>
          </cell>
          <cell r="J410">
            <v>0</v>
          </cell>
          <cell r="K410">
            <v>0</v>
          </cell>
          <cell r="L410">
            <v>1614000110</v>
          </cell>
        </row>
        <row r="411">
          <cell r="C411">
            <v>151</v>
          </cell>
          <cell r="G411">
            <v>61</v>
          </cell>
          <cell r="I411" t="str">
            <v>מנכ"ל</v>
          </cell>
          <cell r="J411">
            <v>0</v>
          </cell>
          <cell r="K411">
            <v>0</v>
          </cell>
          <cell r="L411">
            <v>1614000410</v>
          </cell>
        </row>
        <row r="412">
          <cell r="C412">
            <v>152</v>
          </cell>
          <cell r="G412">
            <v>61</v>
          </cell>
          <cell r="I412" t="str">
            <v>מנכ"ל</v>
          </cell>
          <cell r="J412">
            <v>0</v>
          </cell>
          <cell r="K412">
            <v>0</v>
          </cell>
          <cell r="L412">
            <v>1614000435</v>
          </cell>
        </row>
        <row r="413">
          <cell r="C413">
            <v>152</v>
          </cell>
          <cell r="G413">
            <v>61</v>
          </cell>
          <cell r="I413" t="str">
            <v>מנכ"ל</v>
          </cell>
          <cell r="J413">
            <v>0</v>
          </cell>
          <cell r="K413">
            <v>0</v>
          </cell>
          <cell r="L413">
            <v>1614000720</v>
          </cell>
        </row>
        <row r="414">
          <cell r="C414">
            <v>152</v>
          </cell>
          <cell r="G414">
            <v>61</v>
          </cell>
          <cell r="I414" t="str">
            <v>מנכ"ל</v>
          </cell>
          <cell r="J414">
            <v>0</v>
          </cell>
          <cell r="K414">
            <v>0</v>
          </cell>
          <cell r="L414">
            <v>1614000780</v>
          </cell>
        </row>
        <row r="415">
          <cell r="C415">
            <v>152</v>
          </cell>
          <cell r="G415">
            <v>61</v>
          </cell>
          <cell r="I415" t="str">
            <v>מנכ"ל</v>
          </cell>
          <cell r="J415">
            <v>0</v>
          </cell>
          <cell r="K415">
            <v>0</v>
          </cell>
          <cell r="L415">
            <v>1615000110</v>
          </cell>
        </row>
        <row r="416">
          <cell r="C416">
            <v>152</v>
          </cell>
          <cell r="G416">
            <v>61</v>
          </cell>
          <cell r="I416" t="str">
            <v>מנכ"ל</v>
          </cell>
          <cell r="J416">
            <v>0</v>
          </cell>
          <cell r="K416">
            <v>0</v>
          </cell>
          <cell r="L416">
            <v>1615000130</v>
          </cell>
        </row>
        <row r="417">
          <cell r="C417">
            <v>151</v>
          </cell>
          <cell r="G417">
            <v>61</v>
          </cell>
          <cell r="I417" t="str">
            <v>מנכ"ל</v>
          </cell>
          <cell r="J417">
            <v>0</v>
          </cell>
          <cell r="K417">
            <v>0</v>
          </cell>
          <cell r="L417">
            <v>1615000210</v>
          </cell>
        </row>
        <row r="418">
          <cell r="C418">
            <v>151</v>
          </cell>
          <cell r="G418">
            <v>61</v>
          </cell>
          <cell r="I418" t="str">
            <v>מנכ"ל</v>
          </cell>
          <cell r="J418">
            <v>0</v>
          </cell>
          <cell r="K418">
            <v>0</v>
          </cell>
          <cell r="L418">
            <v>1615000310</v>
          </cell>
        </row>
        <row r="419">
          <cell r="C419">
            <v>152</v>
          </cell>
          <cell r="G419">
            <v>61</v>
          </cell>
          <cell r="I419" t="str">
            <v>מנכ"ל</v>
          </cell>
          <cell r="J419">
            <v>0</v>
          </cell>
          <cell r="K419">
            <v>0</v>
          </cell>
          <cell r="L419">
            <v>1615000350</v>
          </cell>
        </row>
        <row r="420">
          <cell r="C420">
            <v>152</v>
          </cell>
          <cell r="G420">
            <v>61</v>
          </cell>
          <cell r="I420" t="str">
            <v>מנכ"ל</v>
          </cell>
          <cell r="J420">
            <v>0</v>
          </cell>
          <cell r="K420">
            <v>0</v>
          </cell>
          <cell r="L420">
            <v>1615000541</v>
          </cell>
        </row>
        <row r="421">
          <cell r="C421">
            <v>152</v>
          </cell>
          <cell r="G421">
            <v>61</v>
          </cell>
          <cell r="I421" t="str">
            <v>מנכ"ל</v>
          </cell>
          <cell r="J421">
            <v>0</v>
          </cell>
          <cell r="K421">
            <v>0</v>
          </cell>
          <cell r="L421">
            <v>1615000780</v>
          </cell>
        </row>
        <row r="422">
          <cell r="C422">
            <v>152</v>
          </cell>
          <cell r="G422">
            <v>61</v>
          </cell>
          <cell r="I422" t="str">
            <v>מנכ"ל</v>
          </cell>
          <cell r="J422">
            <v>0</v>
          </cell>
          <cell r="K422">
            <v>0</v>
          </cell>
          <cell r="L422">
            <v>1615001110</v>
          </cell>
        </row>
        <row r="423">
          <cell r="C423">
            <v>152</v>
          </cell>
          <cell r="G423">
            <v>61</v>
          </cell>
          <cell r="I423" t="str">
            <v>מנכ"ל</v>
          </cell>
          <cell r="J423">
            <v>0</v>
          </cell>
          <cell r="K423">
            <v>0</v>
          </cell>
          <cell r="L423">
            <v>1615100110</v>
          </cell>
        </row>
        <row r="424">
          <cell r="C424">
            <v>152</v>
          </cell>
          <cell r="G424">
            <v>61</v>
          </cell>
          <cell r="I424" t="str">
            <v>מנכ"ל</v>
          </cell>
          <cell r="J424">
            <v>0</v>
          </cell>
          <cell r="K424">
            <v>0</v>
          </cell>
          <cell r="L424">
            <v>1615100210</v>
          </cell>
        </row>
        <row r="425">
          <cell r="C425">
            <v>152</v>
          </cell>
          <cell r="G425">
            <v>61</v>
          </cell>
          <cell r="I425" t="str">
            <v>מנכ"ל</v>
          </cell>
          <cell r="J425">
            <v>0</v>
          </cell>
          <cell r="K425">
            <v>0</v>
          </cell>
          <cell r="L425">
            <v>1615100350</v>
          </cell>
        </row>
        <row r="426">
          <cell r="C426">
            <v>152</v>
          </cell>
          <cell r="G426">
            <v>61</v>
          </cell>
          <cell r="I426" t="str">
            <v>מנכ"ל</v>
          </cell>
          <cell r="J426">
            <v>0</v>
          </cell>
          <cell r="K426">
            <v>0</v>
          </cell>
          <cell r="L426">
            <v>1615102210</v>
          </cell>
        </row>
        <row r="427">
          <cell r="C427">
            <v>152</v>
          </cell>
          <cell r="G427">
            <v>61</v>
          </cell>
          <cell r="I427" t="str">
            <v>מנכ"ל</v>
          </cell>
          <cell r="J427">
            <v>0</v>
          </cell>
          <cell r="K427">
            <v>0</v>
          </cell>
          <cell r="L427">
            <v>1616000750</v>
          </cell>
        </row>
        <row r="428">
          <cell r="C428">
            <v>152</v>
          </cell>
          <cell r="G428">
            <v>61</v>
          </cell>
          <cell r="I428" t="str">
            <v>מנכ"ל</v>
          </cell>
          <cell r="J428">
            <v>0</v>
          </cell>
          <cell r="K428">
            <v>0</v>
          </cell>
          <cell r="L428">
            <v>1617000110</v>
          </cell>
        </row>
        <row r="429">
          <cell r="C429">
            <v>152</v>
          </cell>
          <cell r="G429">
            <v>61</v>
          </cell>
          <cell r="I429" t="str">
            <v>מנכ"ל</v>
          </cell>
          <cell r="J429">
            <v>0</v>
          </cell>
          <cell r="K429">
            <v>0</v>
          </cell>
          <cell r="L429">
            <v>1617000350</v>
          </cell>
        </row>
        <row r="430">
          <cell r="C430">
            <v>152</v>
          </cell>
          <cell r="G430">
            <v>61</v>
          </cell>
          <cell r="I430" t="str">
            <v>מנכ"ל</v>
          </cell>
          <cell r="J430">
            <v>0</v>
          </cell>
          <cell r="K430">
            <v>0</v>
          </cell>
          <cell r="L430">
            <v>1617000581</v>
          </cell>
        </row>
        <row r="431">
          <cell r="C431">
            <v>152</v>
          </cell>
          <cell r="G431">
            <v>61</v>
          </cell>
          <cell r="I431" t="str">
            <v>מנכ"ל</v>
          </cell>
          <cell r="J431">
            <v>0</v>
          </cell>
          <cell r="K431">
            <v>0</v>
          </cell>
          <cell r="L431">
            <v>1617000750</v>
          </cell>
        </row>
        <row r="432">
          <cell r="C432">
            <v>152</v>
          </cell>
          <cell r="G432">
            <v>61</v>
          </cell>
          <cell r="I432" t="str">
            <v>מנכ"ל</v>
          </cell>
          <cell r="J432">
            <v>0</v>
          </cell>
          <cell r="K432">
            <v>0</v>
          </cell>
          <cell r="L432">
            <v>1617000751</v>
          </cell>
        </row>
        <row r="433">
          <cell r="C433">
            <v>152</v>
          </cell>
          <cell r="G433">
            <v>61</v>
          </cell>
          <cell r="I433" t="str">
            <v>מנכ"ל</v>
          </cell>
          <cell r="J433">
            <v>0</v>
          </cell>
          <cell r="K433">
            <v>0</v>
          </cell>
          <cell r="L433">
            <v>1617100750</v>
          </cell>
        </row>
        <row r="434">
          <cell r="C434">
            <v>152</v>
          </cell>
          <cell r="G434">
            <v>61</v>
          </cell>
          <cell r="I434" t="str">
            <v>מנכ"ל</v>
          </cell>
          <cell r="J434">
            <v>0</v>
          </cell>
          <cell r="K434">
            <v>0</v>
          </cell>
          <cell r="L434">
            <v>1619000110</v>
          </cell>
        </row>
        <row r="435">
          <cell r="C435">
            <v>152</v>
          </cell>
          <cell r="G435">
            <v>61</v>
          </cell>
          <cell r="I435" t="str">
            <v>מנכ"ל</v>
          </cell>
          <cell r="J435">
            <v>0</v>
          </cell>
          <cell r="K435">
            <v>0</v>
          </cell>
          <cell r="L435">
            <v>1619000780</v>
          </cell>
        </row>
        <row r="436">
          <cell r="C436">
            <v>152</v>
          </cell>
          <cell r="G436">
            <v>61</v>
          </cell>
          <cell r="I436" t="str">
            <v>גזברות</v>
          </cell>
          <cell r="J436">
            <v>0</v>
          </cell>
          <cell r="K436">
            <v>0</v>
          </cell>
          <cell r="L436">
            <v>1621000110</v>
          </cell>
        </row>
        <row r="437">
          <cell r="C437">
            <v>152</v>
          </cell>
          <cell r="G437">
            <v>61</v>
          </cell>
          <cell r="I437" t="str">
            <v>גזברות</v>
          </cell>
          <cell r="J437">
            <v>0</v>
          </cell>
          <cell r="K437">
            <v>0</v>
          </cell>
          <cell r="L437">
            <v>1621000350</v>
          </cell>
        </row>
        <row r="438">
          <cell r="C438">
            <v>152</v>
          </cell>
          <cell r="G438">
            <v>61</v>
          </cell>
          <cell r="I438" t="str">
            <v>גזברות</v>
          </cell>
          <cell r="J438">
            <v>0</v>
          </cell>
          <cell r="K438">
            <v>0</v>
          </cell>
          <cell r="L438">
            <v>1621000450</v>
          </cell>
        </row>
        <row r="439">
          <cell r="C439">
            <v>152</v>
          </cell>
          <cell r="G439">
            <v>61</v>
          </cell>
          <cell r="I439" t="str">
            <v>גזברות</v>
          </cell>
          <cell r="J439">
            <v>0</v>
          </cell>
          <cell r="K439">
            <v>0</v>
          </cell>
          <cell r="L439">
            <v>1621000470</v>
          </cell>
        </row>
        <row r="440">
          <cell r="C440">
            <v>152</v>
          </cell>
          <cell r="G440">
            <v>61</v>
          </cell>
          <cell r="I440" t="str">
            <v>גזברות</v>
          </cell>
          <cell r="J440">
            <v>0</v>
          </cell>
          <cell r="K440">
            <v>0</v>
          </cell>
          <cell r="L440">
            <v>1621000510</v>
          </cell>
        </row>
        <row r="441">
          <cell r="C441">
            <v>152</v>
          </cell>
          <cell r="G441">
            <v>61</v>
          </cell>
          <cell r="I441" t="str">
            <v>גזברות</v>
          </cell>
          <cell r="J441">
            <v>0</v>
          </cell>
          <cell r="K441">
            <v>0</v>
          </cell>
          <cell r="L441">
            <v>1621000521</v>
          </cell>
        </row>
        <row r="442">
          <cell r="C442">
            <v>152</v>
          </cell>
          <cell r="G442">
            <v>61</v>
          </cell>
          <cell r="I442" t="str">
            <v>גזברות</v>
          </cell>
          <cell r="J442">
            <v>0</v>
          </cell>
          <cell r="K442">
            <v>0</v>
          </cell>
          <cell r="L442">
            <v>1621000523</v>
          </cell>
        </row>
        <row r="443">
          <cell r="C443">
            <v>152</v>
          </cell>
          <cell r="G443">
            <v>61</v>
          </cell>
          <cell r="I443" t="str">
            <v>גזברות</v>
          </cell>
          <cell r="J443">
            <v>0</v>
          </cell>
          <cell r="K443">
            <v>0</v>
          </cell>
          <cell r="L443">
            <v>1621000541</v>
          </cell>
        </row>
        <row r="444">
          <cell r="C444">
            <v>152</v>
          </cell>
          <cell r="G444">
            <v>61</v>
          </cell>
          <cell r="I444" t="str">
            <v>גזברות</v>
          </cell>
          <cell r="J444">
            <v>0</v>
          </cell>
          <cell r="K444">
            <v>0</v>
          </cell>
          <cell r="L444">
            <v>1621000740</v>
          </cell>
        </row>
        <row r="445">
          <cell r="C445">
            <v>152</v>
          </cell>
          <cell r="G445">
            <v>61</v>
          </cell>
          <cell r="I445" t="str">
            <v>גזברות</v>
          </cell>
          <cell r="J445">
            <v>0</v>
          </cell>
          <cell r="K445">
            <v>0</v>
          </cell>
          <cell r="L445">
            <v>1621000750</v>
          </cell>
        </row>
        <row r="446">
          <cell r="C446">
            <v>152</v>
          </cell>
          <cell r="G446">
            <v>61</v>
          </cell>
          <cell r="I446" t="str">
            <v>גזברות</v>
          </cell>
          <cell r="J446">
            <v>0</v>
          </cell>
          <cell r="K446">
            <v>0</v>
          </cell>
          <cell r="L446">
            <v>1621100110</v>
          </cell>
        </row>
        <row r="447">
          <cell r="C447">
            <v>172</v>
          </cell>
          <cell r="G447">
            <v>61</v>
          </cell>
          <cell r="I447" t="str">
            <v>גזברות</v>
          </cell>
          <cell r="J447">
            <v>0</v>
          </cell>
          <cell r="K447">
            <v>0</v>
          </cell>
          <cell r="L447">
            <v>1621100310</v>
          </cell>
        </row>
        <row r="448">
          <cell r="C448">
            <v>152</v>
          </cell>
          <cell r="G448">
            <v>61</v>
          </cell>
          <cell r="I448" t="str">
            <v>גזברות</v>
          </cell>
          <cell r="J448">
            <v>0</v>
          </cell>
          <cell r="K448">
            <v>0</v>
          </cell>
          <cell r="L448">
            <v>1621100350</v>
          </cell>
        </row>
        <row r="449">
          <cell r="C449">
            <v>152</v>
          </cell>
          <cell r="G449">
            <v>61</v>
          </cell>
          <cell r="I449" t="str">
            <v>גזברות</v>
          </cell>
          <cell r="J449">
            <v>0</v>
          </cell>
          <cell r="K449">
            <v>0</v>
          </cell>
          <cell r="L449">
            <v>1621100541</v>
          </cell>
        </row>
        <row r="450">
          <cell r="C450">
            <v>152</v>
          </cell>
          <cell r="G450">
            <v>61</v>
          </cell>
          <cell r="I450" t="str">
            <v>גזברות</v>
          </cell>
          <cell r="J450">
            <v>0</v>
          </cell>
          <cell r="K450">
            <v>0</v>
          </cell>
          <cell r="L450">
            <v>1621100750</v>
          </cell>
        </row>
        <row r="451">
          <cell r="C451">
            <v>151</v>
          </cell>
          <cell r="G451">
            <v>61</v>
          </cell>
          <cell r="I451" t="str">
            <v>גזברות</v>
          </cell>
          <cell r="J451">
            <v>0</v>
          </cell>
          <cell r="K451">
            <v>0</v>
          </cell>
          <cell r="L451">
            <v>1621101750</v>
          </cell>
        </row>
        <row r="452">
          <cell r="C452">
            <v>152</v>
          </cell>
          <cell r="G452">
            <v>61</v>
          </cell>
          <cell r="I452" t="str">
            <v>גזברות</v>
          </cell>
          <cell r="J452">
            <v>0</v>
          </cell>
          <cell r="K452">
            <v>0</v>
          </cell>
          <cell r="L452">
            <v>1621200750</v>
          </cell>
        </row>
        <row r="453">
          <cell r="C453">
            <v>152</v>
          </cell>
          <cell r="G453">
            <v>61</v>
          </cell>
          <cell r="I453" t="str">
            <v>גזברות</v>
          </cell>
          <cell r="J453">
            <v>0</v>
          </cell>
          <cell r="K453">
            <v>0</v>
          </cell>
          <cell r="L453">
            <v>1621300570</v>
          </cell>
        </row>
        <row r="454">
          <cell r="C454">
            <v>152</v>
          </cell>
          <cell r="G454">
            <v>61</v>
          </cell>
          <cell r="I454" t="str">
            <v>גזברות</v>
          </cell>
          <cell r="J454">
            <v>0</v>
          </cell>
          <cell r="K454">
            <v>0</v>
          </cell>
          <cell r="L454">
            <v>1621500110</v>
          </cell>
        </row>
        <row r="455">
          <cell r="C455">
            <v>152</v>
          </cell>
          <cell r="G455">
            <v>61</v>
          </cell>
          <cell r="I455" t="str">
            <v>גזברות</v>
          </cell>
          <cell r="J455">
            <v>0</v>
          </cell>
          <cell r="K455">
            <v>0</v>
          </cell>
          <cell r="L455">
            <v>1621500350</v>
          </cell>
        </row>
        <row r="456">
          <cell r="C456">
            <v>151</v>
          </cell>
          <cell r="G456">
            <v>61</v>
          </cell>
          <cell r="I456" t="str">
            <v>גביה</v>
          </cell>
          <cell r="J456">
            <v>0</v>
          </cell>
          <cell r="K456">
            <v>0</v>
          </cell>
          <cell r="L456">
            <v>1623000110</v>
          </cell>
        </row>
        <row r="457">
          <cell r="C457">
            <v>151</v>
          </cell>
          <cell r="G457">
            <v>61</v>
          </cell>
          <cell r="I457" t="str">
            <v>גביה</v>
          </cell>
          <cell r="J457">
            <v>0</v>
          </cell>
          <cell r="K457">
            <v>0</v>
          </cell>
          <cell r="L457">
            <v>1623000210</v>
          </cell>
        </row>
        <row r="458">
          <cell r="C458">
            <v>151</v>
          </cell>
          <cell r="G458">
            <v>61</v>
          </cell>
          <cell r="I458" t="str">
            <v>גביה</v>
          </cell>
          <cell r="J458">
            <v>0</v>
          </cell>
          <cell r="K458">
            <v>0</v>
          </cell>
          <cell r="L458">
            <v>1623000310</v>
          </cell>
        </row>
        <row r="459">
          <cell r="C459">
            <v>151</v>
          </cell>
          <cell r="G459">
            <v>61</v>
          </cell>
          <cell r="I459" t="str">
            <v>גביה</v>
          </cell>
          <cell r="J459">
            <v>0</v>
          </cell>
          <cell r="K459">
            <v>0</v>
          </cell>
          <cell r="L459">
            <v>1623000350</v>
          </cell>
        </row>
        <row r="460">
          <cell r="C460">
            <v>151</v>
          </cell>
          <cell r="G460">
            <v>61</v>
          </cell>
          <cell r="I460" t="str">
            <v>גביה</v>
          </cell>
          <cell r="J460">
            <v>0</v>
          </cell>
          <cell r="K460">
            <v>0</v>
          </cell>
          <cell r="L460">
            <v>1623000410</v>
          </cell>
        </row>
        <row r="461">
          <cell r="C461">
            <v>152</v>
          </cell>
          <cell r="G461">
            <v>61</v>
          </cell>
          <cell r="I461" t="str">
            <v>גביה</v>
          </cell>
          <cell r="J461">
            <v>0</v>
          </cell>
          <cell r="K461">
            <v>0</v>
          </cell>
          <cell r="L461">
            <v>1623000430</v>
          </cell>
        </row>
        <row r="462">
          <cell r="C462">
            <v>152</v>
          </cell>
          <cell r="G462">
            <v>61</v>
          </cell>
          <cell r="I462" t="str">
            <v>גביה</v>
          </cell>
          <cell r="J462">
            <v>0</v>
          </cell>
          <cell r="K462">
            <v>0</v>
          </cell>
          <cell r="L462">
            <v>1623000470</v>
          </cell>
        </row>
        <row r="463">
          <cell r="C463">
            <v>151</v>
          </cell>
          <cell r="G463">
            <v>61</v>
          </cell>
          <cell r="I463" t="str">
            <v>גביה</v>
          </cell>
          <cell r="J463">
            <v>0</v>
          </cell>
          <cell r="K463">
            <v>0</v>
          </cell>
          <cell r="L463">
            <v>1623000510</v>
          </cell>
        </row>
        <row r="464">
          <cell r="C464">
            <v>151</v>
          </cell>
          <cell r="G464">
            <v>61</v>
          </cell>
          <cell r="I464" t="str">
            <v>גביה</v>
          </cell>
          <cell r="J464">
            <v>0</v>
          </cell>
          <cell r="K464">
            <v>0</v>
          </cell>
          <cell r="L464">
            <v>1623000530</v>
          </cell>
        </row>
        <row r="465">
          <cell r="C465">
            <v>151</v>
          </cell>
          <cell r="G465">
            <v>61</v>
          </cell>
          <cell r="I465" t="str">
            <v>גביה</v>
          </cell>
          <cell r="J465">
            <v>0</v>
          </cell>
          <cell r="K465">
            <v>0</v>
          </cell>
          <cell r="L465">
            <v>1623000540</v>
          </cell>
        </row>
        <row r="466">
          <cell r="C466">
            <v>151</v>
          </cell>
          <cell r="G466">
            <v>61</v>
          </cell>
          <cell r="I466" t="str">
            <v>גביה</v>
          </cell>
          <cell r="J466">
            <v>0</v>
          </cell>
          <cell r="K466">
            <v>0</v>
          </cell>
          <cell r="L466">
            <v>1623000541</v>
          </cell>
        </row>
        <row r="467">
          <cell r="C467">
            <v>151</v>
          </cell>
          <cell r="G467">
            <v>61</v>
          </cell>
          <cell r="I467" t="str">
            <v>גביה</v>
          </cell>
          <cell r="J467">
            <v>0</v>
          </cell>
          <cell r="K467">
            <v>0</v>
          </cell>
          <cell r="L467">
            <v>1623000570</v>
          </cell>
        </row>
        <row r="468">
          <cell r="C468">
            <v>152</v>
          </cell>
          <cell r="G468">
            <v>61</v>
          </cell>
          <cell r="I468" t="str">
            <v>גביה</v>
          </cell>
          <cell r="J468">
            <v>0</v>
          </cell>
          <cell r="K468">
            <v>0</v>
          </cell>
          <cell r="L468">
            <v>1623000720</v>
          </cell>
        </row>
        <row r="469">
          <cell r="C469">
            <v>151</v>
          </cell>
          <cell r="G469">
            <v>61</v>
          </cell>
          <cell r="I469" t="str">
            <v>גביה</v>
          </cell>
          <cell r="J469">
            <v>0</v>
          </cell>
          <cell r="K469">
            <v>0</v>
          </cell>
          <cell r="L469">
            <v>1623000735</v>
          </cell>
        </row>
        <row r="470">
          <cell r="C470">
            <v>151</v>
          </cell>
          <cell r="G470">
            <v>61</v>
          </cell>
          <cell r="I470" t="str">
            <v>גביה</v>
          </cell>
          <cell r="J470">
            <v>0</v>
          </cell>
          <cell r="K470">
            <v>0</v>
          </cell>
          <cell r="L470">
            <v>1623000750</v>
          </cell>
        </row>
        <row r="471">
          <cell r="C471">
            <v>152</v>
          </cell>
          <cell r="G471">
            <v>61</v>
          </cell>
          <cell r="I471" t="str">
            <v>גביה</v>
          </cell>
          <cell r="J471">
            <v>0</v>
          </cell>
          <cell r="K471">
            <v>0</v>
          </cell>
          <cell r="L471">
            <v>1623000780</v>
          </cell>
        </row>
        <row r="472">
          <cell r="C472">
            <v>152</v>
          </cell>
          <cell r="G472">
            <v>61</v>
          </cell>
          <cell r="I472" t="str">
            <v>גביה</v>
          </cell>
          <cell r="J472">
            <v>0</v>
          </cell>
          <cell r="K472">
            <v>0</v>
          </cell>
          <cell r="L472">
            <v>1623100750</v>
          </cell>
        </row>
        <row r="473">
          <cell r="C473">
            <v>152</v>
          </cell>
          <cell r="G473">
            <v>61</v>
          </cell>
          <cell r="I473" t="str">
            <v>גביה</v>
          </cell>
          <cell r="J473">
            <v>0</v>
          </cell>
          <cell r="K473">
            <v>0</v>
          </cell>
          <cell r="L473">
            <v>1623200750</v>
          </cell>
        </row>
        <row r="474">
          <cell r="C474">
            <v>152</v>
          </cell>
          <cell r="G474">
            <v>61</v>
          </cell>
          <cell r="I474" t="str">
            <v>גביה</v>
          </cell>
          <cell r="J474">
            <v>0</v>
          </cell>
          <cell r="K474">
            <v>0</v>
          </cell>
          <cell r="L474">
            <v>1623300750</v>
          </cell>
        </row>
        <row r="475">
          <cell r="C475">
            <v>151</v>
          </cell>
          <cell r="G475">
            <v>61</v>
          </cell>
          <cell r="I475" t="str">
            <v>הוצאות מימון</v>
          </cell>
          <cell r="J475">
            <v>0</v>
          </cell>
          <cell r="K475">
            <v>0</v>
          </cell>
          <cell r="L475">
            <v>1631000610</v>
          </cell>
        </row>
        <row r="476">
          <cell r="C476">
            <v>152</v>
          </cell>
          <cell r="G476">
            <v>61</v>
          </cell>
          <cell r="I476" t="str">
            <v>הוצאות מימון</v>
          </cell>
          <cell r="J476">
            <v>0</v>
          </cell>
          <cell r="K476">
            <v>0</v>
          </cell>
          <cell r="L476">
            <v>1631000611</v>
          </cell>
        </row>
        <row r="477">
          <cell r="C477">
            <v>151</v>
          </cell>
          <cell r="G477">
            <v>62</v>
          </cell>
          <cell r="I477" t="str">
            <v>הוצאות מימון</v>
          </cell>
          <cell r="J477">
            <v>0</v>
          </cell>
          <cell r="K477">
            <v>0</v>
          </cell>
          <cell r="L477">
            <v>1631000650</v>
          </cell>
        </row>
        <row r="478">
          <cell r="C478">
            <v>151</v>
          </cell>
          <cell r="G478">
            <v>62</v>
          </cell>
          <cell r="I478" t="str">
            <v>הוצאות מימון</v>
          </cell>
          <cell r="J478">
            <v>0</v>
          </cell>
          <cell r="K478">
            <v>0</v>
          </cell>
          <cell r="L478">
            <v>1631100610</v>
          </cell>
        </row>
        <row r="479">
          <cell r="C479">
            <v>152</v>
          </cell>
          <cell r="G479">
            <v>62</v>
          </cell>
          <cell r="I479" t="str">
            <v>הוצאות מימון</v>
          </cell>
          <cell r="J479">
            <v>0</v>
          </cell>
          <cell r="K479">
            <v>0</v>
          </cell>
          <cell r="L479">
            <v>1631200610</v>
          </cell>
        </row>
        <row r="480">
          <cell r="C480">
            <v>152</v>
          </cell>
          <cell r="G480">
            <v>62</v>
          </cell>
          <cell r="I480" t="str">
            <v>הוצאות מימון</v>
          </cell>
          <cell r="J480">
            <v>0</v>
          </cell>
          <cell r="K480">
            <v>0</v>
          </cell>
          <cell r="L480">
            <v>1632000610</v>
          </cell>
        </row>
        <row r="481">
          <cell r="C481">
            <v>152</v>
          </cell>
          <cell r="G481">
            <v>62</v>
          </cell>
          <cell r="I481" t="str">
            <v>הוצאות מימון</v>
          </cell>
          <cell r="J481">
            <v>0</v>
          </cell>
          <cell r="K481">
            <v>0</v>
          </cell>
          <cell r="L481">
            <v>1632000611</v>
          </cell>
        </row>
        <row r="482">
          <cell r="C482">
            <v>152</v>
          </cell>
          <cell r="G482">
            <v>62</v>
          </cell>
          <cell r="I482" t="str">
            <v>הוצאות מימון</v>
          </cell>
          <cell r="J482">
            <v>0</v>
          </cell>
          <cell r="K482">
            <v>0</v>
          </cell>
          <cell r="L482">
            <v>1632000620</v>
          </cell>
        </row>
        <row r="483">
          <cell r="C483">
            <v>152</v>
          </cell>
          <cell r="G483">
            <v>62</v>
          </cell>
          <cell r="I483" t="str">
            <v>פרעון מלוות</v>
          </cell>
          <cell r="J483">
            <v>0</v>
          </cell>
          <cell r="K483">
            <v>0</v>
          </cell>
          <cell r="L483">
            <v>1649000694</v>
          </cell>
        </row>
        <row r="484">
          <cell r="C484">
            <v>152</v>
          </cell>
          <cell r="G484">
            <v>62</v>
          </cell>
          <cell r="I484" t="str">
            <v>פרעון מלוות</v>
          </cell>
          <cell r="J484">
            <v>0</v>
          </cell>
          <cell r="K484">
            <v>0</v>
          </cell>
          <cell r="L484">
            <v>1649100691</v>
          </cell>
        </row>
        <row r="485">
          <cell r="C485">
            <v>152</v>
          </cell>
          <cell r="G485">
            <v>62</v>
          </cell>
          <cell r="I485" t="str">
            <v>פרעון מלוות</v>
          </cell>
          <cell r="J485">
            <v>0</v>
          </cell>
          <cell r="K485">
            <v>0</v>
          </cell>
          <cell r="L485">
            <v>1649100692</v>
          </cell>
        </row>
        <row r="486">
          <cell r="C486">
            <v>152</v>
          </cell>
          <cell r="G486">
            <v>62</v>
          </cell>
          <cell r="I486" t="str">
            <v>פרעון מלוות</v>
          </cell>
          <cell r="J486">
            <v>0</v>
          </cell>
          <cell r="K486">
            <v>0</v>
          </cell>
          <cell r="L486">
            <v>1649100693</v>
          </cell>
        </row>
        <row r="487">
          <cell r="C487">
            <v>151</v>
          </cell>
          <cell r="G487">
            <v>62</v>
          </cell>
          <cell r="I487" t="str">
            <v>פרעון מלוות</v>
          </cell>
          <cell r="J487">
            <v>0</v>
          </cell>
          <cell r="K487">
            <v>0</v>
          </cell>
          <cell r="L487">
            <v>1649100694</v>
          </cell>
        </row>
        <row r="488">
          <cell r="C488">
            <v>151</v>
          </cell>
          <cell r="G488">
            <v>62</v>
          </cell>
          <cell r="I488" t="str">
            <v>תברואה</v>
          </cell>
          <cell r="J488">
            <v>0</v>
          </cell>
          <cell r="K488">
            <v>0</v>
          </cell>
          <cell r="L488">
            <v>1711000730</v>
          </cell>
        </row>
        <row r="489">
          <cell r="C489">
            <v>151</v>
          </cell>
          <cell r="G489">
            <v>62</v>
          </cell>
          <cell r="I489" t="str">
            <v>תברואה</v>
          </cell>
          <cell r="J489">
            <v>0</v>
          </cell>
          <cell r="K489">
            <v>0</v>
          </cell>
          <cell r="L489">
            <v>1711000735</v>
          </cell>
        </row>
        <row r="490">
          <cell r="C490">
            <v>152</v>
          </cell>
          <cell r="G490">
            <v>62</v>
          </cell>
          <cell r="I490" t="str">
            <v>תברואה</v>
          </cell>
          <cell r="J490">
            <v>0</v>
          </cell>
          <cell r="K490">
            <v>0</v>
          </cell>
          <cell r="L490">
            <v>1711000750</v>
          </cell>
        </row>
        <row r="491">
          <cell r="C491">
            <v>152</v>
          </cell>
          <cell r="G491">
            <v>62</v>
          </cell>
          <cell r="I491" t="str">
            <v>תברואה</v>
          </cell>
          <cell r="J491">
            <v>0</v>
          </cell>
          <cell r="K491">
            <v>0</v>
          </cell>
          <cell r="L491">
            <v>1711000780</v>
          </cell>
        </row>
        <row r="492">
          <cell r="C492">
            <v>152</v>
          </cell>
          <cell r="G492">
            <v>62</v>
          </cell>
          <cell r="I492" t="str">
            <v>תברואה</v>
          </cell>
          <cell r="J492">
            <v>0</v>
          </cell>
          <cell r="K492">
            <v>0</v>
          </cell>
          <cell r="L492">
            <v>1711100110</v>
          </cell>
        </row>
        <row r="493">
          <cell r="C493">
            <v>198</v>
          </cell>
          <cell r="G493">
            <v>62</v>
          </cell>
          <cell r="I493" t="str">
            <v>תברואה</v>
          </cell>
          <cell r="J493">
            <v>0</v>
          </cell>
          <cell r="K493">
            <v>0</v>
          </cell>
          <cell r="L493">
            <v>1711100210</v>
          </cell>
        </row>
        <row r="494">
          <cell r="C494">
            <v>152</v>
          </cell>
          <cell r="G494">
            <v>62</v>
          </cell>
          <cell r="I494" t="str">
            <v>תברואה</v>
          </cell>
          <cell r="J494">
            <v>0</v>
          </cell>
          <cell r="K494">
            <v>0</v>
          </cell>
          <cell r="L494">
            <v>1711100310</v>
          </cell>
        </row>
        <row r="495">
          <cell r="C495">
            <v>152</v>
          </cell>
          <cell r="G495">
            <v>62</v>
          </cell>
          <cell r="I495" t="str">
            <v>תברואה</v>
          </cell>
          <cell r="J495">
            <v>0</v>
          </cell>
          <cell r="K495">
            <v>0</v>
          </cell>
          <cell r="L495">
            <v>1711100350</v>
          </cell>
        </row>
        <row r="496">
          <cell r="C496">
            <v>151</v>
          </cell>
          <cell r="G496">
            <v>62</v>
          </cell>
          <cell r="I496" t="str">
            <v>תברואה</v>
          </cell>
          <cell r="J496">
            <v>0</v>
          </cell>
          <cell r="K496">
            <v>0</v>
          </cell>
          <cell r="L496">
            <v>1711100541</v>
          </cell>
        </row>
        <row r="497">
          <cell r="C497">
            <v>151</v>
          </cell>
          <cell r="G497">
            <v>62</v>
          </cell>
          <cell r="I497" t="str">
            <v>תברואה</v>
          </cell>
          <cell r="J497">
            <v>0</v>
          </cell>
          <cell r="K497">
            <v>0</v>
          </cell>
          <cell r="L497">
            <v>1712200110</v>
          </cell>
        </row>
        <row r="498">
          <cell r="C498">
            <v>151</v>
          </cell>
          <cell r="G498">
            <v>62</v>
          </cell>
          <cell r="I498" t="str">
            <v>תברואה</v>
          </cell>
          <cell r="J498">
            <v>0</v>
          </cell>
          <cell r="K498">
            <v>0</v>
          </cell>
          <cell r="L498">
            <v>1712200350</v>
          </cell>
        </row>
        <row r="499">
          <cell r="C499">
            <v>151</v>
          </cell>
          <cell r="G499">
            <v>62</v>
          </cell>
          <cell r="I499" t="str">
            <v>תברואה</v>
          </cell>
          <cell r="J499">
            <v>0</v>
          </cell>
          <cell r="K499">
            <v>0</v>
          </cell>
          <cell r="L499">
            <v>1712200530</v>
          </cell>
        </row>
        <row r="500">
          <cell r="C500">
            <v>151</v>
          </cell>
          <cell r="G500">
            <v>62</v>
          </cell>
          <cell r="I500" t="str">
            <v>תברואה</v>
          </cell>
          <cell r="J500">
            <v>0</v>
          </cell>
          <cell r="K500">
            <v>0</v>
          </cell>
          <cell r="L500">
            <v>1712200730</v>
          </cell>
        </row>
        <row r="501">
          <cell r="C501">
            <v>151</v>
          </cell>
          <cell r="G501">
            <v>62</v>
          </cell>
          <cell r="I501" t="str">
            <v>תברואה</v>
          </cell>
          <cell r="J501">
            <v>0</v>
          </cell>
          <cell r="K501">
            <v>0</v>
          </cell>
          <cell r="L501">
            <v>1712200750</v>
          </cell>
        </row>
        <row r="502">
          <cell r="C502">
            <v>152</v>
          </cell>
          <cell r="G502">
            <v>62</v>
          </cell>
          <cell r="I502" t="str">
            <v>תברואה</v>
          </cell>
          <cell r="J502">
            <v>0</v>
          </cell>
          <cell r="K502">
            <v>0</v>
          </cell>
          <cell r="L502">
            <v>1712300540</v>
          </cell>
        </row>
        <row r="503">
          <cell r="C503">
            <v>152</v>
          </cell>
          <cell r="G503">
            <v>62</v>
          </cell>
          <cell r="I503" t="str">
            <v>תברואה</v>
          </cell>
          <cell r="J503">
            <v>0</v>
          </cell>
          <cell r="K503">
            <v>0</v>
          </cell>
          <cell r="L503">
            <v>1712300720</v>
          </cell>
        </row>
        <row r="504">
          <cell r="C504">
            <v>152</v>
          </cell>
          <cell r="G504">
            <v>62</v>
          </cell>
          <cell r="I504" t="str">
            <v>תברואה</v>
          </cell>
          <cell r="J504">
            <v>0</v>
          </cell>
          <cell r="K504">
            <v>0</v>
          </cell>
          <cell r="L504">
            <v>1712300750</v>
          </cell>
        </row>
        <row r="505">
          <cell r="C505">
            <v>152</v>
          </cell>
          <cell r="G505">
            <v>62</v>
          </cell>
          <cell r="I505" t="str">
            <v>תברואה</v>
          </cell>
          <cell r="J505">
            <v>0</v>
          </cell>
          <cell r="K505">
            <v>0</v>
          </cell>
          <cell r="L505">
            <v>1712300930</v>
          </cell>
        </row>
        <row r="506">
          <cell r="C506">
            <v>152</v>
          </cell>
          <cell r="G506">
            <v>62</v>
          </cell>
          <cell r="I506" t="str">
            <v>תברואה</v>
          </cell>
          <cell r="J506">
            <v>0</v>
          </cell>
          <cell r="K506">
            <v>0</v>
          </cell>
          <cell r="L506">
            <v>1712300950</v>
          </cell>
        </row>
        <row r="507">
          <cell r="C507">
            <v>152</v>
          </cell>
          <cell r="G507">
            <v>62</v>
          </cell>
          <cell r="I507" t="str">
            <v>תברואה</v>
          </cell>
          <cell r="J507">
            <v>0</v>
          </cell>
          <cell r="K507">
            <v>0</v>
          </cell>
          <cell r="L507">
            <v>1712301750</v>
          </cell>
        </row>
        <row r="508">
          <cell r="C508">
            <v>152</v>
          </cell>
          <cell r="G508">
            <v>62</v>
          </cell>
          <cell r="I508" t="str">
            <v>תברואה</v>
          </cell>
          <cell r="J508">
            <v>0</v>
          </cell>
          <cell r="K508">
            <v>0</v>
          </cell>
          <cell r="L508">
            <v>1712302750</v>
          </cell>
        </row>
        <row r="509">
          <cell r="C509">
            <v>152</v>
          </cell>
          <cell r="G509">
            <v>62</v>
          </cell>
          <cell r="I509" t="str">
            <v>תברואה</v>
          </cell>
          <cell r="J509">
            <v>0</v>
          </cell>
          <cell r="K509">
            <v>0</v>
          </cell>
          <cell r="L509">
            <v>1712400730</v>
          </cell>
        </row>
        <row r="510">
          <cell r="C510">
            <v>152</v>
          </cell>
          <cell r="G510">
            <v>62</v>
          </cell>
          <cell r="I510" t="str">
            <v>תברואה</v>
          </cell>
          <cell r="J510">
            <v>0</v>
          </cell>
          <cell r="K510">
            <v>0</v>
          </cell>
          <cell r="L510">
            <v>1712410730</v>
          </cell>
        </row>
        <row r="511">
          <cell r="C511">
            <v>152</v>
          </cell>
          <cell r="G511">
            <v>62</v>
          </cell>
          <cell r="I511" t="str">
            <v>תברואה</v>
          </cell>
          <cell r="J511">
            <v>0</v>
          </cell>
          <cell r="K511">
            <v>0</v>
          </cell>
          <cell r="L511">
            <v>1712420730</v>
          </cell>
        </row>
        <row r="512">
          <cell r="C512">
            <v>152</v>
          </cell>
          <cell r="G512">
            <v>62</v>
          </cell>
          <cell r="I512" t="str">
            <v>תברואה</v>
          </cell>
          <cell r="J512">
            <v>0</v>
          </cell>
          <cell r="K512">
            <v>0</v>
          </cell>
          <cell r="L512">
            <v>1713000110</v>
          </cell>
        </row>
        <row r="513">
          <cell r="C513">
            <v>152</v>
          </cell>
          <cell r="G513">
            <v>62</v>
          </cell>
          <cell r="I513" t="str">
            <v>תברואה</v>
          </cell>
          <cell r="J513">
            <v>0</v>
          </cell>
          <cell r="K513">
            <v>0</v>
          </cell>
          <cell r="L513">
            <v>1713000150</v>
          </cell>
        </row>
        <row r="514">
          <cell r="C514">
            <v>152</v>
          </cell>
          <cell r="G514">
            <v>62</v>
          </cell>
          <cell r="I514" t="str">
            <v>תברואה</v>
          </cell>
          <cell r="J514">
            <v>0</v>
          </cell>
          <cell r="K514">
            <v>0</v>
          </cell>
          <cell r="L514">
            <v>1713000210</v>
          </cell>
        </row>
        <row r="515">
          <cell r="C515">
            <v>152</v>
          </cell>
          <cell r="G515">
            <v>62</v>
          </cell>
          <cell r="I515" t="str">
            <v>תברואה</v>
          </cell>
          <cell r="J515">
            <v>0</v>
          </cell>
          <cell r="K515">
            <v>0</v>
          </cell>
          <cell r="L515">
            <v>1713000310</v>
          </cell>
        </row>
        <row r="516">
          <cell r="C516">
            <v>152</v>
          </cell>
          <cell r="G516">
            <v>62</v>
          </cell>
          <cell r="I516" t="str">
            <v>תברואה</v>
          </cell>
          <cell r="J516">
            <v>0</v>
          </cell>
          <cell r="K516">
            <v>0</v>
          </cell>
          <cell r="L516">
            <v>1713000350</v>
          </cell>
        </row>
        <row r="517">
          <cell r="C517">
            <v>152</v>
          </cell>
          <cell r="G517">
            <v>62</v>
          </cell>
          <cell r="I517" t="str">
            <v>תברואה</v>
          </cell>
          <cell r="J517">
            <v>0</v>
          </cell>
          <cell r="K517">
            <v>0</v>
          </cell>
          <cell r="L517">
            <v>1713000410</v>
          </cell>
        </row>
        <row r="518">
          <cell r="C518">
            <v>191</v>
          </cell>
          <cell r="G518">
            <v>63</v>
          </cell>
          <cell r="I518" t="str">
            <v>תברואה</v>
          </cell>
          <cell r="J518">
            <v>0</v>
          </cell>
          <cell r="K518">
            <v>0</v>
          </cell>
          <cell r="L518">
            <v>1713000430</v>
          </cell>
        </row>
        <row r="519">
          <cell r="C519">
            <v>191</v>
          </cell>
          <cell r="G519">
            <v>63</v>
          </cell>
          <cell r="I519" t="str">
            <v>תברואה</v>
          </cell>
          <cell r="J519">
            <v>0</v>
          </cell>
          <cell r="K519">
            <v>0</v>
          </cell>
          <cell r="L519">
            <v>1713000750</v>
          </cell>
        </row>
        <row r="520">
          <cell r="C520">
            <v>191</v>
          </cell>
          <cell r="G520">
            <v>63</v>
          </cell>
          <cell r="I520" t="str">
            <v>תברואה</v>
          </cell>
          <cell r="J520">
            <v>0</v>
          </cell>
          <cell r="K520">
            <v>0</v>
          </cell>
          <cell r="L520">
            <v>1713300750</v>
          </cell>
        </row>
        <row r="521">
          <cell r="C521">
            <v>191</v>
          </cell>
          <cell r="G521">
            <v>63</v>
          </cell>
          <cell r="I521" t="str">
            <v>תברואה</v>
          </cell>
          <cell r="J521">
            <v>0</v>
          </cell>
          <cell r="K521">
            <v>0</v>
          </cell>
          <cell r="L521">
            <v>1713340810</v>
          </cell>
        </row>
        <row r="522">
          <cell r="C522">
            <v>191</v>
          </cell>
          <cell r="G522">
            <v>63</v>
          </cell>
          <cell r="I522" t="str">
            <v>תברואה</v>
          </cell>
          <cell r="J522">
            <v>0</v>
          </cell>
          <cell r="K522">
            <v>0</v>
          </cell>
          <cell r="L522">
            <v>1714100110</v>
          </cell>
        </row>
        <row r="523">
          <cell r="C523">
            <v>191</v>
          </cell>
          <cell r="G523">
            <v>63</v>
          </cell>
          <cell r="I523" t="str">
            <v>תברואה</v>
          </cell>
          <cell r="J523">
            <v>0</v>
          </cell>
          <cell r="K523">
            <v>0</v>
          </cell>
          <cell r="L523">
            <v>1714100350</v>
          </cell>
        </row>
        <row r="524">
          <cell r="C524">
            <v>152</v>
          </cell>
          <cell r="G524">
            <v>63</v>
          </cell>
          <cell r="I524" t="str">
            <v>תברואה</v>
          </cell>
          <cell r="J524">
            <v>0</v>
          </cell>
          <cell r="K524">
            <v>0</v>
          </cell>
          <cell r="L524">
            <v>1714300720</v>
          </cell>
        </row>
        <row r="525">
          <cell r="C525">
            <v>191</v>
          </cell>
          <cell r="G525">
            <v>63</v>
          </cell>
          <cell r="I525" t="str">
            <v>תברואה</v>
          </cell>
          <cell r="J525">
            <v>0</v>
          </cell>
          <cell r="K525">
            <v>0</v>
          </cell>
          <cell r="L525">
            <v>1714300721</v>
          </cell>
        </row>
        <row r="526">
          <cell r="C526">
            <v>152</v>
          </cell>
          <cell r="G526">
            <v>64</v>
          </cell>
          <cell r="I526" t="str">
            <v>תברואה</v>
          </cell>
          <cell r="J526">
            <v>0</v>
          </cell>
          <cell r="K526">
            <v>0</v>
          </cell>
          <cell r="L526">
            <v>1715300750</v>
          </cell>
        </row>
        <row r="527">
          <cell r="C527">
            <v>182</v>
          </cell>
          <cell r="G527">
            <v>64</v>
          </cell>
          <cell r="I527" t="str">
            <v>תברואה</v>
          </cell>
          <cell r="J527">
            <v>0</v>
          </cell>
          <cell r="K527">
            <v>0</v>
          </cell>
          <cell r="L527">
            <v>1715300910</v>
          </cell>
        </row>
        <row r="528">
          <cell r="C528">
            <v>182</v>
          </cell>
          <cell r="G528">
            <v>64</v>
          </cell>
          <cell r="I528" t="str">
            <v>תברואה</v>
          </cell>
          <cell r="J528">
            <v>0</v>
          </cell>
          <cell r="K528">
            <v>0</v>
          </cell>
          <cell r="L528">
            <v>1715400910</v>
          </cell>
        </row>
        <row r="529">
          <cell r="C529">
            <v>182</v>
          </cell>
          <cell r="G529">
            <v>64</v>
          </cell>
          <cell r="I529" t="str">
            <v>תרבות</v>
          </cell>
          <cell r="J529">
            <v>0</v>
          </cell>
          <cell r="K529">
            <v>0</v>
          </cell>
          <cell r="L529">
            <v>1822000410</v>
          </cell>
        </row>
        <row r="530">
          <cell r="C530">
            <v>152</v>
          </cell>
          <cell r="G530">
            <v>64</v>
          </cell>
          <cell r="I530" t="str">
            <v>תרבות</v>
          </cell>
          <cell r="J530">
            <v>0</v>
          </cell>
          <cell r="K530">
            <v>0</v>
          </cell>
          <cell r="L530">
            <v>1822000431</v>
          </cell>
        </row>
        <row r="531">
          <cell r="C531">
            <v>152</v>
          </cell>
          <cell r="G531">
            <v>71</v>
          </cell>
          <cell r="I531" t="str">
            <v>שמירה ובטחון</v>
          </cell>
          <cell r="J531">
            <v>0</v>
          </cell>
          <cell r="K531">
            <v>0</v>
          </cell>
          <cell r="L531">
            <v>1720000750</v>
          </cell>
        </row>
        <row r="532">
          <cell r="C532">
            <v>152</v>
          </cell>
          <cell r="G532">
            <v>71</v>
          </cell>
          <cell r="I532" t="str">
            <v>שמירה ובטחון</v>
          </cell>
          <cell r="J532">
            <v>0</v>
          </cell>
          <cell r="K532">
            <v>0</v>
          </cell>
          <cell r="L532">
            <v>1721000110</v>
          </cell>
        </row>
        <row r="533">
          <cell r="C533">
            <v>152</v>
          </cell>
          <cell r="G533">
            <v>71</v>
          </cell>
          <cell r="I533" t="str">
            <v>שמירה ובטחון</v>
          </cell>
          <cell r="J533">
            <v>0</v>
          </cell>
          <cell r="K533">
            <v>0</v>
          </cell>
          <cell r="L533">
            <v>1721000210</v>
          </cell>
        </row>
        <row r="534">
          <cell r="C534">
            <v>152</v>
          </cell>
          <cell r="G534">
            <v>71</v>
          </cell>
          <cell r="I534" t="str">
            <v>שמירה ובטחון</v>
          </cell>
          <cell r="J534">
            <v>0</v>
          </cell>
          <cell r="K534">
            <v>0</v>
          </cell>
          <cell r="L534">
            <v>1721000350</v>
          </cell>
        </row>
        <row r="535">
          <cell r="C535">
            <v>151</v>
          </cell>
          <cell r="G535">
            <v>71</v>
          </cell>
          <cell r="I535" t="str">
            <v>שמירה ובטחון</v>
          </cell>
          <cell r="J535">
            <v>0</v>
          </cell>
          <cell r="K535">
            <v>0</v>
          </cell>
          <cell r="L535">
            <v>1721000470</v>
          </cell>
        </row>
        <row r="536">
          <cell r="C536">
            <v>151</v>
          </cell>
          <cell r="G536">
            <v>71</v>
          </cell>
          <cell r="I536" t="str">
            <v>שמירה ובטחון</v>
          </cell>
          <cell r="J536">
            <v>0</v>
          </cell>
          <cell r="K536">
            <v>0</v>
          </cell>
          <cell r="L536">
            <v>1721000510</v>
          </cell>
        </row>
        <row r="537">
          <cell r="C537">
            <v>151</v>
          </cell>
          <cell r="G537">
            <v>71</v>
          </cell>
          <cell r="I537" t="str">
            <v>שמירה ובטחון</v>
          </cell>
          <cell r="J537">
            <v>0</v>
          </cell>
          <cell r="K537">
            <v>0</v>
          </cell>
          <cell r="L537">
            <v>1721000540</v>
          </cell>
        </row>
        <row r="538">
          <cell r="C538">
            <v>151</v>
          </cell>
          <cell r="G538">
            <v>71</v>
          </cell>
          <cell r="I538" t="str">
            <v>שמירה ובטחון</v>
          </cell>
          <cell r="J538">
            <v>0</v>
          </cell>
          <cell r="K538">
            <v>0</v>
          </cell>
          <cell r="L538">
            <v>1721000541</v>
          </cell>
        </row>
        <row r="539">
          <cell r="C539">
            <v>152</v>
          </cell>
          <cell r="G539">
            <v>71</v>
          </cell>
          <cell r="I539" t="str">
            <v>שמירה ובטחון</v>
          </cell>
          <cell r="J539">
            <v>0</v>
          </cell>
          <cell r="K539">
            <v>0</v>
          </cell>
          <cell r="L539">
            <v>1721000730</v>
          </cell>
        </row>
        <row r="540">
          <cell r="C540">
            <v>151</v>
          </cell>
          <cell r="G540">
            <v>71</v>
          </cell>
          <cell r="I540" t="str">
            <v>שמירה ובטחון</v>
          </cell>
          <cell r="J540">
            <v>0</v>
          </cell>
          <cell r="K540">
            <v>0</v>
          </cell>
          <cell r="L540">
            <v>1721000731</v>
          </cell>
        </row>
        <row r="541">
          <cell r="C541">
            <v>151</v>
          </cell>
          <cell r="G541">
            <v>71</v>
          </cell>
          <cell r="I541" t="str">
            <v>שמירה ובטחון</v>
          </cell>
          <cell r="J541">
            <v>0</v>
          </cell>
          <cell r="K541">
            <v>0</v>
          </cell>
          <cell r="L541">
            <v>1721000735</v>
          </cell>
        </row>
        <row r="542">
          <cell r="C542">
            <v>152</v>
          </cell>
          <cell r="G542">
            <v>71</v>
          </cell>
          <cell r="I542" t="str">
            <v>שמירה ובטחון</v>
          </cell>
          <cell r="J542">
            <v>0</v>
          </cell>
          <cell r="K542">
            <v>0</v>
          </cell>
          <cell r="L542">
            <v>1721000750</v>
          </cell>
        </row>
        <row r="543">
          <cell r="C543">
            <v>152</v>
          </cell>
          <cell r="G543">
            <v>71</v>
          </cell>
          <cell r="I543" t="str">
            <v>שמירה ובטחון</v>
          </cell>
          <cell r="J543">
            <v>0</v>
          </cell>
          <cell r="K543">
            <v>0</v>
          </cell>
          <cell r="L543">
            <v>1721000780</v>
          </cell>
        </row>
        <row r="544">
          <cell r="C544">
            <v>152</v>
          </cell>
          <cell r="G544">
            <v>71</v>
          </cell>
          <cell r="I544" t="str">
            <v>שמירה ובטחון</v>
          </cell>
          <cell r="J544">
            <v>0</v>
          </cell>
          <cell r="K544">
            <v>0</v>
          </cell>
          <cell r="L544">
            <v>1722000110</v>
          </cell>
        </row>
        <row r="545">
          <cell r="C545">
            <v>152</v>
          </cell>
          <cell r="G545">
            <v>71</v>
          </cell>
          <cell r="I545" t="str">
            <v>שמירה ובטחון</v>
          </cell>
          <cell r="J545">
            <v>0</v>
          </cell>
          <cell r="K545">
            <v>0</v>
          </cell>
          <cell r="L545">
            <v>1722000410</v>
          </cell>
        </row>
        <row r="546">
          <cell r="C546">
            <v>152</v>
          </cell>
          <cell r="G546">
            <v>71</v>
          </cell>
          <cell r="I546" t="str">
            <v>שמירה ובטחון</v>
          </cell>
          <cell r="J546">
            <v>0</v>
          </cell>
          <cell r="K546">
            <v>0</v>
          </cell>
          <cell r="L546">
            <v>1722000431</v>
          </cell>
        </row>
        <row r="547">
          <cell r="C547">
            <v>152</v>
          </cell>
          <cell r="G547">
            <v>71</v>
          </cell>
          <cell r="I547" t="str">
            <v>שמירה ובטחון</v>
          </cell>
          <cell r="J547">
            <v>0</v>
          </cell>
          <cell r="K547">
            <v>0</v>
          </cell>
          <cell r="L547">
            <v>1722000470</v>
          </cell>
        </row>
        <row r="548">
          <cell r="C548">
            <v>152</v>
          </cell>
          <cell r="G548">
            <v>71</v>
          </cell>
          <cell r="I548" t="str">
            <v>שמירה ובטחון</v>
          </cell>
          <cell r="J548">
            <v>0</v>
          </cell>
          <cell r="K548">
            <v>0</v>
          </cell>
          <cell r="L548">
            <v>1722000521</v>
          </cell>
        </row>
        <row r="549">
          <cell r="C549">
            <v>152</v>
          </cell>
          <cell r="G549">
            <v>71</v>
          </cell>
          <cell r="I549" t="str">
            <v>שמירה ובטחון</v>
          </cell>
          <cell r="J549">
            <v>0</v>
          </cell>
          <cell r="K549">
            <v>0</v>
          </cell>
          <cell r="L549">
            <v>1722000731</v>
          </cell>
        </row>
        <row r="550">
          <cell r="C550">
            <v>152</v>
          </cell>
          <cell r="G550">
            <v>71</v>
          </cell>
          <cell r="I550" t="str">
            <v>שמירה ובטחון</v>
          </cell>
          <cell r="J550">
            <v>0</v>
          </cell>
          <cell r="K550">
            <v>0</v>
          </cell>
          <cell r="L550">
            <v>1722000735</v>
          </cell>
        </row>
        <row r="551">
          <cell r="C551">
            <v>152</v>
          </cell>
          <cell r="G551">
            <v>71</v>
          </cell>
          <cell r="I551" t="str">
            <v>שמירה ובטחון</v>
          </cell>
          <cell r="J551">
            <v>0</v>
          </cell>
          <cell r="K551">
            <v>0</v>
          </cell>
          <cell r="L551">
            <v>1722100410</v>
          </cell>
        </row>
        <row r="552">
          <cell r="C552">
            <v>152</v>
          </cell>
          <cell r="G552">
            <v>71</v>
          </cell>
          <cell r="I552" t="str">
            <v>שמירה ובטחון</v>
          </cell>
          <cell r="J552">
            <v>0</v>
          </cell>
          <cell r="K552">
            <v>0</v>
          </cell>
          <cell r="L552">
            <v>1722100510</v>
          </cell>
        </row>
        <row r="553">
          <cell r="C553">
            <v>152</v>
          </cell>
          <cell r="G553">
            <v>71</v>
          </cell>
          <cell r="I553" t="str">
            <v>שמירה ובטחון</v>
          </cell>
          <cell r="J553">
            <v>0</v>
          </cell>
          <cell r="K553">
            <v>0</v>
          </cell>
          <cell r="L553">
            <v>1722100541</v>
          </cell>
        </row>
        <row r="554">
          <cell r="C554">
            <v>152</v>
          </cell>
          <cell r="G554">
            <v>71</v>
          </cell>
          <cell r="I554" t="str">
            <v>שמירה ובטחון</v>
          </cell>
          <cell r="J554">
            <v>0</v>
          </cell>
          <cell r="K554">
            <v>0</v>
          </cell>
          <cell r="L554">
            <v>1722100720</v>
          </cell>
        </row>
        <row r="555">
          <cell r="C555">
            <v>151</v>
          </cell>
          <cell r="G555">
            <v>71</v>
          </cell>
          <cell r="I555" t="str">
            <v>שמירה ובטחון</v>
          </cell>
          <cell r="J555">
            <v>0</v>
          </cell>
          <cell r="K555">
            <v>0</v>
          </cell>
          <cell r="L555">
            <v>1723000523</v>
          </cell>
        </row>
        <row r="556">
          <cell r="C556">
            <v>151</v>
          </cell>
          <cell r="G556">
            <v>71</v>
          </cell>
          <cell r="I556" t="str">
            <v>שמירה ובטחון</v>
          </cell>
          <cell r="J556">
            <v>0</v>
          </cell>
          <cell r="K556">
            <v>0</v>
          </cell>
          <cell r="L556">
            <v>1723000540</v>
          </cell>
        </row>
        <row r="557">
          <cell r="C557">
            <v>151</v>
          </cell>
          <cell r="G557">
            <v>71</v>
          </cell>
          <cell r="I557" t="str">
            <v>שמירה ובטחון</v>
          </cell>
          <cell r="J557">
            <v>0</v>
          </cell>
          <cell r="K557">
            <v>0</v>
          </cell>
          <cell r="L557">
            <v>1723000541</v>
          </cell>
        </row>
        <row r="558">
          <cell r="C558">
            <v>151</v>
          </cell>
          <cell r="G558">
            <v>71</v>
          </cell>
          <cell r="I558" t="str">
            <v>שמירה ובטחון</v>
          </cell>
          <cell r="J558">
            <v>0</v>
          </cell>
          <cell r="K558">
            <v>0</v>
          </cell>
          <cell r="L558">
            <v>1723000550</v>
          </cell>
        </row>
        <row r="559">
          <cell r="C559">
            <v>151</v>
          </cell>
          <cell r="G559">
            <v>71</v>
          </cell>
          <cell r="I559" t="str">
            <v>שמירה ובטחון</v>
          </cell>
          <cell r="J559">
            <v>0</v>
          </cell>
          <cell r="K559">
            <v>0</v>
          </cell>
          <cell r="L559">
            <v>1723000735</v>
          </cell>
        </row>
        <row r="560">
          <cell r="C560">
            <v>152</v>
          </cell>
          <cell r="G560">
            <v>71</v>
          </cell>
          <cell r="I560" t="str">
            <v>שמירה ובטחון</v>
          </cell>
          <cell r="J560">
            <v>0</v>
          </cell>
          <cell r="K560">
            <v>0</v>
          </cell>
          <cell r="L560">
            <v>1723000830</v>
          </cell>
        </row>
        <row r="561">
          <cell r="C561">
            <v>152</v>
          </cell>
          <cell r="G561">
            <v>71</v>
          </cell>
          <cell r="I561" t="str">
            <v>שמירה ובטחון</v>
          </cell>
          <cell r="J561">
            <v>0</v>
          </cell>
          <cell r="K561">
            <v>0</v>
          </cell>
          <cell r="L561">
            <v>1723100830</v>
          </cell>
        </row>
        <row r="562">
          <cell r="C562">
            <v>152</v>
          </cell>
          <cell r="G562">
            <v>71</v>
          </cell>
          <cell r="I562" t="str">
            <v>שמירה ובטחון</v>
          </cell>
          <cell r="J562">
            <v>0</v>
          </cell>
          <cell r="K562">
            <v>0</v>
          </cell>
          <cell r="L562">
            <v>1724000750</v>
          </cell>
        </row>
        <row r="563">
          <cell r="C563">
            <v>152</v>
          </cell>
          <cell r="G563">
            <v>71</v>
          </cell>
          <cell r="I563" t="str">
            <v>שמירה ובטחון</v>
          </cell>
          <cell r="J563">
            <v>0</v>
          </cell>
          <cell r="K563">
            <v>0</v>
          </cell>
          <cell r="L563">
            <v>1724000830</v>
          </cell>
        </row>
        <row r="564">
          <cell r="C564">
            <v>152</v>
          </cell>
          <cell r="G564">
            <v>71</v>
          </cell>
          <cell r="I564" t="str">
            <v>שמירה ובטחון</v>
          </cell>
          <cell r="J564">
            <v>0</v>
          </cell>
          <cell r="K564">
            <v>0</v>
          </cell>
          <cell r="L564">
            <v>1724500750</v>
          </cell>
        </row>
        <row r="565">
          <cell r="C565">
            <v>151</v>
          </cell>
          <cell r="G565">
            <v>71</v>
          </cell>
          <cell r="I565" t="str">
            <v>שמירה ובטחון</v>
          </cell>
          <cell r="J565">
            <v>0</v>
          </cell>
          <cell r="K565">
            <v>0</v>
          </cell>
          <cell r="L565">
            <v>1724501750</v>
          </cell>
        </row>
        <row r="566">
          <cell r="C566">
            <v>151</v>
          </cell>
          <cell r="G566">
            <v>71</v>
          </cell>
          <cell r="I566" t="str">
            <v>שמירה ובטחון</v>
          </cell>
          <cell r="J566">
            <v>0</v>
          </cell>
          <cell r="K566">
            <v>0</v>
          </cell>
          <cell r="L566">
            <v>1725000750</v>
          </cell>
        </row>
        <row r="567">
          <cell r="C567">
            <v>152</v>
          </cell>
          <cell r="G567">
            <v>71</v>
          </cell>
          <cell r="I567" t="str">
            <v>בריאות</v>
          </cell>
          <cell r="J567">
            <v>0</v>
          </cell>
          <cell r="K567">
            <v>0</v>
          </cell>
          <cell r="L567">
            <v>1832000830</v>
          </cell>
        </row>
        <row r="568">
          <cell r="C568">
            <v>152</v>
          </cell>
          <cell r="G568">
            <v>71</v>
          </cell>
          <cell r="I568" t="str">
            <v>שמירה ובטחון</v>
          </cell>
          <cell r="J568">
            <v>0</v>
          </cell>
          <cell r="K568">
            <v>0</v>
          </cell>
          <cell r="L568">
            <v>1726200810</v>
          </cell>
        </row>
        <row r="569">
          <cell r="C569">
            <v>152</v>
          </cell>
          <cell r="G569">
            <v>71</v>
          </cell>
          <cell r="I569" t="str">
            <v>שמירה ובטחון</v>
          </cell>
          <cell r="J569">
            <v>0</v>
          </cell>
          <cell r="K569">
            <v>0</v>
          </cell>
          <cell r="L569">
            <v>1729000810</v>
          </cell>
        </row>
        <row r="570">
          <cell r="C570">
            <v>152</v>
          </cell>
          <cell r="G570">
            <v>71</v>
          </cell>
          <cell r="I570" t="str">
            <v>תכנון ובנין עיר</v>
          </cell>
          <cell r="J570">
            <v>0</v>
          </cell>
          <cell r="K570">
            <v>0</v>
          </cell>
          <cell r="L570">
            <v>1731000110</v>
          </cell>
        </row>
        <row r="571">
          <cell r="C571">
            <v>152</v>
          </cell>
          <cell r="G571">
            <v>71</v>
          </cell>
          <cell r="I571" t="str">
            <v>תכנון ובנין עיר</v>
          </cell>
          <cell r="J571">
            <v>0</v>
          </cell>
          <cell r="K571">
            <v>0</v>
          </cell>
          <cell r="L571">
            <v>1731000350</v>
          </cell>
        </row>
        <row r="572">
          <cell r="C572">
            <v>152</v>
          </cell>
          <cell r="G572">
            <v>72</v>
          </cell>
          <cell r="I572" t="str">
            <v>תכנון ובנין עיר</v>
          </cell>
          <cell r="J572">
            <v>0</v>
          </cell>
          <cell r="K572">
            <v>0</v>
          </cell>
          <cell r="L572">
            <v>1731000399</v>
          </cell>
        </row>
        <row r="573">
          <cell r="C573">
            <v>151</v>
          </cell>
          <cell r="G573">
            <v>72</v>
          </cell>
          <cell r="I573" t="str">
            <v>תכנון ובנין עיר</v>
          </cell>
          <cell r="J573">
            <v>0</v>
          </cell>
          <cell r="K573">
            <v>0</v>
          </cell>
          <cell r="L573">
            <v>1731000410</v>
          </cell>
        </row>
        <row r="574">
          <cell r="C574">
            <v>151</v>
          </cell>
          <cell r="G574">
            <v>72</v>
          </cell>
          <cell r="I574" t="str">
            <v>תכנון ובנין עיר</v>
          </cell>
          <cell r="J574">
            <v>0</v>
          </cell>
          <cell r="K574">
            <v>0</v>
          </cell>
          <cell r="L574">
            <v>1731000450</v>
          </cell>
        </row>
        <row r="575">
          <cell r="C575">
            <v>151</v>
          </cell>
          <cell r="G575">
            <v>72</v>
          </cell>
          <cell r="I575" t="str">
            <v>תכנון ובנין עיר</v>
          </cell>
          <cell r="J575">
            <v>0</v>
          </cell>
          <cell r="K575">
            <v>0</v>
          </cell>
          <cell r="L575">
            <v>1731000510</v>
          </cell>
        </row>
        <row r="576">
          <cell r="C576">
            <v>152</v>
          </cell>
          <cell r="G576">
            <v>72</v>
          </cell>
          <cell r="I576" t="str">
            <v>תכנון ובנין עיר</v>
          </cell>
          <cell r="J576">
            <v>0</v>
          </cell>
          <cell r="K576">
            <v>0</v>
          </cell>
          <cell r="L576">
            <v>1731000540</v>
          </cell>
        </row>
        <row r="577">
          <cell r="C577">
            <v>152</v>
          </cell>
          <cell r="G577">
            <v>72</v>
          </cell>
          <cell r="I577" t="str">
            <v>תכנון ובנין עיר</v>
          </cell>
          <cell r="J577">
            <v>0</v>
          </cell>
          <cell r="K577">
            <v>0</v>
          </cell>
          <cell r="L577">
            <v>1731000541</v>
          </cell>
        </row>
        <row r="578">
          <cell r="C578">
            <v>152</v>
          </cell>
          <cell r="G578">
            <v>72</v>
          </cell>
          <cell r="I578" t="str">
            <v>תכנון ובנין עיר</v>
          </cell>
          <cell r="J578">
            <v>0</v>
          </cell>
          <cell r="K578">
            <v>0</v>
          </cell>
          <cell r="L578">
            <v>1731000720</v>
          </cell>
        </row>
        <row r="579">
          <cell r="C579">
            <v>152</v>
          </cell>
          <cell r="G579">
            <v>72</v>
          </cell>
          <cell r="I579" t="str">
            <v>תכנון ובנין עיר</v>
          </cell>
          <cell r="J579">
            <v>0</v>
          </cell>
          <cell r="K579">
            <v>0</v>
          </cell>
          <cell r="L579">
            <v>1731000750</v>
          </cell>
        </row>
        <row r="580">
          <cell r="C580">
            <v>152</v>
          </cell>
          <cell r="G580">
            <v>72</v>
          </cell>
          <cell r="I580" t="str">
            <v>תכנון ובנין עיר</v>
          </cell>
          <cell r="J580">
            <v>0</v>
          </cell>
          <cell r="K580">
            <v>0</v>
          </cell>
          <cell r="L580">
            <v>1731000780</v>
          </cell>
        </row>
        <row r="581">
          <cell r="C581">
            <v>152</v>
          </cell>
          <cell r="G581">
            <v>72</v>
          </cell>
          <cell r="I581" t="str">
            <v>תכנון ובנין עיר</v>
          </cell>
          <cell r="J581">
            <v>0</v>
          </cell>
          <cell r="K581">
            <v>0</v>
          </cell>
          <cell r="L581">
            <v>1731100410</v>
          </cell>
        </row>
        <row r="582">
          <cell r="C582">
            <v>152</v>
          </cell>
          <cell r="G582">
            <v>72</v>
          </cell>
          <cell r="I582" t="str">
            <v>תכנון ובנין עיר</v>
          </cell>
          <cell r="J582">
            <v>0</v>
          </cell>
          <cell r="K582">
            <v>0</v>
          </cell>
          <cell r="L582">
            <v>1731100750</v>
          </cell>
        </row>
        <row r="583">
          <cell r="C583">
            <v>152</v>
          </cell>
          <cell r="G583">
            <v>72</v>
          </cell>
          <cell r="I583" t="str">
            <v>תכנון ובנין עיר</v>
          </cell>
          <cell r="J583">
            <v>0</v>
          </cell>
          <cell r="K583">
            <v>0</v>
          </cell>
          <cell r="L583">
            <v>1732000550</v>
          </cell>
        </row>
        <row r="584">
          <cell r="C584">
            <v>152</v>
          </cell>
          <cell r="G584">
            <v>72</v>
          </cell>
          <cell r="I584" t="str">
            <v>תכנון ובנין עיר</v>
          </cell>
          <cell r="J584">
            <v>0</v>
          </cell>
          <cell r="K584">
            <v>0</v>
          </cell>
          <cell r="L584">
            <v>1732000750</v>
          </cell>
        </row>
        <row r="585">
          <cell r="C585">
            <v>151</v>
          </cell>
          <cell r="G585">
            <v>72</v>
          </cell>
          <cell r="I585" t="str">
            <v>תכנון ובנין עיר</v>
          </cell>
          <cell r="J585">
            <v>0</v>
          </cell>
          <cell r="K585">
            <v>0</v>
          </cell>
          <cell r="L585">
            <v>1733000541</v>
          </cell>
        </row>
        <row r="586">
          <cell r="C586">
            <v>152</v>
          </cell>
          <cell r="G586">
            <v>72</v>
          </cell>
          <cell r="I586" t="str">
            <v>תכנון ובנין עיר</v>
          </cell>
          <cell r="J586">
            <v>0</v>
          </cell>
          <cell r="K586">
            <v>0</v>
          </cell>
          <cell r="L586">
            <v>1733100830</v>
          </cell>
        </row>
        <row r="587">
          <cell r="C587">
            <v>152</v>
          </cell>
          <cell r="G587">
            <v>72</v>
          </cell>
          <cell r="I587" t="str">
            <v>תכנון ובנין עיר</v>
          </cell>
          <cell r="J587">
            <v>0</v>
          </cell>
          <cell r="K587">
            <v>0</v>
          </cell>
          <cell r="L587">
            <v>1733200750</v>
          </cell>
        </row>
        <row r="588">
          <cell r="C588">
            <v>152</v>
          </cell>
          <cell r="G588">
            <v>72</v>
          </cell>
          <cell r="I588" t="str">
            <v>תכנון ובנין עיר</v>
          </cell>
          <cell r="J588">
            <v>0</v>
          </cell>
          <cell r="K588">
            <v>0</v>
          </cell>
          <cell r="L588">
            <v>1733250750</v>
          </cell>
        </row>
        <row r="589">
          <cell r="C589">
            <v>152</v>
          </cell>
          <cell r="G589">
            <v>72</v>
          </cell>
          <cell r="I589" t="str">
            <v>תכנון ובנין עיר</v>
          </cell>
          <cell r="J589">
            <v>0</v>
          </cell>
          <cell r="K589">
            <v>0</v>
          </cell>
          <cell r="L589">
            <v>1733400830</v>
          </cell>
        </row>
        <row r="590">
          <cell r="C590">
            <v>152</v>
          </cell>
          <cell r="G590">
            <v>72</v>
          </cell>
          <cell r="I590" t="str">
            <v>תכנון ובנין עיר</v>
          </cell>
          <cell r="J590">
            <v>0</v>
          </cell>
          <cell r="K590">
            <v>0</v>
          </cell>
          <cell r="L590">
            <v>1733600750</v>
          </cell>
        </row>
        <row r="591">
          <cell r="C591">
            <v>152</v>
          </cell>
          <cell r="G591">
            <v>72</v>
          </cell>
          <cell r="I591" t="str">
            <v>נכסים ציבוריים</v>
          </cell>
          <cell r="J591">
            <v>0</v>
          </cell>
          <cell r="K591">
            <v>0</v>
          </cell>
          <cell r="L591">
            <v>1740000750</v>
          </cell>
        </row>
        <row r="592">
          <cell r="C592">
            <v>152</v>
          </cell>
          <cell r="G592">
            <v>72</v>
          </cell>
          <cell r="I592" t="str">
            <v>נכסים ציבוריים</v>
          </cell>
          <cell r="J592">
            <v>0</v>
          </cell>
          <cell r="K592">
            <v>0</v>
          </cell>
          <cell r="L592">
            <v>1741000110</v>
          </cell>
        </row>
        <row r="593">
          <cell r="C593">
            <v>152</v>
          </cell>
          <cell r="G593">
            <v>72</v>
          </cell>
          <cell r="I593" t="str">
            <v>נכסים ציבוריים</v>
          </cell>
          <cell r="J593">
            <v>0</v>
          </cell>
          <cell r="K593">
            <v>0</v>
          </cell>
          <cell r="L593">
            <v>1741000540</v>
          </cell>
        </row>
        <row r="594">
          <cell r="C594">
            <v>152</v>
          </cell>
          <cell r="G594">
            <v>72</v>
          </cell>
          <cell r="I594" t="str">
            <v>נכסים ציבוריים</v>
          </cell>
          <cell r="J594">
            <v>0</v>
          </cell>
          <cell r="K594">
            <v>0</v>
          </cell>
          <cell r="L594">
            <v>1742000780</v>
          </cell>
        </row>
        <row r="595">
          <cell r="C595">
            <v>152</v>
          </cell>
          <cell r="G595">
            <v>72</v>
          </cell>
          <cell r="I595" t="str">
            <v>נכסים ציבוריים</v>
          </cell>
          <cell r="J595">
            <v>0</v>
          </cell>
          <cell r="K595">
            <v>0</v>
          </cell>
          <cell r="L595">
            <v>1742000920</v>
          </cell>
        </row>
        <row r="596">
          <cell r="C596">
            <v>152</v>
          </cell>
          <cell r="G596">
            <v>72</v>
          </cell>
          <cell r="I596" t="str">
            <v>נכסים ציבוריים</v>
          </cell>
          <cell r="J596">
            <v>0</v>
          </cell>
          <cell r="K596">
            <v>0</v>
          </cell>
          <cell r="L596">
            <v>1742100810</v>
          </cell>
        </row>
        <row r="597">
          <cell r="C597">
            <v>152</v>
          </cell>
          <cell r="G597">
            <v>72</v>
          </cell>
          <cell r="I597" t="str">
            <v>נכסים ציבוריים</v>
          </cell>
          <cell r="J597">
            <v>0</v>
          </cell>
          <cell r="K597">
            <v>0</v>
          </cell>
          <cell r="L597">
            <v>1742200110</v>
          </cell>
        </row>
        <row r="598">
          <cell r="C598">
            <v>152</v>
          </cell>
          <cell r="G598">
            <v>72</v>
          </cell>
          <cell r="I598" t="str">
            <v>נכסים ציבוריים</v>
          </cell>
          <cell r="J598">
            <v>0</v>
          </cell>
          <cell r="K598">
            <v>0</v>
          </cell>
          <cell r="L598">
            <v>1742200210</v>
          </cell>
        </row>
        <row r="599">
          <cell r="C599">
            <v>152</v>
          </cell>
          <cell r="G599">
            <v>72</v>
          </cell>
          <cell r="I599" t="str">
            <v>נכסים ציבוריים</v>
          </cell>
          <cell r="J599">
            <v>0</v>
          </cell>
          <cell r="K599">
            <v>0</v>
          </cell>
          <cell r="L599">
            <v>1742200350</v>
          </cell>
        </row>
        <row r="600">
          <cell r="C600">
            <v>152</v>
          </cell>
          <cell r="G600">
            <v>72</v>
          </cell>
          <cell r="I600" t="str">
            <v>נכסים ציבוריים</v>
          </cell>
          <cell r="J600">
            <v>0</v>
          </cell>
          <cell r="K600">
            <v>0</v>
          </cell>
          <cell r="L600">
            <v>1742200541</v>
          </cell>
        </row>
        <row r="601">
          <cell r="C601">
            <v>152</v>
          </cell>
          <cell r="G601">
            <v>72</v>
          </cell>
          <cell r="I601" t="str">
            <v>נכסים ציבוריים</v>
          </cell>
          <cell r="J601">
            <v>0</v>
          </cell>
          <cell r="K601">
            <v>0</v>
          </cell>
          <cell r="L601">
            <v>1742200720</v>
          </cell>
        </row>
        <row r="602">
          <cell r="C602">
            <v>152</v>
          </cell>
          <cell r="G602">
            <v>72</v>
          </cell>
          <cell r="I602" t="str">
            <v>נכסים ציבוריים</v>
          </cell>
          <cell r="J602">
            <v>0</v>
          </cell>
          <cell r="K602">
            <v>0</v>
          </cell>
          <cell r="L602">
            <v>1742200750</v>
          </cell>
        </row>
        <row r="603">
          <cell r="C603">
            <v>152</v>
          </cell>
          <cell r="G603">
            <v>72</v>
          </cell>
          <cell r="I603" t="str">
            <v>נכסים ציבוריים</v>
          </cell>
          <cell r="J603">
            <v>0</v>
          </cell>
          <cell r="K603">
            <v>0</v>
          </cell>
          <cell r="L603">
            <v>1742200780</v>
          </cell>
        </row>
        <row r="604">
          <cell r="C604">
            <v>152</v>
          </cell>
          <cell r="G604">
            <v>72</v>
          </cell>
          <cell r="I604" t="str">
            <v>נכסים ציבוריים</v>
          </cell>
          <cell r="J604">
            <v>0</v>
          </cell>
          <cell r="K604">
            <v>0</v>
          </cell>
          <cell r="L604">
            <v>1742200810</v>
          </cell>
        </row>
        <row r="605">
          <cell r="C605">
            <v>152</v>
          </cell>
          <cell r="G605">
            <v>72</v>
          </cell>
          <cell r="I605" t="str">
            <v>נכסים ציבוריים</v>
          </cell>
          <cell r="J605">
            <v>0</v>
          </cell>
          <cell r="K605">
            <v>0</v>
          </cell>
          <cell r="L605">
            <v>1742300810</v>
          </cell>
        </row>
        <row r="606">
          <cell r="C606">
            <v>151</v>
          </cell>
          <cell r="G606">
            <v>72</v>
          </cell>
          <cell r="I606" t="str">
            <v>נכסים ציבוריים</v>
          </cell>
          <cell r="J606">
            <v>0</v>
          </cell>
          <cell r="K606">
            <v>0</v>
          </cell>
          <cell r="L606">
            <v>1742400810</v>
          </cell>
        </row>
        <row r="607">
          <cell r="C607">
            <v>152</v>
          </cell>
          <cell r="G607">
            <v>72</v>
          </cell>
          <cell r="I607" t="str">
            <v>נכסים ציבוריים</v>
          </cell>
          <cell r="J607">
            <v>0</v>
          </cell>
          <cell r="K607">
            <v>0</v>
          </cell>
          <cell r="L607">
            <v>1743000430</v>
          </cell>
        </row>
        <row r="608">
          <cell r="C608">
            <v>152</v>
          </cell>
          <cell r="G608">
            <v>72</v>
          </cell>
          <cell r="I608" t="str">
            <v>נכסים ציבוריים</v>
          </cell>
          <cell r="J608">
            <v>0</v>
          </cell>
          <cell r="K608">
            <v>0</v>
          </cell>
          <cell r="L608">
            <v>1743000432</v>
          </cell>
        </row>
        <row r="609">
          <cell r="C609">
            <v>152</v>
          </cell>
          <cell r="G609">
            <v>72</v>
          </cell>
          <cell r="I609" t="str">
            <v>נכסים ציבוריים</v>
          </cell>
          <cell r="J609">
            <v>0</v>
          </cell>
          <cell r="K609">
            <v>0</v>
          </cell>
          <cell r="L609">
            <v>1743000720</v>
          </cell>
        </row>
        <row r="610">
          <cell r="C610">
            <v>152</v>
          </cell>
          <cell r="G610">
            <v>72</v>
          </cell>
          <cell r="I610" t="str">
            <v>נכסים ציבוריים</v>
          </cell>
          <cell r="J610">
            <v>0</v>
          </cell>
          <cell r="K610">
            <v>0</v>
          </cell>
          <cell r="L610">
            <v>1743000750</v>
          </cell>
        </row>
        <row r="611">
          <cell r="C611">
            <v>151</v>
          </cell>
          <cell r="G611">
            <v>73</v>
          </cell>
          <cell r="I611" t="str">
            <v>נכסים ציבוריים</v>
          </cell>
          <cell r="J611">
            <v>0</v>
          </cell>
          <cell r="K611">
            <v>0</v>
          </cell>
          <cell r="L611">
            <v>1743000770</v>
          </cell>
        </row>
        <row r="612">
          <cell r="C612">
            <v>151</v>
          </cell>
          <cell r="G612">
            <v>73</v>
          </cell>
          <cell r="I612" t="str">
            <v>נכסים ציבוריים</v>
          </cell>
          <cell r="J612">
            <v>0</v>
          </cell>
          <cell r="K612">
            <v>0</v>
          </cell>
          <cell r="L612">
            <v>1743100420</v>
          </cell>
        </row>
        <row r="613">
          <cell r="C613">
            <v>151</v>
          </cell>
          <cell r="G613">
            <v>73</v>
          </cell>
          <cell r="I613" t="str">
            <v>נכסים ציבוריים</v>
          </cell>
          <cell r="J613">
            <v>0</v>
          </cell>
          <cell r="K613">
            <v>0</v>
          </cell>
          <cell r="L613">
            <v>1743100750</v>
          </cell>
        </row>
        <row r="614">
          <cell r="C614">
            <v>152</v>
          </cell>
          <cell r="G614">
            <v>73</v>
          </cell>
          <cell r="I614" t="str">
            <v>נכסים ציבוריים</v>
          </cell>
          <cell r="J614">
            <v>0</v>
          </cell>
          <cell r="K614">
            <v>0</v>
          </cell>
          <cell r="L614">
            <v>1744000541</v>
          </cell>
        </row>
        <row r="615">
          <cell r="C615">
            <v>152</v>
          </cell>
          <cell r="G615">
            <v>73</v>
          </cell>
          <cell r="I615" t="str">
            <v>נכסים ציבוריים</v>
          </cell>
          <cell r="J615">
            <v>0</v>
          </cell>
          <cell r="K615">
            <v>0</v>
          </cell>
          <cell r="L615">
            <v>1744000720</v>
          </cell>
        </row>
        <row r="616">
          <cell r="C616">
            <v>152</v>
          </cell>
          <cell r="G616">
            <v>73</v>
          </cell>
          <cell r="I616" t="str">
            <v>נכסים ציבוריים</v>
          </cell>
          <cell r="J616">
            <v>0</v>
          </cell>
          <cell r="K616">
            <v>0</v>
          </cell>
          <cell r="L616">
            <v>1744000721</v>
          </cell>
        </row>
        <row r="617">
          <cell r="C617">
            <v>152</v>
          </cell>
          <cell r="G617">
            <v>73</v>
          </cell>
          <cell r="I617" t="str">
            <v>נכסים ציבוריים</v>
          </cell>
          <cell r="J617">
            <v>0</v>
          </cell>
          <cell r="K617">
            <v>0</v>
          </cell>
          <cell r="L617">
            <v>1744000750</v>
          </cell>
        </row>
        <row r="618">
          <cell r="C618">
            <v>152</v>
          </cell>
          <cell r="G618">
            <v>73</v>
          </cell>
          <cell r="I618" t="str">
            <v>נכסים ציבוריים</v>
          </cell>
          <cell r="J618">
            <v>0</v>
          </cell>
          <cell r="K618">
            <v>0</v>
          </cell>
          <cell r="L618">
            <v>1744000780</v>
          </cell>
        </row>
        <row r="619">
          <cell r="C619">
            <v>152</v>
          </cell>
          <cell r="G619">
            <v>73</v>
          </cell>
          <cell r="I619" t="str">
            <v>נכסים ציבוריים</v>
          </cell>
          <cell r="J619">
            <v>0</v>
          </cell>
          <cell r="K619">
            <v>0</v>
          </cell>
          <cell r="L619">
            <v>1744500110</v>
          </cell>
        </row>
        <row r="620">
          <cell r="C620">
            <v>152</v>
          </cell>
          <cell r="G620">
            <v>73</v>
          </cell>
          <cell r="I620" t="str">
            <v>נכסים ציבוריים</v>
          </cell>
          <cell r="J620">
            <v>0</v>
          </cell>
          <cell r="K620">
            <v>0</v>
          </cell>
          <cell r="L620">
            <v>1744500210</v>
          </cell>
        </row>
        <row r="621">
          <cell r="C621">
            <v>152</v>
          </cell>
          <cell r="G621">
            <v>73</v>
          </cell>
          <cell r="I621" t="str">
            <v>נכסים ציבוריים</v>
          </cell>
          <cell r="J621">
            <v>0</v>
          </cell>
          <cell r="K621">
            <v>0</v>
          </cell>
          <cell r="L621">
            <v>1744500350</v>
          </cell>
        </row>
        <row r="622">
          <cell r="C622">
            <v>152</v>
          </cell>
          <cell r="G622">
            <v>73</v>
          </cell>
          <cell r="I622" t="str">
            <v>נכסים ציבוריים</v>
          </cell>
          <cell r="J622">
            <v>0</v>
          </cell>
          <cell r="K622">
            <v>0</v>
          </cell>
          <cell r="L622">
            <v>1745000750</v>
          </cell>
        </row>
        <row r="623">
          <cell r="C623">
            <v>152</v>
          </cell>
          <cell r="G623">
            <v>73</v>
          </cell>
          <cell r="I623" t="str">
            <v>נכסים ציבוריים</v>
          </cell>
          <cell r="J623">
            <v>0</v>
          </cell>
          <cell r="K623">
            <v>0</v>
          </cell>
          <cell r="L623">
            <v>1745000830</v>
          </cell>
        </row>
        <row r="624">
          <cell r="C624">
            <v>152</v>
          </cell>
          <cell r="G624">
            <v>73</v>
          </cell>
          <cell r="I624" t="str">
            <v>נכסים ציבוריים</v>
          </cell>
          <cell r="J624">
            <v>0</v>
          </cell>
          <cell r="K624">
            <v>0</v>
          </cell>
          <cell r="L624">
            <v>1745100810</v>
          </cell>
        </row>
        <row r="625">
          <cell r="C625">
            <v>152</v>
          </cell>
          <cell r="G625">
            <v>73</v>
          </cell>
          <cell r="I625" t="str">
            <v>נכסים ציבוריים</v>
          </cell>
          <cell r="J625">
            <v>0</v>
          </cell>
          <cell r="K625">
            <v>0</v>
          </cell>
          <cell r="L625">
            <v>1746000750</v>
          </cell>
        </row>
        <row r="626">
          <cell r="C626">
            <v>152</v>
          </cell>
          <cell r="G626">
            <v>73</v>
          </cell>
          <cell r="I626" t="str">
            <v>נכסים ציבוריים</v>
          </cell>
          <cell r="J626">
            <v>0</v>
          </cell>
          <cell r="K626">
            <v>0</v>
          </cell>
          <cell r="L626">
            <v>1746000780</v>
          </cell>
        </row>
        <row r="627">
          <cell r="C627">
            <v>152</v>
          </cell>
          <cell r="G627">
            <v>73</v>
          </cell>
          <cell r="I627" t="str">
            <v>נכסים ציבוריים</v>
          </cell>
          <cell r="J627">
            <v>0</v>
          </cell>
          <cell r="K627">
            <v>0</v>
          </cell>
          <cell r="L627">
            <v>1747000110</v>
          </cell>
        </row>
        <row r="628">
          <cell r="C628">
            <v>152</v>
          </cell>
          <cell r="G628">
            <v>73</v>
          </cell>
          <cell r="I628" t="str">
            <v>נכסים ציבוריים</v>
          </cell>
          <cell r="J628">
            <v>0</v>
          </cell>
          <cell r="K628">
            <v>0</v>
          </cell>
          <cell r="L628">
            <v>1747000750</v>
          </cell>
        </row>
        <row r="629">
          <cell r="C629">
            <v>152</v>
          </cell>
          <cell r="G629">
            <v>73</v>
          </cell>
          <cell r="I629" t="str">
            <v>תרבות</v>
          </cell>
          <cell r="J629">
            <v>0</v>
          </cell>
          <cell r="K629">
            <v>0</v>
          </cell>
          <cell r="L629">
            <v>1821100750</v>
          </cell>
        </row>
        <row r="630">
          <cell r="C630">
            <v>152</v>
          </cell>
          <cell r="G630">
            <v>73</v>
          </cell>
          <cell r="I630" t="str">
            <v>נכסים ציבוריים</v>
          </cell>
          <cell r="J630">
            <v>0</v>
          </cell>
          <cell r="K630">
            <v>0</v>
          </cell>
          <cell r="L630">
            <v>1747001780</v>
          </cell>
        </row>
        <row r="631">
          <cell r="C631">
            <v>152</v>
          </cell>
          <cell r="G631">
            <v>73</v>
          </cell>
          <cell r="I631" t="str">
            <v>נכסים ציבוריים</v>
          </cell>
          <cell r="J631">
            <v>0</v>
          </cell>
          <cell r="K631">
            <v>0</v>
          </cell>
          <cell r="L631">
            <v>1747002780</v>
          </cell>
        </row>
        <row r="632">
          <cell r="C632">
            <v>152</v>
          </cell>
          <cell r="G632">
            <v>74</v>
          </cell>
          <cell r="I632" t="str">
            <v>נכסים ציבוריים</v>
          </cell>
          <cell r="J632">
            <v>0</v>
          </cell>
          <cell r="K632">
            <v>0</v>
          </cell>
          <cell r="L632">
            <v>1747003780</v>
          </cell>
        </row>
        <row r="633">
          <cell r="C633">
            <v>151</v>
          </cell>
          <cell r="G633">
            <v>74</v>
          </cell>
          <cell r="I633" t="str">
            <v>נכסים ציבוריים</v>
          </cell>
          <cell r="J633">
            <v>0</v>
          </cell>
          <cell r="K633">
            <v>0</v>
          </cell>
          <cell r="L633">
            <v>1747004780</v>
          </cell>
        </row>
        <row r="634">
          <cell r="C634">
            <v>152</v>
          </cell>
          <cell r="G634">
            <v>74</v>
          </cell>
          <cell r="I634" t="str">
            <v>נכסים ציבוריים</v>
          </cell>
          <cell r="J634">
            <v>0</v>
          </cell>
          <cell r="K634">
            <v>0</v>
          </cell>
          <cell r="L634">
            <v>1747005780</v>
          </cell>
        </row>
        <row r="635">
          <cell r="C635">
            <v>152</v>
          </cell>
          <cell r="G635">
            <v>74</v>
          </cell>
          <cell r="I635" t="str">
            <v>נכסים ציבוריים</v>
          </cell>
          <cell r="J635">
            <v>0</v>
          </cell>
          <cell r="K635">
            <v>0</v>
          </cell>
          <cell r="L635">
            <v>1748000430</v>
          </cell>
        </row>
        <row r="636">
          <cell r="C636">
            <v>152</v>
          </cell>
          <cell r="G636">
            <v>74</v>
          </cell>
          <cell r="I636" t="str">
            <v>נכסים ציבוריים</v>
          </cell>
          <cell r="J636">
            <v>0</v>
          </cell>
          <cell r="K636">
            <v>0</v>
          </cell>
          <cell r="L636">
            <v>1748000432</v>
          </cell>
        </row>
        <row r="637">
          <cell r="C637">
            <v>152</v>
          </cell>
          <cell r="G637">
            <v>74</v>
          </cell>
          <cell r="I637" t="str">
            <v>נכסים ציבוריים</v>
          </cell>
          <cell r="J637">
            <v>0</v>
          </cell>
          <cell r="K637">
            <v>0</v>
          </cell>
          <cell r="L637">
            <v>1748000720</v>
          </cell>
        </row>
        <row r="638">
          <cell r="C638">
            <v>151</v>
          </cell>
          <cell r="G638">
            <v>74</v>
          </cell>
          <cell r="I638" t="str">
            <v>נכסים ציבוריים</v>
          </cell>
          <cell r="J638">
            <v>0</v>
          </cell>
          <cell r="K638">
            <v>0</v>
          </cell>
          <cell r="L638">
            <v>1748000750</v>
          </cell>
        </row>
        <row r="639">
          <cell r="C639">
            <v>151</v>
          </cell>
          <cell r="G639">
            <v>74</v>
          </cell>
          <cell r="I639" t="str">
            <v>נכסים ציבוריים</v>
          </cell>
          <cell r="J639">
            <v>0</v>
          </cell>
          <cell r="K639">
            <v>0</v>
          </cell>
          <cell r="L639">
            <v>1749000730</v>
          </cell>
        </row>
        <row r="640">
          <cell r="C640">
            <v>151</v>
          </cell>
          <cell r="G640">
            <v>74</v>
          </cell>
          <cell r="I640" t="str">
            <v>נכסים ציבוריים</v>
          </cell>
          <cell r="J640">
            <v>0</v>
          </cell>
          <cell r="K640">
            <v>0</v>
          </cell>
          <cell r="L640">
            <v>1749000735</v>
          </cell>
        </row>
        <row r="641">
          <cell r="C641">
            <v>152</v>
          </cell>
          <cell r="G641">
            <v>74</v>
          </cell>
          <cell r="I641" t="str">
            <v>נכסים ציבוריים</v>
          </cell>
          <cell r="J641">
            <v>0</v>
          </cell>
          <cell r="K641">
            <v>0</v>
          </cell>
          <cell r="L641">
            <v>1749000910</v>
          </cell>
        </row>
        <row r="642">
          <cell r="C642">
            <v>152</v>
          </cell>
          <cell r="G642">
            <v>74</v>
          </cell>
          <cell r="I642" t="str">
            <v>נכסים ציבוריים</v>
          </cell>
          <cell r="J642">
            <v>0</v>
          </cell>
          <cell r="K642">
            <v>0</v>
          </cell>
          <cell r="L642">
            <v>1749001735</v>
          </cell>
        </row>
        <row r="643">
          <cell r="C643">
            <v>152</v>
          </cell>
          <cell r="G643">
            <v>74</v>
          </cell>
          <cell r="I643" t="str">
            <v>נכסים ציבוריים</v>
          </cell>
          <cell r="J643">
            <v>0</v>
          </cell>
          <cell r="K643">
            <v>0</v>
          </cell>
          <cell r="L643">
            <v>1749100910</v>
          </cell>
        </row>
        <row r="644">
          <cell r="C644">
            <v>152</v>
          </cell>
          <cell r="G644">
            <v>74</v>
          </cell>
          <cell r="I644" t="str">
            <v>נכסים ציבוריים</v>
          </cell>
          <cell r="J644">
            <v>0</v>
          </cell>
          <cell r="K644">
            <v>0</v>
          </cell>
          <cell r="L644">
            <v>1749200910</v>
          </cell>
        </row>
        <row r="645">
          <cell r="C645">
            <v>152</v>
          </cell>
          <cell r="G645">
            <v>74</v>
          </cell>
          <cell r="I645" t="str">
            <v>נכסים ציבוריים</v>
          </cell>
          <cell r="J645">
            <v>0</v>
          </cell>
          <cell r="K645">
            <v>0</v>
          </cell>
          <cell r="L645">
            <v>1749300910</v>
          </cell>
        </row>
        <row r="646">
          <cell r="C646">
            <v>152</v>
          </cell>
          <cell r="G646">
            <v>74</v>
          </cell>
          <cell r="I646" t="str">
            <v>נכסים ציבוריים</v>
          </cell>
          <cell r="J646">
            <v>0</v>
          </cell>
          <cell r="K646">
            <v>0</v>
          </cell>
          <cell r="L646">
            <v>1749400910</v>
          </cell>
        </row>
        <row r="647">
          <cell r="C647">
            <v>152</v>
          </cell>
          <cell r="G647">
            <v>74</v>
          </cell>
          <cell r="I647" t="str">
            <v>נכסים ציבוריים</v>
          </cell>
          <cell r="J647">
            <v>0</v>
          </cell>
          <cell r="K647">
            <v>0</v>
          </cell>
          <cell r="L647">
            <v>1749500910</v>
          </cell>
        </row>
        <row r="648">
          <cell r="C648">
            <v>152</v>
          </cell>
          <cell r="G648">
            <v>74</v>
          </cell>
          <cell r="I648" t="str">
            <v>נכסים ציבוריים</v>
          </cell>
          <cell r="J648">
            <v>0</v>
          </cell>
          <cell r="K648">
            <v>0</v>
          </cell>
          <cell r="L648">
            <v>1749600910</v>
          </cell>
        </row>
        <row r="649">
          <cell r="C649">
            <v>152</v>
          </cell>
          <cell r="G649">
            <v>74</v>
          </cell>
          <cell r="I649" t="str">
            <v>חגיגות, מבצעים ואירועים</v>
          </cell>
          <cell r="J649">
            <v>0</v>
          </cell>
          <cell r="K649">
            <v>0</v>
          </cell>
          <cell r="L649">
            <v>1751000551</v>
          </cell>
        </row>
        <row r="650">
          <cell r="C650">
            <v>152</v>
          </cell>
          <cell r="G650">
            <v>74</v>
          </cell>
          <cell r="I650" t="str">
            <v>חגיגות, מבצעים ואירועים</v>
          </cell>
          <cell r="J650">
            <v>0</v>
          </cell>
          <cell r="K650">
            <v>0</v>
          </cell>
          <cell r="L650">
            <v>1751000720</v>
          </cell>
        </row>
        <row r="651">
          <cell r="C651">
            <v>152</v>
          </cell>
          <cell r="G651">
            <v>74</v>
          </cell>
          <cell r="I651" t="str">
            <v>חגיגות, מבצעים ואירועים</v>
          </cell>
          <cell r="J651">
            <v>0</v>
          </cell>
          <cell r="K651">
            <v>0</v>
          </cell>
          <cell r="L651">
            <v>1752000514</v>
          </cell>
        </row>
        <row r="652">
          <cell r="C652">
            <v>152</v>
          </cell>
          <cell r="G652">
            <v>74</v>
          </cell>
          <cell r="I652" t="str">
            <v>שירותים עירוניים שונים</v>
          </cell>
          <cell r="J652">
            <v>0</v>
          </cell>
          <cell r="K652">
            <v>0</v>
          </cell>
          <cell r="L652">
            <v>1761000735</v>
          </cell>
        </row>
        <row r="653">
          <cell r="C653">
            <v>152</v>
          </cell>
          <cell r="G653">
            <v>74</v>
          </cell>
          <cell r="I653" t="str">
            <v>שירותים עירוניים שונים</v>
          </cell>
          <cell r="J653">
            <v>0</v>
          </cell>
          <cell r="K653">
            <v>0</v>
          </cell>
          <cell r="L653">
            <v>1761000750</v>
          </cell>
        </row>
        <row r="654">
          <cell r="C654">
            <v>152</v>
          </cell>
          <cell r="G654">
            <v>74</v>
          </cell>
          <cell r="I654" t="str">
            <v>שירותים עירוניים שונים</v>
          </cell>
          <cell r="J654">
            <v>0</v>
          </cell>
          <cell r="K654">
            <v>0</v>
          </cell>
          <cell r="L654">
            <v>1767000440</v>
          </cell>
        </row>
        <row r="655">
          <cell r="C655">
            <v>152</v>
          </cell>
          <cell r="G655">
            <v>74</v>
          </cell>
          <cell r="I655" t="str">
            <v>שירותים עירוניים שונים</v>
          </cell>
          <cell r="J655">
            <v>0</v>
          </cell>
          <cell r="K655">
            <v>0</v>
          </cell>
          <cell r="L655">
            <v>1769000110</v>
          </cell>
        </row>
        <row r="656">
          <cell r="C656">
            <v>152</v>
          </cell>
          <cell r="G656">
            <v>74</v>
          </cell>
          <cell r="I656" t="str">
            <v>פיתוח כלכלי</v>
          </cell>
          <cell r="J656">
            <v>0</v>
          </cell>
          <cell r="K656">
            <v>0</v>
          </cell>
          <cell r="L656">
            <v>1771000521</v>
          </cell>
        </row>
        <row r="657">
          <cell r="C657">
            <v>152</v>
          </cell>
          <cell r="G657">
            <v>74</v>
          </cell>
          <cell r="I657" t="str">
            <v>פיתוח כלכלי</v>
          </cell>
          <cell r="J657">
            <v>0</v>
          </cell>
          <cell r="K657">
            <v>0</v>
          </cell>
          <cell r="L657">
            <v>1771000550</v>
          </cell>
        </row>
        <row r="658">
          <cell r="C658">
            <v>152</v>
          </cell>
          <cell r="G658">
            <v>74</v>
          </cell>
          <cell r="I658" t="str">
            <v>פיתוח כלכלי</v>
          </cell>
          <cell r="J658">
            <v>0</v>
          </cell>
          <cell r="K658">
            <v>0</v>
          </cell>
          <cell r="L658">
            <v>1772000550</v>
          </cell>
        </row>
        <row r="659">
          <cell r="C659">
            <v>152</v>
          </cell>
          <cell r="G659">
            <v>74</v>
          </cell>
          <cell r="I659" t="str">
            <v>פיתוח כלכלי</v>
          </cell>
          <cell r="J659">
            <v>0</v>
          </cell>
          <cell r="K659">
            <v>0</v>
          </cell>
          <cell r="L659">
            <v>1772000750</v>
          </cell>
        </row>
        <row r="660">
          <cell r="C660">
            <v>151</v>
          </cell>
          <cell r="G660">
            <v>74</v>
          </cell>
          <cell r="I660" t="str">
            <v>פיקוח עירוני</v>
          </cell>
          <cell r="J660">
            <v>0</v>
          </cell>
          <cell r="K660">
            <v>0</v>
          </cell>
          <cell r="L660">
            <v>1781000110</v>
          </cell>
        </row>
        <row r="661">
          <cell r="C661">
            <v>151</v>
          </cell>
          <cell r="G661">
            <v>74</v>
          </cell>
          <cell r="I661" t="str">
            <v>פיקוח עירוני</v>
          </cell>
          <cell r="J661">
            <v>0</v>
          </cell>
          <cell r="K661">
            <v>0</v>
          </cell>
          <cell r="L661">
            <v>1781000780</v>
          </cell>
        </row>
        <row r="662">
          <cell r="C662">
            <v>151</v>
          </cell>
          <cell r="G662">
            <v>74</v>
          </cell>
          <cell r="I662" t="str">
            <v>מינהל החינוך</v>
          </cell>
          <cell r="J662">
            <v>0</v>
          </cell>
          <cell r="K662">
            <v>0</v>
          </cell>
          <cell r="L662">
            <v>1811000410</v>
          </cell>
        </row>
        <row r="663">
          <cell r="C663">
            <v>152</v>
          </cell>
          <cell r="G663">
            <v>74</v>
          </cell>
          <cell r="I663" t="str">
            <v>מינהל החינוך</v>
          </cell>
          <cell r="J663">
            <v>0</v>
          </cell>
          <cell r="K663">
            <v>0</v>
          </cell>
          <cell r="L663">
            <v>1811000420</v>
          </cell>
        </row>
        <row r="664">
          <cell r="C664">
            <v>152</v>
          </cell>
          <cell r="G664">
            <v>74</v>
          </cell>
          <cell r="I664" t="str">
            <v>מינהל החינוך</v>
          </cell>
          <cell r="J664">
            <v>0</v>
          </cell>
          <cell r="K664">
            <v>0</v>
          </cell>
          <cell r="L664">
            <v>1811000430</v>
          </cell>
        </row>
        <row r="665">
          <cell r="C665">
            <v>152</v>
          </cell>
          <cell r="G665">
            <v>74</v>
          </cell>
          <cell r="I665" t="str">
            <v>מינהל החינוך</v>
          </cell>
          <cell r="J665">
            <v>0</v>
          </cell>
          <cell r="K665">
            <v>0</v>
          </cell>
          <cell r="L665">
            <v>1811000450</v>
          </cell>
        </row>
        <row r="666">
          <cell r="C666">
            <v>152</v>
          </cell>
          <cell r="G666">
            <v>74</v>
          </cell>
          <cell r="I666" t="str">
            <v>מינהל החינוך</v>
          </cell>
          <cell r="J666">
            <v>0</v>
          </cell>
          <cell r="K666">
            <v>0</v>
          </cell>
          <cell r="L666">
            <v>1811000470</v>
          </cell>
        </row>
        <row r="667">
          <cell r="C667">
            <v>152</v>
          </cell>
          <cell r="G667">
            <v>74</v>
          </cell>
          <cell r="I667" t="str">
            <v>מינהל החינוך</v>
          </cell>
          <cell r="J667">
            <v>0</v>
          </cell>
          <cell r="K667">
            <v>0</v>
          </cell>
          <cell r="L667">
            <v>1811000510</v>
          </cell>
        </row>
        <row r="668">
          <cell r="C668">
            <v>151</v>
          </cell>
          <cell r="G668">
            <v>74</v>
          </cell>
          <cell r="I668" t="str">
            <v>מינהל החינוך</v>
          </cell>
          <cell r="J668">
            <v>0</v>
          </cell>
          <cell r="K668">
            <v>0</v>
          </cell>
          <cell r="L668">
            <v>1811000521</v>
          </cell>
        </row>
        <row r="669">
          <cell r="C669">
            <v>152</v>
          </cell>
          <cell r="G669">
            <v>74</v>
          </cell>
          <cell r="I669" t="str">
            <v>מינהל החינוך</v>
          </cell>
          <cell r="J669">
            <v>0</v>
          </cell>
          <cell r="K669">
            <v>0</v>
          </cell>
          <cell r="L669">
            <v>1811000523</v>
          </cell>
        </row>
        <row r="670">
          <cell r="C670">
            <v>152</v>
          </cell>
          <cell r="G670">
            <v>74</v>
          </cell>
          <cell r="I670" t="str">
            <v>מינהל החינוך</v>
          </cell>
          <cell r="J670">
            <v>0</v>
          </cell>
          <cell r="K670">
            <v>0</v>
          </cell>
          <cell r="L670">
            <v>1811000540</v>
          </cell>
        </row>
        <row r="671">
          <cell r="C671">
            <v>152</v>
          </cell>
          <cell r="G671">
            <v>74</v>
          </cell>
          <cell r="I671" t="str">
            <v>מינהל החינוך</v>
          </cell>
          <cell r="J671">
            <v>0</v>
          </cell>
          <cell r="K671">
            <v>0</v>
          </cell>
          <cell r="L671">
            <v>1811000570</v>
          </cell>
        </row>
        <row r="672">
          <cell r="C672">
            <v>152</v>
          </cell>
          <cell r="G672">
            <v>74</v>
          </cell>
          <cell r="I672" t="str">
            <v>מינהל החינוך</v>
          </cell>
          <cell r="J672">
            <v>0</v>
          </cell>
          <cell r="K672">
            <v>0</v>
          </cell>
          <cell r="L672">
            <v>1811000750</v>
          </cell>
        </row>
        <row r="673">
          <cell r="C673">
            <v>152</v>
          </cell>
          <cell r="G673">
            <v>74</v>
          </cell>
          <cell r="I673" t="str">
            <v>מינהל החינוך</v>
          </cell>
          <cell r="J673">
            <v>0</v>
          </cell>
          <cell r="K673">
            <v>0</v>
          </cell>
          <cell r="L673">
            <v>1811000780</v>
          </cell>
        </row>
        <row r="674">
          <cell r="C674">
            <v>152</v>
          </cell>
          <cell r="G674">
            <v>74</v>
          </cell>
          <cell r="I674" t="str">
            <v>מינהל החינוך</v>
          </cell>
          <cell r="J674">
            <v>0</v>
          </cell>
          <cell r="K674">
            <v>0</v>
          </cell>
          <cell r="L674">
            <v>1811000850</v>
          </cell>
        </row>
        <row r="675">
          <cell r="C675">
            <v>152</v>
          </cell>
          <cell r="G675">
            <v>74</v>
          </cell>
          <cell r="I675" t="str">
            <v>מינהל החינוך</v>
          </cell>
          <cell r="J675">
            <v>0</v>
          </cell>
          <cell r="K675">
            <v>0</v>
          </cell>
          <cell r="L675">
            <v>1811000930</v>
          </cell>
        </row>
        <row r="676">
          <cell r="C676">
            <v>152</v>
          </cell>
          <cell r="G676">
            <v>74</v>
          </cell>
          <cell r="I676" t="str">
            <v>מינהל החינוך</v>
          </cell>
          <cell r="J676">
            <v>0</v>
          </cell>
          <cell r="K676">
            <v>0</v>
          </cell>
          <cell r="L676">
            <v>1811100110</v>
          </cell>
        </row>
        <row r="677">
          <cell r="C677">
            <v>152</v>
          </cell>
          <cell r="G677">
            <v>74</v>
          </cell>
          <cell r="I677" t="str">
            <v>מינהל החינוך</v>
          </cell>
          <cell r="J677">
            <v>0</v>
          </cell>
          <cell r="K677">
            <v>0</v>
          </cell>
          <cell r="L677">
            <v>1811100310</v>
          </cell>
        </row>
        <row r="678">
          <cell r="C678">
            <v>152</v>
          </cell>
          <cell r="G678">
            <v>74</v>
          </cell>
          <cell r="I678" t="str">
            <v>מינהל החינוך</v>
          </cell>
          <cell r="J678">
            <v>0</v>
          </cell>
          <cell r="K678">
            <v>0</v>
          </cell>
          <cell r="L678">
            <v>1811100350</v>
          </cell>
        </row>
        <row r="679">
          <cell r="C679">
            <v>152</v>
          </cell>
          <cell r="G679">
            <v>74</v>
          </cell>
          <cell r="I679" t="str">
            <v>מינהל החינוך</v>
          </cell>
          <cell r="J679">
            <v>0</v>
          </cell>
          <cell r="K679">
            <v>0</v>
          </cell>
          <cell r="L679">
            <v>1811100541</v>
          </cell>
        </row>
        <row r="680">
          <cell r="C680">
            <v>152</v>
          </cell>
          <cell r="G680">
            <v>74</v>
          </cell>
          <cell r="I680" t="str">
            <v>גני ילדים גיל חובה</v>
          </cell>
          <cell r="J680">
            <v>0</v>
          </cell>
          <cell r="K680">
            <v>0</v>
          </cell>
          <cell r="L680">
            <v>1812200110</v>
          </cell>
        </row>
        <row r="681">
          <cell r="C681">
            <v>152</v>
          </cell>
          <cell r="G681">
            <v>74</v>
          </cell>
          <cell r="I681" t="str">
            <v>גני ילדים גיל חובה</v>
          </cell>
          <cell r="J681">
            <v>0</v>
          </cell>
          <cell r="K681">
            <v>0</v>
          </cell>
          <cell r="L681">
            <v>1812200210</v>
          </cell>
        </row>
        <row r="682">
          <cell r="C682">
            <v>152</v>
          </cell>
          <cell r="G682">
            <v>74</v>
          </cell>
          <cell r="I682" t="str">
            <v>גני ילדים גיל חובה</v>
          </cell>
          <cell r="J682">
            <v>0</v>
          </cell>
          <cell r="K682">
            <v>0</v>
          </cell>
          <cell r="L682">
            <v>1812200350</v>
          </cell>
        </row>
        <row r="683">
          <cell r="C683">
            <v>152</v>
          </cell>
          <cell r="G683">
            <v>74</v>
          </cell>
          <cell r="I683" t="str">
            <v>גני ילדים גיל חובה</v>
          </cell>
          <cell r="J683">
            <v>0</v>
          </cell>
          <cell r="K683">
            <v>0</v>
          </cell>
          <cell r="L683">
            <v>1812200430</v>
          </cell>
        </row>
        <row r="684">
          <cell r="C684">
            <v>152</v>
          </cell>
          <cell r="G684">
            <v>74</v>
          </cell>
          <cell r="I684" t="str">
            <v>גני ילדים גיל חובה</v>
          </cell>
          <cell r="J684">
            <v>0</v>
          </cell>
          <cell r="K684">
            <v>0</v>
          </cell>
          <cell r="L684">
            <v>1812200431</v>
          </cell>
        </row>
        <row r="685">
          <cell r="C685">
            <v>152</v>
          </cell>
          <cell r="G685">
            <v>74</v>
          </cell>
          <cell r="I685" t="str">
            <v>גני ילדים גיל חובה</v>
          </cell>
          <cell r="J685">
            <v>0</v>
          </cell>
          <cell r="K685">
            <v>0</v>
          </cell>
          <cell r="L685">
            <v>1812200432</v>
          </cell>
        </row>
        <row r="686">
          <cell r="C686">
            <v>152</v>
          </cell>
          <cell r="G686">
            <v>74</v>
          </cell>
          <cell r="I686" t="str">
            <v>גני ילדים גיל חובה</v>
          </cell>
          <cell r="J686">
            <v>0</v>
          </cell>
          <cell r="K686">
            <v>0</v>
          </cell>
          <cell r="L686">
            <v>1812200470</v>
          </cell>
        </row>
        <row r="687">
          <cell r="C687">
            <v>152</v>
          </cell>
          <cell r="G687">
            <v>74</v>
          </cell>
          <cell r="I687" t="str">
            <v>גני ילדים גיל חובה</v>
          </cell>
          <cell r="J687">
            <v>0</v>
          </cell>
          <cell r="K687">
            <v>0</v>
          </cell>
          <cell r="L687">
            <v>1812200720</v>
          </cell>
        </row>
        <row r="688">
          <cell r="C688">
            <v>152</v>
          </cell>
          <cell r="G688">
            <v>74</v>
          </cell>
          <cell r="I688" t="str">
            <v>גני ילדים גיל חובה</v>
          </cell>
          <cell r="J688">
            <v>0</v>
          </cell>
          <cell r="K688">
            <v>0</v>
          </cell>
          <cell r="L688">
            <v>1812200750</v>
          </cell>
        </row>
        <row r="689">
          <cell r="C689">
            <v>152</v>
          </cell>
          <cell r="G689">
            <v>75</v>
          </cell>
          <cell r="I689" t="str">
            <v>גני ילדים טרום חובה</v>
          </cell>
          <cell r="J689">
            <v>0</v>
          </cell>
          <cell r="K689">
            <v>0</v>
          </cell>
          <cell r="L689">
            <v>1812300110</v>
          </cell>
        </row>
        <row r="690">
          <cell r="C690">
            <v>152</v>
          </cell>
          <cell r="G690">
            <v>75</v>
          </cell>
          <cell r="I690" t="str">
            <v>גני ילדים טרום חובה</v>
          </cell>
          <cell r="J690">
            <v>0</v>
          </cell>
          <cell r="K690">
            <v>0</v>
          </cell>
          <cell r="L690">
            <v>1812300350</v>
          </cell>
        </row>
        <row r="691">
          <cell r="C691">
            <v>152</v>
          </cell>
          <cell r="G691">
            <v>75</v>
          </cell>
          <cell r="I691" t="str">
            <v>גני ילדים טרום חובה</v>
          </cell>
          <cell r="J691">
            <v>0</v>
          </cell>
          <cell r="K691">
            <v>0</v>
          </cell>
          <cell r="L691">
            <v>1812300410</v>
          </cell>
        </row>
        <row r="692">
          <cell r="C692">
            <v>151</v>
          </cell>
          <cell r="G692">
            <v>76</v>
          </cell>
          <cell r="I692" t="str">
            <v>גני ילדים טרום חובה</v>
          </cell>
          <cell r="J692">
            <v>0</v>
          </cell>
          <cell r="K692">
            <v>0</v>
          </cell>
          <cell r="L692">
            <v>1812300420</v>
          </cell>
        </row>
        <row r="693">
          <cell r="C693">
            <v>152</v>
          </cell>
          <cell r="G693">
            <v>76</v>
          </cell>
          <cell r="I693" t="str">
            <v>גני ילדים טרום חובה</v>
          </cell>
          <cell r="J693">
            <v>0</v>
          </cell>
          <cell r="K693">
            <v>0</v>
          </cell>
          <cell r="L693">
            <v>1812300430</v>
          </cell>
        </row>
        <row r="694">
          <cell r="C694">
            <v>152</v>
          </cell>
          <cell r="G694">
            <v>76</v>
          </cell>
          <cell r="I694" t="str">
            <v>גני ילדים טרום חובה</v>
          </cell>
          <cell r="J694">
            <v>0</v>
          </cell>
          <cell r="K694">
            <v>0</v>
          </cell>
          <cell r="L694">
            <v>1812300470</v>
          </cell>
        </row>
        <row r="695">
          <cell r="C695">
            <v>152</v>
          </cell>
          <cell r="G695">
            <v>76</v>
          </cell>
          <cell r="I695" t="str">
            <v>גני ילדים טרום חובה</v>
          </cell>
          <cell r="J695">
            <v>0</v>
          </cell>
          <cell r="K695">
            <v>0</v>
          </cell>
          <cell r="L695">
            <v>1812300540</v>
          </cell>
        </row>
        <row r="696">
          <cell r="C696">
            <v>151</v>
          </cell>
          <cell r="G696">
            <v>76</v>
          </cell>
          <cell r="I696" t="str">
            <v>גני ילדים טרום חובה</v>
          </cell>
          <cell r="J696">
            <v>0</v>
          </cell>
          <cell r="K696">
            <v>0</v>
          </cell>
          <cell r="L696">
            <v>1812300720</v>
          </cell>
        </row>
        <row r="697">
          <cell r="C697">
            <v>152</v>
          </cell>
          <cell r="G697">
            <v>77</v>
          </cell>
          <cell r="I697" t="str">
            <v>גני ילדים טרום חובה</v>
          </cell>
          <cell r="J697">
            <v>0</v>
          </cell>
          <cell r="K697">
            <v>0</v>
          </cell>
          <cell r="L697">
            <v>1812300735</v>
          </cell>
        </row>
        <row r="698">
          <cell r="C698">
            <v>152</v>
          </cell>
          <cell r="G698">
            <v>77</v>
          </cell>
          <cell r="I698" t="str">
            <v>גני ילדים טרום חובה</v>
          </cell>
          <cell r="J698">
            <v>0</v>
          </cell>
          <cell r="K698">
            <v>0</v>
          </cell>
          <cell r="L698">
            <v>1812300750</v>
          </cell>
        </row>
        <row r="699">
          <cell r="C699">
            <v>152</v>
          </cell>
          <cell r="G699">
            <v>77</v>
          </cell>
          <cell r="I699" t="str">
            <v>גני ילדים טרום חובה</v>
          </cell>
          <cell r="J699">
            <v>0</v>
          </cell>
          <cell r="K699">
            <v>0</v>
          </cell>
          <cell r="L699">
            <v>1812300760</v>
          </cell>
        </row>
        <row r="700">
          <cell r="C700">
            <v>152</v>
          </cell>
          <cell r="G700">
            <v>77</v>
          </cell>
          <cell r="I700" t="str">
            <v>גני ילדים טרום חובה</v>
          </cell>
          <cell r="J700">
            <v>0</v>
          </cell>
          <cell r="K700">
            <v>0</v>
          </cell>
          <cell r="L700">
            <v>1812300771</v>
          </cell>
        </row>
        <row r="701">
          <cell r="C701">
            <v>151</v>
          </cell>
          <cell r="G701">
            <v>78</v>
          </cell>
          <cell r="I701" t="str">
            <v>גני ילדים טרום חובה</v>
          </cell>
          <cell r="J701">
            <v>0</v>
          </cell>
          <cell r="K701">
            <v>0</v>
          </cell>
          <cell r="L701">
            <v>1812300820</v>
          </cell>
        </row>
        <row r="702">
          <cell r="C702">
            <v>152</v>
          </cell>
          <cell r="G702">
            <v>78</v>
          </cell>
          <cell r="I702" t="str">
            <v>גני ילדים טרום חובה</v>
          </cell>
          <cell r="J702">
            <v>0</v>
          </cell>
          <cell r="K702">
            <v>0</v>
          </cell>
          <cell r="L702">
            <v>1812300930</v>
          </cell>
        </row>
        <row r="703">
          <cell r="C703">
            <v>162</v>
          </cell>
          <cell r="G703">
            <v>81</v>
          </cell>
          <cell r="I703" t="str">
            <v>גני ילדים טרום חובה</v>
          </cell>
          <cell r="J703">
            <v>0</v>
          </cell>
          <cell r="K703">
            <v>0</v>
          </cell>
          <cell r="L703">
            <v>1812310414</v>
          </cell>
        </row>
        <row r="704">
          <cell r="C704">
            <v>162</v>
          </cell>
          <cell r="G704">
            <v>81</v>
          </cell>
          <cell r="I704" t="str">
            <v>גני ילדים טרום חובה</v>
          </cell>
          <cell r="J704">
            <v>0</v>
          </cell>
          <cell r="K704">
            <v>0</v>
          </cell>
          <cell r="L704">
            <v>1812350731</v>
          </cell>
        </row>
        <row r="705">
          <cell r="C705">
            <v>162</v>
          </cell>
          <cell r="G705">
            <v>81</v>
          </cell>
          <cell r="I705" t="str">
            <v>גני מועדון וצהרונים</v>
          </cell>
          <cell r="J705">
            <v>0</v>
          </cell>
          <cell r="K705">
            <v>0</v>
          </cell>
          <cell r="L705">
            <v>1812500110</v>
          </cell>
        </row>
        <row r="706">
          <cell r="C706">
            <v>162</v>
          </cell>
          <cell r="G706">
            <v>81</v>
          </cell>
          <cell r="I706" t="str">
            <v>גני מועדון וצהרונים</v>
          </cell>
          <cell r="J706">
            <v>0</v>
          </cell>
          <cell r="K706">
            <v>0</v>
          </cell>
          <cell r="L706">
            <v>1812500150</v>
          </cell>
        </row>
        <row r="707">
          <cell r="C707">
            <v>162</v>
          </cell>
          <cell r="G707">
            <v>81</v>
          </cell>
          <cell r="I707" t="str">
            <v>גני מועדון וצהרונים</v>
          </cell>
          <cell r="J707">
            <v>0</v>
          </cell>
          <cell r="K707">
            <v>0</v>
          </cell>
          <cell r="L707">
            <v>1812500210</v>
          </cell>
        </row>
        <row r="708">
          <cell r="C708">
            <v>162</v>
          </cell>
          <cell r="G708">
            <v>81</v>
          </cell>
          <cell r="I708" t="str">
            <v>גני מועדון וצהרונים</v>
          </cell>
          <cell r="J708">
            <v>0</v>
          </cell>
          <cell r="K708">
            <v>0</v>
          </cell>
          <cell r="L708">
            <v>1812500750</v>
          </cell>
        </row>
        <row r="709">
          <cell r="C709">
            <v>162</v>
          </cell>
          <cell r="G709">
            <v>81</v>
          </cell>
          <cell r="I709" t="str">
            <v>גני מועדון וצהרונים</v>
          </cell>
          <cell r="J709">
            <v>0</v>
          </cell>
          <cell r="K709">
            <v>0</v>
          </cell>
          <cell r="L709">
            <v>1812500760</v>
          </cell>
        </row>
        <row r="710">
          <cell r="C710">
            <v>162</v>
          </cell>
          <cell r="G710">
            <v>81</v>
          </cell>
          <cell r="I710" t="str">
            <v>גני מועדון וצהרונים</v>
          </cell>
          <cell r="J710">
            <v>0</v>
          </cell>
          <cell r="K710">
            <v>0</v>
          </cell>
          <cell r="L710">
            <v>1812501110</v>
          </cell>
        </row>
        <row r="711">
          <cell r="C711">
            <v>162</v>
          </cell>
          <cell r="G711">
            <v>81</v>
          </cell>
          <cell r="I711" t="str">
            <v>גני מועדון וצהרונים</v>
          </cell>
          <cell r="J711">
            <v>0</v>
          </cell>
          <cell r="K711">
            <v>0</v>
          </cell>
          <cell r="L711">
            <v>1812501210</v>
          </cell>
        </row>
        <row r="712">
          <cell r="C712">
            <v>162</v>
          </cell>
          <cell r="G712">
            <v>81</v>
          </cell>
          <cell r="I712" t="str">
            <v>גני מועדון וצהרונים</v>
          </cell>
          <cell r="J712">
            <v>0</v>
          </cell>
          <cell r="K712">
            <v>0</v>
          </cell>
          <cell r="L712">
            <v>1812501800</v>
          </cell>
        </row>
        <row r="713">
          <cell r="C713">
            <v>162</v>
          </cell>
          <cell r="G713">
            <v>81</v>
          </cell>
          <cell r="I713" t="str">
            <v>גני מועדון וצהרונים</v>
          </cell>
          <cell r="J713">
            <v>0</v>
          </cell>
          <cell r="K713">
            <v>0</v>
          </cell>
          <cell r="L713">
            <v>1812502110</v>
          </cell>
        </row>
        <row r="714">
          <cell r="C714">
            <v>162</v>
          </cell>
          <cell r="G714">
            <v>81</v>
          </cell>
          <cell r="I714" t="str">
            <v>גני מועדון וצהרונים</v>
          </cell>
          <cell r="J714">
            <v>0</v>
          </cell>
          <cell r="K714">
            <v>0</v>
          </cell>
          <cell r="L714">
            <v>1812502210</v>
          </cell>
        </row>
        <row r="715">
          <cell r="C715">
            <v>162</v>
          </cell>
          <cell r="G715">
            <v>81</v>
          </cell>
          <cell r="I715" t="str">
            <v>גני מועדון וצהרונים</v>
          </cell>
          <cell r="J715">
            <v>0</v>
          </cell>
          <cell r="K715">
            <v>0</v>
          </cell>
          <cell r="L715">
            <v>1812503110</v>
          </cell>
        </row>
        <row r="716">
          <cell r="C716">
            <v>162</v>
          </cell>
          <cell r="G716">
            <v>81</v>
          </cell>
          <cell r="I716" t="str">
            <v>גני מועדון וצהרונים</v>
          </cell>
          <cell r="J716">
            <v>0</v>
          </cell>
          <cell r="K716">
            <v>0</v>
          </cell>
          <cell r="L716">
            <v>1812503210</v>
          </cell>
        </row>
        <row r="717">
          <cell r="C717">
            <v>172</v>
          </cell>
          <cell r="G717">
            <v>81</v>
          </cell>
          <cell r="I717" t="str">
            <v>גני מועדון וצהרונים</v>
          </cell>
          <cell r="J717">
            <v>0</v>
          </cell>
          <cell r="K717">
            <v>0</v>
          </cell>
          <cell r="L717">
            <v>1812504110</v>
          </cell>
        </row>
        <row r="718">
          <cell r="C718">
            <v>151</v>
          </cell>
          <cell r="G718">
            <v>81</v>
          </cell>
          <cell r="I718" t="str">
            <v>גני מועדון וצהרונים</v>
          </cell>
          <cell r="J718">
            <v>0</v>
          </cell>
          <cell r="K718">
            <v>0</v>
          </cell>
          <cell r="L718">
            <v>1812504210</v>
          </cell>
        </row>
        <row r="719">
          <cell r="C719">
            <v>161</v>
          </cell>
          <cell r="G719">
            <v>81</v>
          </cell>
          <cell r="I719" t="str">
            <v>גני מועדון וצהרונים</v>
          </cell>
          <cell r="J719">
            <v>0</v>
          </cell>
          <cell r="K719">
            <v>0</v>
          </cell>
          <cell r="L719">
            <v>1812505110</v>
          </cell>
        </row>
        <row r="720">
          <cell r="C720">
            <v>161</v>
          </cell>
          <cell r="G720">
            <v>81</v>
          </cell>
          <cell r="I720" t="str">
            <v>גני מועדון וצהרונים</v>
          </cell>
          <cell r="J720">
            <v>0</v>
          </cell>
          <cell r="K720">
            <v>0</v>
          </cell>
          <cell r="L720">
            <v>1812505210</v>
          </cell>
        </row>
        <row r="721">
          <cell r="C721">
            <v>162</v>
          </cell>
          <cell r="G721">
            <v>81</v>
          </cell>
          <cell r="I721" t="str">
            <v>גני מועדון וצהרונים</v>
          </cell>
          <cell r="J721">
            <v>0</v>
          </cell>
          <cell r="K721">
            <v>0</v>
          </cell>
          <cell r="L721">
            <v>1812507110</v>
          </cell>
        </row>
        <row r="722">
          <cell r="C722">
            <v>161</v>
          </cell>
          <cell r="G722">
            <v>81</v>
          </cell>
          <cell r="I722" t="str">
            <v>גני מועדון וצהרונים</v>
          </cell>
          <cell r="J722">
            <v>0</v>
          </cell>
          <cell r="K722">
            <v>0</v>
          </cell>
          <cell r="L722">
            <v>1812508110</v>
          </cell>
        </row>
        <row r="723">
          <cell r="C723">
            <v>161</v>
          </cell>
          <cell r="G723">
            <v>81</v>
          </cell>
          <cell r="I723" t="str">
            <v>גני מועדון וצהרונים</v>
          </cell>
          <cell r="J723">
            <v>0</v>
          </cell>
          <cell r="K723">
            <v>0</v>
          </cell>
          <cell r="L723">
            <v>1812508210</v>
          </cell>
        </row>
        <row r="724">
          <cell r="C724">
            <v>161</v>
          </cell>
          <cell r="G724">
            <v>81</v>
          </cell>
          <cell r="I724" t="str">
            <v>גני מועדון וצהרונים</v>
          </cell>
          <cell r="J724">
            <v>0</v>
          </cell>
          <cell r="K724">
            <v>0</v>
          </cell>
          <cell r="L724">
            <v>1812510414</v>
          </cell>
        </row>
        <row r="725">
          <cell r="C725">
            <v>162</v>
          </cell>
          <cell r="G725">
            <v>81</v>
          </cell>
          <cell r="I725" t="str">
            <v>קיטנה/חודש לימודים נוסף לגנ"י</v>
          </cell>
          <cell r="J725">
            <v>0</v>
          </cell>
          <cell r="K725">
            <v>0</v>
          </cell>
          <cell r="L725">
            <v>1812800110</v>
          </cell>
        </row>
        <row r="726">
          <cell r="C726">
            <v>162</v>
          </cell>
          <cell r="G726">
            <v>81</v>
          </cell>
          <cell r="I726" t="str">
            <v>קיטנה/חודש לימודים נוסף לגנ"י</v>
          </cell>
          <cell r="J726">
            <v>0</v>
          </cell>
          <cell r="K726">
            <v>0</v>
          </cell>
          <cell r="L726">
            <v>1812801110</v>
          </cell>
        </row>
        <row r="727">
          <cell r="C727">
            <v>162</v>
          </cell>
          <cell r="G727">
            <v>81</v>
          </cell>
          <cell r="I727" t="str">
            <v>בתי"ס יסודיים</v>
          </cell>
          <cell r="J727">
            <v>0</v>
          </cell>
          <cell r="K727">
            <v>0</v>
          </cell>
          <cell r="L727">
            <v>1813200110</v>
          </cell>
        </row>
        <row r="728">
          <cell r="C728">
            <v>162</v>
          </cell>
          <cell r="G728">
            <v>81</v>
          </cell>
          <cell r="I728" t="str">
            <v>בתי"ס יסודיים</v>
          </cell>
          <cell r="J728">
            <v>0</v>
          </cell>
          <cell r="K728">
            <v>0</v>
          </cell>
          <cell r="L728">
            <v>1813200210</v>
          </cell>
        </row>
        <row r="729">
          <cell r="C729">
            <v>162</v>
          </cell>
          <cell r="G729">
            <v>81</v>
          </cell>
          <cell r="I729" t="str">
            <v>בתי"ס יסודיים</v>
          </cell>
          <cell r="J729">
            <v>0</v>
          </cell>
          <cell r="K729">
            <v>0</v>
          </cell>
          <cell r="L729">
            <v>1813200310</v>
          </cell>
        </row>
        <row r="730">
          <cell r="C730">
            <v>162</v>
          </cell>
          <cell r="G730">
            <v>81</v>
          </cell>
          <cell r="I730" t="str">
            <v>בתי"ס יסודיים</v>
          </cell>
          <cell r="J730">
            <v>0</v>
          </cell>
          <cell r="K730">
            <v>0</v>
          </cell>
          <cell r="L730">
            <v>1813200350</v>
          </cell>
        </row>
        <row r="731">
          <cell r="C731">
            <v>161</v>
          </cell>
          <cell r="G731">
            <v>81</v>
          </cell>
          <cell r="I731" t="str">
            <v>בתי"ס יסודיים</v>
          </cell>
          <cell r="J731">
            <v>0</v>
          </cell>
          <cell r="K731">
            <v>0</v>
          </cell>
          <cell r="L731">
            <v>1813200410</v>
          </cell>
        </row>
        <row r="732">
          <cell r="C732">
            <v>161</v>
          </cell>
          <cell r="G732">
            <v>81</v>
          </cell>
          <cell r="I732" t="str">
            <v>בתי"ס יסודיים</v>
          </cell>
          <cell r="J732">
            <v>0</v>
          </cell>
          <cell r="K732">
            <v>0</v>
          </cell>
          <cell r="L732">
            <v>1813200414</v>
          </cell>
        </row>
        <row r="733">
          <cell r="C733">
            <v>162</v>
          </cell>
          <cell r="G733">
            <v>81</v>
          </cell>
          <cell r="I733" t="str">
            <v>בתי"ס יסודיים</v>
          </cell>
          <cell r="J733">
            <v>0</v>
          </cell>
          <cell r="K733">
            <v>0</v>
          </cell>
          <cell r="L733">
            <v>1813200430</v>
          </cell>
        </row>
        <row r="734">
          <cell r="C734">
            <v>162</v>
          </cell>
          <cell r="G734">
            <v>81</v>
          </cell>
          <cell r="I734" t="str">
            <v>בתי"ס יסודיים</v>
          </cell>
          <cell r="J734">
            <v>0</v>
          </cell>
          <cell r="K734">
            <v>0</v>
          </cell>
          <cell r="L734">
            <v>1813200433</v>
          </cell>
        </row>
        <row r="735">
          <cell r="C735">
            <v>162</v>
          </cell>
          <cell r="G735">
            <v>81</v>
          </cell>
          <cell r="I735" t="str">
            <v>בתי"ס יסודיים</v>
          </cell>
          <cell r="J735">
            <v>0</v>
          </cell>
          <cell r="K735">
            <v>0</v>
          </cell>
          <cell r="L735">
            <v>1813200450</v>
          </cell>
        </row>
        <row r="736">
          <cell r="C736">
            <v>162</v>
          </cell>
          <cell r="G736">
            <v>81</v>
          </cell>
          <cell r="I736" t="str">
            <v>בתי"ס יסודיים</v>
          </cell>
          <cell r="J736">
            <v>0</v>
          </cell>
          <cell r="K736">
            <v>0</v>
          </cell>
          <cell r="L736">
            <v>1813200470</v>
          </cell>
        </row>
        <row r="737">
          <cell r="C737">
            <v>162</v>
          </cell>
          <cell r="G737">
            <v>81</v>
          </cell>
          <cell r="I737" t="str">
            <v>בתי"ס יסודיים</v>
          </cell>
          <cell r="J737">
            <v>0</v>
          </cell>
          <cell r="K737">
            <v>0</v>
          </cell>
          <cell r="L737">
            <v>1813200540</v>
          </cell>
        </row>
        <row r="738">
          <cell r="C738">
            <v>162</v>
          </cell>
          <cell r="G738">
            <v>81</v>
          </cell>
          <cell r="I738" t="str">
            <v>בתי"ס יסודיים</v>
          </cell>
          <cell r="J738">
            <v>0</v>
          </cell>
          <cell r="K738">
            <v>0</v>
          </cell>
          <cell r="L738">
            <v>1813200750</v>
          </cell>
        </row>
        <row r="739">
          <cell r="C739">
            <v>162</v>
          </cell>
          <cell r="G739">
            <v>81</v>
          </cell>
          <cell r="I739" t="str">
            <v>בתי"ס יסודיים</v>
          </cell>
          <cell r="J739">
            <v>0</v>
          </cell>
          <cell r="K739">
            <v>0</v>
          </cell>
          <cell r="L739">
            <v>1813200760</v>
          </cell>
        </row>
        <row r="740">
          <cell r="C740">
            <v>162</v>
          </cell>
          <cell r="G740">
            <v>81</v>
          </cell>
          <cell r="I740" t="str">
            <v>בתי"ס יסודיים</v>
          </cell>
          <cell r="J740">
            <v>0</v>
          </cell>
          <cell r="K740">
            <v>0</v>
          </cell>
          <cell r="L740">
            <v>1813200761</v>
          </cell>
        </row>
        <row r="741">
          <cell r="C741">
            <v>162</v>
          </cell>
          <cell r="G741">
            <v>81</v>
          </cell>
          <cell r="I741" t="str">
            <v>בתי"ס יסודיים</v>
          </cell>
          <cell r="J741">
            <v>0</v>
          </cell>
          <cell r="K741">
            <v>0</v>
          </cell>
          <cell r="L741">
            <v>1813200780</v>
          </cell>
        </row>
        <row r="742">
          <cell r="C742">
            <v>162</v>
          </cell>
          <cell r="G742">
            <v>81</v>
          </cell>
          <cell r="I742" t="str">
            <v>בתי"ס יסודיים</v>
          </cell>
          <cell r="J742">
            <v>0</v>
          </cell>
          <cell r="K742">
            <v>0</v>
          </cell>
          <cell r="L742">
            <v>1813201110</v>
          </cell>
        </row>
        <row r="743">
          <cell r="C743">
            <v>162</v>
          </cell>
          <cell r="G743">
            <v>81</v>
          </cell>
          <cell r="I743" t="str">
            <v>בתי"ס יסודיים</v>
          </cell>
          <cell r="J743">
            <v>0</v>
          </cell>
          <cell r="K743">
            <v>0</v>
          </cell>
          <cell r="L743">
            <v>1813201210</v>
          </cell>
        </row>
        <row r="744">
          <cell r="C744">
            <v>162</v>
          </cell>
          <cell r="G744">
            <v>81</v>
          </cell>
          <cell r="I744" t="str">
            <v>בתי"ס יסודיים</v>
          </cell>
          <cell r="J744">
            <v>0</v>
          </cell>
          <cell r="K744">
            <v>0</v>
          </cell>
          <cell r="L744">
            <v>1813201310</v>
          </cell>
        </row>
        <row r="745">
          <cell r="C745">
            <v>162</v>
          </cell>
          <cell r="G745">
            <v>81</v>
          </cell>
          <cell r="I745" t="str">
            <v>בתי"ס יסודיים</v>
          </cell>
          <cell r="J745">
            <v>0</v>
          </cell>
          <cell r="K745">
            <v>0</v>
          </cell>
          <cell r="L745">
            <v>1813201350</v>
          </cell>
        </row>
        <row r="746">
          <cell r="C746">
            <v>162</v>
          </cell>
          <cell r="G746">
            <v>81</v>
          </cell>
          <cell r="I746" t="str">
            <v>בתי"ס יסודיים</v>
          </cell>
          <cell r="J746">
            <v>0</v>
          </cell>
          <cell r="K746">
            <v>0</v>
          </cell>
          <cell r="L746">
            <v>1813201410</v>
          </cell>
        </row>
        <row r="747">
          <cell r="C747">
            <v>161</v>
          </cell>
          <cell r="G747">
            <v>81</v>
          </cell>
          <cell r="I747" t="str">
            <v>בתי"ס יסודיים</v>
          </cell>
          <cell r="J747">
            <v>0</v>
          </cell>
          <cell r="K747">
            <v>0</v>
          </cell>
          <cell r="L747">
            <v>1813201610</v>
          </cell>
        </row>
        <row r="748">
          <cell r="C748">
            <v>161</v>
          </cell>
          <cell r="G748">
            <v>81</v>
          </cell>
          <cell r="I748" t="str">
            <v>בתי"ס יסודיים</v>
          </cell>
          <cell r="J748">
            <v>0</v>
          </cell>
          <cell r="K748">
            <v>0</v>
          </cell>
          <cell r="L748">
            <v>1813201750</v>
          </cell>
        </row>
        <row r="749">
          <cell r="C749">
            <v>161</v>
          </cell>
          <cell r="G749">
            <v>81</v>
          </cell>
          <cell r="I749" t="str">
            <v>בתי"ס יסודיים</v>
          </cell>
          <cell r="J749">
            <v>0</v>
          </cell>
          <cell r="K749">
            <v>0</v>
          </cell>
          <cell r="L749">
            <v>1813201780</v>
          </cell>
        </row>
        <row r="750">
          <cell r="C750">
            <v>162</v>
          </cell>
          <cell r="G750">
            <v>81</v>
          </cell>
          <cell r="I750" t="str">
            <v>בתי"ס יסודיים</v>
          </cell>
          <cell r="J750">
            <v>0</v>
          </cell>
          <cell r="K750">
            <v>0</v>
          </cell>
          <cell r="L750">
            <v>1813201781</v>
          </cell>
        </row>
        <row r="751">
          <cell r="C751">
            <v>162</v>
          </cell>
          <cell r="G751">
            <v>81</v>
          </cell>
          <cell r="I751" t="str">
            <v>בתי"ס יסודיים</v>
          </cell>
          <cell r="J751">
            <v>0</v>
          </cell>
          <cell r="K751">
            <v>0</v>
          </cell>
          <cell r="L751">
            <v>1813201810</v>
          </cell>
        </row>
        <row r="752">
          <cell r="C752">
            <v>161</v>
          </cell>
          <cell r="G752">
            <v>81</v>
          </cell>
          <cell r="I752" t="str">
            <v>בתי"ס יסודיים</v>
          </cell>
          <cell r="J752">
            <v>0</v>
          </cell>
          <cell r="K752">
            <v>0</v>
          </cell>
          <cell r="L752">
            <v>1813206414</v>
          </cell>
        </row>
        <row r="753">
          <cell r="C753">
            <v>161</v>
          </cell>
          <cell r="G753">
            <v>81</v>
          </cell>
          <cell r="I753" t="str">
            <v>בתי"ס יסודיים</v>
          </cell>
          <cell r="J753">
            <v>0</v>
          </cell>
          <cell r="K753">
            <v>0</v>
          </cell>
          <cell r="L753">
            <v>1813206760</v>
          </cell>
        </row>
        <row r="754">
          <cell r="C754">
            <v>162</v>
          </cell>
          <cell r="G754">
            <v>81</v>
          </cell>
          <cell r="I754" t="str">
            <v>בתי"ס יסודיים</v>
          </cell>
          <cell r="J754">
            <v>0</v>
          </cell>
          <cell r="K754">
            <v>0</v>
          </cell>
          <cell r="L754">
            <v>1813210110</v>
          </cell>
        </row>
        <row r="755">
          <cell r="C755">
            <v>161</v>
          </cell>
          <cell r="G755">
            <v>81</v>
          </cell>
          <cell r="I755" t="str">
            <v>בתי"ס יסודיים</v>
          </cell>
          <cell r="J755">
            <v>0</v>
          </cell>
          <cell r="K755">
            <v>0</v>
          </cell>
          <cell r="L755">
            <v>1813210210</v>
          </cell>
        </row>
        <row r="756">
          <cell r="C756">
            <v>161</v>
          </cell>
          <cell r="G756">
            <v>81</v>
          </cell>
          <cell r="I756" t="str">
            <v>בתי"ס יסודיים</v>
          </cell>
          <cell r="J756">
            <v>0</v>
          </cell>
          <cell r="K756">
            <v>0</v>
          </cell>
          <cell r="L756">
            <v>1813210350</v>
          </cell>
        </row>
        <row r="757">
          <cell r="C757">
            <v>161</v>
          </cell>
          <cell r="G757">
            <v>81</v>
          </cell>
          <cell r="I757" t="str">
            <v>בתי"ס יסודיים</v>
          </cell>
          <cell r="J757">
            <v>0</v>
          </cell>
          <cell r="K757">
            <v>0</v>
          </cell>
          <cell r="L757">
            <v>1813210430</v>
          </cell>
        </row>
        <row r="758">
          <cell r="C758">
            <v>161</v>
          </cell>
          <cell r="G758">
            <v>81</v>
          </cell>
          <cell r="I758" t="str">
            <v>בתי"ס יסודיים</v>
          </cell>
          <cell r="J758">
            <v>0</v>
          </cell>
          <cell r="K758">
            <v>0</v>
          </cell>
          <cell r="L758">
            <v>1813210820</v>
          </cell>
        </row>
        <row r="759">
          <cell r="C759">
            <v>161</v>
          </cell>
          <cell r="G759">
            <v>81</v>
          </cell>
          <cell r="I759" t="str">
            <v>בתי"ס יסודיים</v>
          </cell>
          <cell r="J759">
            <v>0</v>
          </cell>
          <cell r="K759">
            <v>0</v>
          </cell>
          <cell r="L759">
            <v>1813211110</v>
          </cell>
        </row>
        <row r="760">
          <cell r="C760">
            <v>161</v>
          </cell>
          <cell r="G760">
            <v>81</v>
          </cell>
          <cell r="I760" t="str">
            <v>בתי"ס יסודיים</v>
          </cell>
          <cell r="J760">
            <v>0</v>
          </cell>
          <cell r="K760">
            <v>0</v>
          </cell>
          <cell r="L760">
            <v>1813211430</v>
          </cell>
        </row>
        <row r="761">
          <cell r="C761">
            <v>161</v>
          </cell>
          <cell r="G761">
            <v>81</v>
          </cell>
          <cell r="I761" t="str">
            <v>בתי"ס יסודיים</v>
          </cell>
          <cell r="J761">
            <v>0</v>
          </cell>
          <cell r="K761">
            <v>0</v>
          </cell>
          <cell r="L761">
            <v>1813211432</v>
          </cell>
        </row>
        <row r="762">
          <cell r="C762">
            <v>161</v>
          </cell>
          <cell r="G762">
            <v>81</v>
          </cell>
          <cell r="I762" t="str">
            <v>בתי"ס יסודיים</v>
          </cell>
          <cell r="J762">
            <v>0</v>
          </cell>
          <cell r="K762">
            <v>0</v>
          </cell>
          <cell r="L762">
            <v>1813212110</v>
          </cell>
        </row>
        <row r="763">
          <cell r="C763">
            <v>161</v>
          </cell>
          <cell r="G763">
            <v>81</v>
          </cell>
          <cell r="I763" t="str">
            <v>בתי"ס יסודיים</v>
          </cell>
          <cell r="J763">
            <v>0</v>
          </cell>
          <cell r="K763">
            <v>0</v>
          </cell>
          <cell r="L763">
            <v>1813220110</v>
          </cell>
        </row>
        <row r="764">
          <cell r="C764">
            <v>161</v>
          </cell>
          <cell r="G764">
            <v>81</v>
          </cell>
          <cell r="I764" t="str">
            <v>בתי"ס יסודיים</v>
          </cell>
          <cell r="J764">
            <v>0</v>
          </cell>
          <cell r="K764">
            <v>0</v>
          </cell>
          <cell r="L764">
            <v>1813220210</v>
          </cell>
        </row>
        <row r="765">
          <cell r="C765">
            <v>161</v>
          </cell>
          <cell r="G765">
            <v>81</v>
          </cell>
          <cell r="I765" t="str">
            <v>בתי"ס יסודיים</v>
          </cell>
          <cell r="J765">
            <v>0</v>
          </cell>
          <cell r="K765">
            <v>0</v>
          </cell>
          <cell r="L765">
            <v>1813220350</v>
          </cell>
        </row>
        <row r="766">
          <cell r="C766">
            <v>162</v>
          </cell>
          <cell r="G766">
            <v>81</v>
          </cell>
          <cell r="I766" t="str">
            <v>בתי"ס יסודיים</v>
          </cell>
          <cell r="J766">
            <v>0</v>
          </cell>
          <cell r="K766">
            <v>0</v>
          </cell>
          <cell r="L766">
            <v>1813220430</v>
          </cell>
        </row>
        <row r="767">
          <cell r="C767">
            <v>161</v>
          </cell>
          <cell r="G767">
            <v>81</v>
          </cell>
          <cell r="I767" t="str">
            <v>בתי"ס יסודיים</v>
          </cell>
          <cell r="J767">
            <v>0</v>
          </cell>
          <cell r="K767">
            <v>0</v>
          </cell>
          <cell r="L767">
            <v>1813220820</v>
          </cell>
        </row>
        <row r="768">
          <cell r="C768">
            <v>161</v>
          </cell>
          <cell r="G768">
            <v>81</v>
          </cell>
          <cell r="I768" t="str">
            <v>בתי"ס יסודיים</v>
          </cell>
          <cell r="J768">
            <v>0</v>
          </cell>
          <cell r="K768">
            <v>0</v>
          </cell>
          <cell r="L768">
            <v>1813221110</v>
          </cell>
        </row>
        <row r="769">
          <cell r="C769">
            <v>161</v>
          </cell>
          <cell r="G769">
            <v>81</v>
          </cell>
          <cell r="I769" t="str">
            <v>בתי"ס יסודיים</v>
          </cell>
          <cell r="J769">
            <v>0</v>
          </cell>
          <cell r="K769">
            <v>0</v>
          </cell>
          <cell r="L769">
            <v>1813221780</v>
          </cell>
        </row>
        <row r="770">
          <cell r="C770">
            <v>161</v>
          </cell>
          <cell r="G770">
            <v>81</v>
          </cell>
          <cell r="I770" t="str">
            <v>בתי"ס יסודיים</v>
          </cell>
          <cell r="J770">
            <v>0</v>
          </cell>
          <cell r="K770">
            <v>0</v>
          </cell>
          <cell r="L770">
            <v>1813222430</v>
          </cell>
        </row>
        <row r="771">
          <cell r="C771">
            <v>161</v>
          </cell>
          <cell r="G771">
            <v>81</v>
          </cell>
          <cell r="I771" t="str">
            <v>בתי"ס יסודיים</v>
          </cell>
          <cell r="J771">
            <v>0</v>
          </cell>
          <cell r="K771">
            <v>0</v>
          </cell>
          <cell r="L771">
            <v>1813222432</v>
          </cell>
        </row>
        <row r="772">
          <cell r="C772">
            <v>161</v>
          </cell>
          <cell r="G772">
            <v>81</v>
          </cell>
          <cell r="I772" t="str">
            <v>בתי"ס יסודיים</v>
          </cell>
          <cell r="J772">
            <v>0</v>
          </cell>
          <cell r="K772">
            <v>0</v>
          </cell>
          <cell r="L772">
            <v>1813230414</v>
          </cell>
        </row>
        <row r="773">
          <cell r="C773">
            <v>162</v>
          </cell>
          <cell r="G773">
            <v>81</v>
          </cell>
          <cell r="I773" t="str">
            <v>בתי"ס יסודיים</v>
          </cell>
          <cell r="J773">
            <v>0</v>
          </cell>
          <cell r="K773">
            <v>0</v>
          </cell>
          <cell r="L773">
            <v>1813230430</v>
          </cell>
        </row>
        <row r="774">
          <cell r="C774">
            <v>162</v>
          </cell>
          <cell r="G774">
            <v>81</v>
          </cell>
          <cell r="I774" t="str">
            <v>בתי"ס יסודיים</v>
          </cell>
          <cell r="J774">
            <v>0</v>
          </cell>
          <cell r="K774">
            <v>0</v>
          </cell>
          <cell r="L774">
            <v>1813230760</v>
          </cell>
        </row>
        <row r="775">
          <cell r="C775">
            <v>162</v>
          </cell>
          <cell r="G775">
            <v>81</v>
          </cell>
          <cell r="I775" t="str">
            <v>בתי"ס יסודיים</v>
          </cell>
          <cell r="J775">
            <v>0</v>
          </cell>
          <cell r="K775">
            <v>0</v>
          </cell>
          <cell r="L775">
            <v>1813230820</v>
          </cell>
        </row>
        <row r="776">
          <cell r="C776">
            <v>162</v>
          </cell>
          <cell r="G776">
            <v>81</v>
          </cell>
          <cell r="I776" t="str">
            <v>בתי"ס יסודיים</v>
          </cell>
          <cell r="J776">
            <v>0</v>
          </cell>
          <cell r="K776">
            <v>0</v>
          </cell>
          <cell r="L776">
            <v>1813231110</v>
          </cell>
        </row>
        <row r="777">
          <cell r="C777">
            <v>162</v>
          </cell>
          <cell r="G777">
            <v>81</v>
          </cell>
          <cell r="I777" t="str">
            <v>בתי"ס יסודיים</v>
          </cell>
          <cell r="J777">
            <v>0</v>
          </cell>
          <cell r="K777">
            <v>0</v>
          </cell>
          <cell r="L777">
            <v>1813231210</v>
          </cell>
        </row>
        <row r="778">
          <cell r="C778">
            <v>162</v>
          </cell>
          <cell r="G778">
            <v>81</v>
          </cell>
          <cell r="I778" t="str">
            <v>בתי"ס יסודיים</v>
          </cell>
          <cell r="J778">
            <v>0</v>
          </cell>
          <cell r="K778">
            <v>0</v>
          </cell>
          <cell r="L778">
            <v>1813232760</v>
          </cell>
        </row>
        <row r="779">
          <cell r="C779">
            <v>162</v>
          </cell>
          <cell r="G779">
            <v>81</v>
          </cell>
          <cell r="I779" t="str">
            <v>בתי"ס יסודיים</v>
          </cell>
          <cell r="J779">
            <v>0</v>
          </cell>
          <cell r="K779">
            <v>0</v>
          </cell>
          <cell r="L779">
            <v>1813233430</v>
          </cell>
        </row>
        <row r="780">
          <cell r="C780">
            <v>162</v>
          </cell>
          <cell r="G780">
            <v>81</v>
          </cell>
          <cell r="I780" t="str">
            <v>בתי"ס יסודיים</v>
          </cell>
          <cell r="J780">
            <v>0</v>
          </cell>
          <cell r="K780">
            <v>0</v>
          </cell>
          <cell r="L780">
            <v>1813233432</v>
          </cell>
        </row>
        <row r="781">
          <cell r="C781">
            <v>162</v>
          </cell>
          <cell r="G781">
            <v>81</v>
          </cell>
          <cell r="I781" t="str">
            <v>בתי"ס יסודיים</v>
          </cell>
          <cell r="J781">
            <v>0</v>
          </cell>
          <cell r="K781">
            <v>0</v>
          </cell>
          <cell r="L781">
            <v>1813240430</v>
          </cell>
        </row>
        <row r="782">
          <cell r="C782">
            <v>162</v>
          </cell>
          <cell r="G782">
            <v>81</v>
          </cell>
          <cell r="I782" t="str">
            <v>בתי"ס יסודיים</v>
          </cell>
          <cell r="J782">
            <v>0</v>
          </cell>
          <cell r="K782">
            <v>0</v>
          </cell>
          <cell r="L782">
            <v>1813240820</v>
          </cell>
        </row>
        <row r="783">
          <cell r="C783">
            <v>162</v>
          </cell>
          <cell r="G783">
            <v>81</v>
          </cell>
          <cell r="I783" t="str">
            <v>בתי"ס יסודיים</v>
          </cell>
          <cell r="J783">
            <v>0</v>
          </cell>
          <cell r="K783">
            <v>0</v>
          </cell>
          <cell r="L783">
            <v>1813244430</v>
          </cell>
        </row>
        <row r="784">
          <cell r="C784">
            <v>161</v>
          </cell>
          <cell r="G784">
            <v>81</v>
          </cell>
          <cell r="I784" t="str">
            <v>בתי"ס יסודיים</v>
          </cell>
          <cell r="J784">
            <v>0</v>
          </cell>
          <cell r="K784">
            <v>0</v>
          </cell>
          <cell r="L784">
            <v>1813244432</v>
          </cell>
        </row>
        <row r="785">
          <cell r="C785">
            <v>161</v>
          </cell>
          <cell r="G785">
            <v>81</v>
          </cell>
          <cell r="I785" t="str">
            <v>חינוך מיוחד</v>
          </cell>
          <cell r="J785">
            <v>0</v>
          </cell>
          <cell r="K785">
            <v>0</v>
          </cell>
          <cell r="L785">
            <v>1813300410</v>
          </cell>
        </row>
        <row r="786">
          <cell r="C786">
            <v>161</v>
          </cell>
          <cell r="G786">
            <v>81</v>
          </cell>
          <cell r="I786" t="str">
            <v>חינוך מיוחד</v>
          </cell>
          <cell r="J786">
            <v>0</v>
          </cell>
          <cell r="K786">
            <v>0</v>
          </cell>
          <cell r="L786">
            <v>1813300414</v>
          </cell>
        </row>
        <row r="787">
          <cell r="C787">
            <v>161</v>
          </cell>
          <cell r="G787">
            <v>81</v>
          </cell>
          <cell r="I787" t="str">
            <v>חינוך מיוחד</v>
          </cell>
          <cell r="J787">
            <v>0</v>
          </cell>
          <cell r="K787">
            <v>0</v>
          </cell>
          <cell r="L787">
            <v>1813300430</v>
          </cell>
        </row>
        <row r="788">
          <cell r="C788">
            <v>162</v>
          </cell>
          <cell r="G788">
            <v>81</v>
          </cell>
          <cell r="I788" t="str">
            <v>חינוך מיוחד</v>
          </cell>
          <cell r="J788">
            <v>0</v>
          </cell>
          <cell r="K788">
            <v>0</v>
          </cell>
          <cell r="L788">
            <v>1813300540</v>
          </cell>
        </row>
        <row r="789">
          <cell r="C789">
            <v>162</v>
          </cell>
          <cell r="G789">
            <v>81</v>
          </cell>
          <cell r="I789" t="str">
            <v>חינוך מיוחד</v>
          </cell>
          <cell r="J789">
            <v>0</v>
          </cell>
          <cell r="K789">
            <v>0</v>
          </cell>
          <cell r="L789">
            <v>1813300750</v>
          </cell>
        </row>
        <row r="790">
          <cell r="C790">
            <v>162</v>
          </cell>
          <cell r="G790">
            <v>81</v>
          </cell>
          <cell r="I790" t="str">
            <v>חינוך מיוחד</v>
          </cell>
          <cell r="J790">
            <v>0</v>
          </cell>
          <cell r="K790">
            <v>0</v>
          </cell>
          <cell r="L790">
            <v>1813300930</v>
          </cell>
        </row>
        <row r="791">
          <cell r="C791">
            <v>162</v>
          </cell>
          <cell r="G791">
            <v>81</v>
          </cell>
          <cell r="I791" t="str">
            <v>חינוך מיוחד</v>
          </cell>
          <cell r="J791">
            <v>0</v>
          </cell>
          <cell r="K791">
            <v>0</v>
          </cell>
          <cell r="L791">
            <v>1813310110</v>
          </cell>
        </row>
        <row r="792">
          <cell r="C792">
            <v>162</v>
          </cell>
          <cell r="G792">
            <v>81</v>
          </cell>
          <cell r="I792" t="str">
            <v>חינוך מיוחד</v>
          </cell>
          <cell r="J792">
            <v>0</v>
          </cell>
          <cell r="K792">
            <v>0</v>
          </cell>
          <cell r="L792">
            <v>1813310210</v>
          </cell>
        </row>
        <row r="793">
          <cell r="C793">
            <v>162</v>
          </cell>
          <cell r="G793">
            <v>81</v>
          </cell>
          <cell r="I793" t="str">
            <v>חינוך מיוחד</v>
          </cell>
          <cell r="J793">
            <v>0</v>
          </cell>
          <cell r="K793">
            <v>0</v>
          </cell>
          <cell r="L793">
            <v>1813310350</v>
          </cell>
        </row>
        <row r="794">
          <cell r="C794">
            <v>162</v>
          </cell>
          <cell r="G794">
            <v>81</v>
          </cell>
          <cell r="I794" t="str">
            <v>חינוך מיוחד</v>
          </cell>
          <cell r="J794">
            <v>0</v>
          </cell>
          <cell r="K794">
            <v>0</v>
          </cell>
          <cell r="L794">
            <v>1813320110</v>
          </cell>
        </row>
        <row r="795">
          <cell r="C795">
            <v>162</v>
          </cell>
          <cell r="G795">
            <v>81</v>
          </cell>
          <cell r="I795" t="str">
            <v>חינוך מיוחד</v>
          </cell>
          <cell r="J795">
            <v>0</v>
          </cell>
          <cell r="K795">
            <v>0</v>
          </cell>
          <cell r="L795">
            <v>1813320210</v>
          </cell>
        </row>
        <row r="796">
          <cell r="C796">
            <v>161</v>
          </cell>
          <cell r="G796">
            <v>81</v>
          </cell>
          <cell r="I796" t="str">
            <v>חינוך מיוחד</v>
          </cell>
          <cell r="J796">
            <v>0</v>
          </cell>
          <cell r="K796">
            <v>0</v>
          </cell>
          <cell r="L796">
            <v>1813320350</v>
          </cell>
        </row>
        <row r="797">
          <cell r="C797">
            <v>161</v>
          </cell>
          <cell r="G797">
            <v>81</v>
          </cell>
          <cell r="I797" t="str">
            <v>חינוך מיוחד</v>
          </cell>
          <cell r="J797">
            <v>0</v>
          </cell>
          <cell r="K797">
            <v>0</v>
          </cell>
          <cell r="L797">
            <v>1813330110</v>
          </cell>
        </row>
        <row r="798">
          <cell r="C798">
            <v>161</v>
          </cell>
          <cell r="G798">
            <v>81</v>
          </cell>
          <cell r="I798" t="str">
            <v>חינוך מיוחד</v>
          </cell>
          <cell r="J798">
            <v>0</v>
          </cell>
          <cell r="K798">
            <v>0</v>
          </cell>
          <cell r="L798">
            <v>1813330210</v>
          </cell>
        </row>
        <row r="799">
          <cell r="C799">
            <v>162</v>
          </cell>
          <cell r="G799">
            <v>81</v>
          </cell>
          <cell r="I799" t="str">
            <v>חינוך מיוחד</v>
          </cell>
          <cell r="J799">
            <v>0</v>
          </cell>
          <cell r="K799">
            <v>0</v>
          </cell>
          <cell r="L799">
            <v>1813330350</v>
          </cell>
        </row>
        <row r="800">
          <cell r="C800">
            <v>162</v>
          </cell>
          <cell r="G800">
            <v>81</v>
          </cell>
          <cell r="I800" t="str">
            <v>חינוך מיוחד</v>
          </cell>
          <cell r="J800">
            <v>0</v>
          </cell>
          <cell r="K800">
            <v>0</v>
          </cell>
          <cell r="L800">
            <v>1813332210</v>
          </cell>
        </row>
        <row r="801">
          <cell r="C801">
            <v>161</v>
          </cell>
          <cell r="G801">
            <v>81</v>
          </cell>
          <cell r="I801" t="str">
            <v>חוגים לתלמידים מחוננים ומוכשרים</v>
          </cell>
          <cell r="J801">
            <v>0</v>
          </cell>
          <cell r="K801">
            <v>0</v>
          </cell>
          <cell r="L801">
            <v>1813400540</v>
          </cell>
        </row>
        <row r="802">
          <cell r="C802">
            <v>162</v>
          </cell>
          <cell r="G802">
            <v>81</v>
          </cell>
          <cell r="I802" t="str">
            <v>חינוך משלים בבתי"ס</v>
          </cell>
          <cell r="J802">
            <v>0</v>
          </cell>
          <cell r="K802">
            <v>0</v>
          </cell>
          <cell r="L802">
            <v>1813600780</v>
          </cell>
        </row>
        <row r="803">
          <cell r="C803">
            <v>162</v>
          </cell>
          <cell r="G803">
            <v>81</v>
          </cell>
          <cell r="I803" t="str">
            <v>חינוך משלים בבתי"ס</v>
          </cell>
          <cell r="J803">
            <v>0</v>
          </cell>
          <cell r="K803">
            <v>0</v>
          </cell>
          <cell r="L803">
            <v>1813600820</v>
          </cell>
        </row>
        <row r="804">
          <cell r="C804">
            <v>161</v>
          </cell>
          <cell r="G804">
            <v>81</v>
          </cell>
          <cell r="I804" t="str">
            <v>קיטנות/לימודיות וחודש לימוד נוסף</v>
          </cell>
          <cell r="J804">
            <v>0</v>
          </cell>
          <cell r="K804">
            <v>0</v>
          </cell>
          <cell r="L804">
            <v>1813800110</v>
          </cell>
        </row>
        <row r="805">
          <cell r="C805">
            <v>161</v>
          </cell>
          <cell r="G805">
            <v>81</v>
          </cell>
          <cell r="I805" t="str">
            <v>קיטנות/לימודיות וחודש לימוד נוסף</v>
          </cell>
          <cell r="J805">
            <v>0</v>
          </cell>
          <cell r="K805">
            <v>0</v>
          </cell>
          <cell r="L805">
            <v>1813800750</v>
          </cell>
        </row>
        <row r="806">
          <cell r="C806">
            <v>161</v>
          </cell>
          <cell r="G806">
            <v>81</v>
          </cell>
          <cell r="I806" t="str">
            <v>קיטנות/לימודיות וחודש לימוד נוסף</v>
          </cell>
          <cell r="J806">
            <v>0</v>
          </cell>
          <cell r="K806">
            <v>0</v>
          </cell>
          <cell r="L806">
            <v>1813800930</v>
          </cell>
        </row>
        <row r="807">
          <cell r="C807">
            <v>161</v>
          </cell>
          <cell r="G807">
            <v>81</v>
          </cell>
          <cell r="I807" t="str">
            <v>קיטנות/לימודיות וחודש לימוד נוסף</v>
          </cell>
          <cell r="J807">
            <v>0</v>
          </cell>
          <cell r="K807">
            <v>0</v>
          </cell>
          <cell r="L807">
            <v>1813801930</v>
          </cell>
        </row>
        <row r="808">
          <cell r="C808">
            <v>162</v>
          </cell>
          <cell r="G808">
            <v>81</v>
          </cell>
          <cell r="I808" t="str">
            <v>קיטנות/לימודיות וחודש לימוד נוסף</v>
          </cell>
          <cell r="J808">
            <v>0</v>
          </cell>
          <cell r="K808">
            <v>0</v>
          </cell>
          <cell r="L808">
            <v>1813810750</v>
          </cell>
        </row>
        <row r="809">
          <cell r="C809">
            <v>162</v>
          </cell>
          <cell r="G809">
            <v>81</v>
          </cell>
          <cell r="I809" t="str">
            <v>חינול אחר</v>
          </cell>
          <cell r="J809">
            <v>0</v>
          </cell>
          <cell r="K809">
            <v>0</v>
          </cell>
          <cell r="L809">
            <v>1813900750</v>
          </cell>
        </row>
        <row r="810">
          <cell r="C810">
            <v>161</v>
          </cell>
          <cell r="G810">
            <v>81</v>
          </cell>
          <cell r="I810" t="str">
            <v>חטיבות ביניים</v>
          </cell>
          <cell r="J810">
            <v>0</v>
          </cell>
          <cell r="K810">
            <v>0</v>
          </cell>
          <cell r="L810">
            <v>1814000110</v>
          </cell>
        </row>
        <row r="811">
          <cell r="C811">
            <v>162</v>
          </cell>
          <cell r="G811">
            <v>81</v>
          </cell>
          <cell r="I811" t="str">
            <v>חטיבות ביניים</v>
          </cell>
          <cell r="J811">
            <v>0</v>
          </cell>
          <cell r="K811">
            <v>0</v>
          </cell>
          <cell r="L811">
            <v>1814000210</v>
          </cell>
        </row>
        <row r="812">
          <cell r="C812">
            <v>162</v>
          </cell>
          <cell r="G812">
            <v>81</v>
          </cell>
          <cell r="I812" t="str">
            <v>חטיבות ביניים</v>
          </cell>
          <cell r="J812">
            <v>0</v>
          </cell>
          <cell r="K812">
            <v>0</v>
          </cell>
          <cell r="L812">
            <v>1814000310</v>
          </cell>
        </row>
        <row r="813">
          <cell r="C813">
            <v>162</v>
          </cell>
          <cell r="G813">
            <v>81</v>
          </cell>
          <cell r="I813" t="str">
            <v>חטיבות ביניים</v>
          </cell>
          <cell r="J813">
            <v>0</v>
          </cell>
          <cell r="K813">
            <v>0</v>
          </cell>
          <cell r="L813">
            <v>1814000350</v>
          </cell>
        </row>
        <row r="814">
          <cell r="C814">
            <v>162</v>
          </cell>
          <cell r="G814">
            <v>81</v>
          </cell>
          <cell r="I814" t="str">
            <v>חטיבות ביניים</v>
          </cell>
          <cell r="J814">
            <v>0</v>
          </cell>
          <cell r="K814">
            <v>0</v>
          </cell>
          <cell r="L814">
            <v>1814000430</v>
          </cell>
        </row>
        <row r="815">
          <cell r="C815">
            <v>162</v>
          </cell>
          <cell r="G815">
            <v>81</v>
          </cell>
          <cell r="I815" t="str">
            <v>חטיבות ביניים</v>
          </cell>
          <cell r="J815">
            <v>0</v>
          </cell>
          <cell r="K815">
            <v>0</v>
          </cell>
          <cell r="L815">
            <v>1814000470</v>
          </cell>
        </row>
        <row r="816">
          <cell r="C816">
            <v>162</v>
          </cell>
          <cell r="G816">
            <v>81</v>
          </cell>
          <cell r="I816" t="str">
            <v>חטיבות ביניים</v>
          </cell>
          <cell r="J816">
            <v>0</v>
          </cell>
          <cell r="K816">
            <v>0</v>
          </cell>
          <cell r="L816">
            <v>1814000540</v>
          </cell>
        </row>
        <row r="817">
          <cell r="C817">
            <v>162</v>
          </cell>
          <cell r="G817">
            <v>81</v>
          </cell>
          <cell r="I817" t="str">
            <v>חטיבות ביניים</v>
          </cell>
          <cell r="J817">
            <v>0</v>
          </cell>
          <cell r="K817">
            <v>0</v>
          </cell>
          <cell r="L817">
            <v>1814000720</v>
          </cell>
        </row>
        <row r="818">
          <cell r="C818">
            <v>161</v>
          </cell>
          <cell r="G818">
            <v>81</v>
          </cell>
          <cell r="I818" t="str">
            <v>חטיבות ביניים</v>
          </cell>
          <cell r="J818">
            <v>0</v>
          </cell>
          <cell r="K818">
            <v>0</v>
          </cell>
          <cell r="L818">
            <v>1814000750</v>
          </cell>
        </row>
        <row r="819">
          <cell r="C819">
            <v>161</v>
          </cell>
          <cell r="G819">
            <v>81</v>
          </cell>
          <cell r="I819" t="str">
            <v>חטיבות ביניים</v>
          </cell>
          <cell r="J819">
            <v>0</v>
          </cell>
          <cell r="K819">
            <v>0</v>
          </cell>
          <cell r="L819">
            <v>1814000820</v>
          </cell>
        </row>
        <row r="820">
          <cell r="C820">
            <v>162</v>
          </cell>
          <cell r="G820">
            <v>81</v>
          </cell>
          <cell r="I820" t="str">
            <v>חטיבות ביניים</v>
          </cell>
          <cell r="J820">
            <v>0</v>
          </cell>
          <cell r="K820">
            <v>0</v>
          </cell>
          <cell r="L820">
            <v>1814000930</v>
          </cell>
        </row>
        <row r="821">
          <cell r="C821">
            <v>162</v>
          </cell>
          <cell r="G821">
            <v>81</v>
          </cell>
          <cell r="I821" t="str">
            <v>חטיבות ביניים</v>
          </cell>
          <cell r="J821">
            <v>0</v>
          </cell>
          <cell r="K821">
            <v>0</v>
          </cell>
          <cell r="L821">
            <v>1814100110</v>
          </cell>
        </row>
        <row r="822">
          <cell r="C822">
            <v>162</v>
          </cell>
          <cell r="G822">
            <v>81</v>
          </cell>
          <cell r="I822" t="str">
            <v>חטיבות ביניים</v>
          </cell>
          <cell r="J822">
            <v>0</v>
          </cell>
          <cell r="K822">
            <v>0</v>
          </cell>
          <cell r="L822">
            <v>1814100210</v>
          </cell>
        </row>
        <row r="823">
          <cell r="C823">
            <v>162</v>
          </cell>
          <cell r="G823">
            <v>81</v>
          </cell>
          <cell r="I823" t="str">
            <v>חטיבות ביניים</v>
          </cell>
          <cell r="J823">
            <v>0</v>
          </cell>
          <cell r="K823">
            <v>0</v>
          </cell>
          <cell r="L823">
            <v>1814100350</v>
          </cell>
        </row>
        <row r="824">
          <cell r="C824">
            <v>162</v>
          </cell>
          <cell r="G824">
            <v>81</v>
          </cell>
          <cell r="I824" t="str">
            <v>חטיבות ביניים</v>
          </cell>
          <cell r="J824">
            <v>0</v>
          </cell>
          <cell r="K824">
            <v>0</v>
          </cell>
          <cell r="L824">
            <v>1814100750</v>
          </cell>
        </row>
        <row r="825">
          <cell r="C825">
            <v>162</v>
          </cell>
          <cell r="G825">
            <v>81</v>
          </cell>
          <cell r="I825" t="str">
            <v>חטיבות ביניים</v>
          </cell>
          <cell r="J825">
            <v>0</v>
          </cell>
          <cell r="K825">
            <v>0</v>
          </cell>
          <cell r="L825">
            <v>1814750110</v>
          </cell>
        </row>
        <row r="826">
          <cell r="C826">
            <v>162</v>
          </cell>
          <cell r="G826">
            <v>81</v>
          </cell>
          <cell r="I826" t="str">
            <v>חטיבות ביניים</v>
          </cell>
          <cell r="J826">
            <v>0</v>
          </cell>
          <cell r="K826">
            <v>0</v>
          </cell>
          <cell r="L826">
            <v>1814750750</v>
          </cell>
        </row>
        <row r="827">
          <cell r="C827">
            <v>162</v>
          </cell>
          <cell r="G827">
            <v>81</v>
          </cell>
          <cell r="I827" t="str">
            <v>חטיבות ביניים</v>
          </cell>
          <cell r="J827">
            <v>0</v>
          </cell>
          <cell r="K827">
            <v>0</v>
          </cell>
          <cell r="L827">
            <v>1814750840</v>
          </cell>
        </row>
        <row r="828">
          <cell r="C828">
            <v>162</v>
          </cell>
          <cell r="G828">
            <v>81</v>
          </cell>
          <cell r="I828" t="str">
            <v>חטיבות ביניים</v>
          </cell>
          <cell r="J828">
            <v>0</v>
          </cell>
          <cell r="K828">
            <v>0</v>
          </cell>
          <cell r="L828">
            <v>1814800930</v>
          </cell>
        </row>
        <row r="829">
          <cell r="C829">
            <v>162</v>
          </cell>
          <cell r="G829">
            <v>81</v>
          </cell>
          <cell r="I829" t="str">
            <v>בתי"ס על יסודיים מקיפים</v>
          </cell>
          <cell r="J829">
            <v>0</v>
          </cell>
          <cell r="K829">
            <v>0</v>
          </cell>
          <cell r="L829">
            <v>1815000110</v>
          </cell>
        </row>
        <row r="830">
          <cell r="C830">
            <v>162</v>
          </cell>
          <cell r="G830">
            <v>81</v>
          </cell>
          <cell r="I830" t="str">
            <v>בתי"ס על יסודיים מקיפים</v>
          </cell>
          <cell r="J830">
            <v>0</v>
          </cell>
          <cell r="K830">
            <v>0</v>
          </cell>
          <cell r="L830">
            <v>1815000150</v>
          </cell>
        </row>
        <row r="831">
          <cell r="C831">
            <v>162</v>
          </cell>
          <cell r="G831">
            <v>81</v>
          </cell>
          <cell r="I831" t="str">
            <v>בתי"ס על יסודיים מקיפים</v>
          </cell>
          <cell r="J831">
            <v>0</v>
          </cell>
          <cell r="K831">
            <v>0</v>
          </cell>
          <cell r="L831">
            <v>1815000210</v>
          </cell>
        </row>
        <row r="832">
          <cell r="C832">
            <v>162</v>
          </cell>
          <cell r="G832">
            <v>81</v>
          </cell>
          <cell r="I832" t="str">
            <v>בתי"ס על יסודיים עיוניים</v>
          </cell>
          <cell r="J832">
            <v>0</v>
          </cell>
          <cell r="K832">
            <v>0</v>
          </cell>
          <cell r="L832">
            <v>1815200450</v>
          </cell>
        </row>
        <row r="833">
          <cell r="C833">
            <v>161</v>
          </cell>
          <cell r="G833">
            <v>81</v>
          </cell>
          <cell r="I833" t="str">
            <v>בתי"ס על יסודיים מקיפים</v>
          </cell>
          <cell r="J833">
            <v>0</v>
          </cell>
          <cell r="K833">
            <v>0</v>
          </cell>
          <cell r="L833">
            <v>1815700433</v>
          </cell>
        </row>
        <row r="834">
          <cell r="C834">
            <v>161</v>
          </cell>
          <cell r="G834">
            <v>81</v>
          </cell>
          <cell r="I834" t="str">
            <v>מכללות</v>
          </cell>
          <cell r="J834">
            <v>0</v>
          </cell>
          <cell r="K834">
            <v>0</v>
          </cell>
          <cell r="L834">
            <v>1816600110</v>
          </cell>
        </row>
        <row r="835">
          <cell r="C835">
            <v>161</v>
          </cell>
          <cell r="G835">
            <v>81</v>
          </cell>
          <cell r="I835" t="str">
            <v>מכללות</v>
          </cell>
          <cell r="J835">
            <v>0</v>
          </cell>
          <cell r="K835">
            <v>0</v>
          </cell>
          <cell r="L835">
            <v>1816600540</v>
          </cell>
        </row>
        <row r="836">
          <cell r="C836">
            <v>161</v>
          </cell>
          <cell r="G836">
            <v>81</v>
          </cell>
          <cell r="I836" t="str">
            <v>קב"ט שמירה ובטחון מוסדות חינוך</v>
          </cell>
          <cell r="J836">
            <v>0</v>
          </cell>
          <cell r="K836">
            <v>0</v>
          </cell>
          <cell r="L836">
            <v>1817100110</v>
          </cell>
        </row>
        <row r="837">
          <cell r="C837">
            <v>161</v>
          </cell>
          <cell r="G837">
            <v>81</v>
          </cell>
          <cell r="I837" t="str">
            <v>קב"ט שמירה ובטחון מוסדות חינוך</v>
          </cell>
          <cell r="J837">
            <v>0</v>
          </cell>
          <cell r="K837">
            <v>0</v>
          </cell>
          <cell r="L837">
            <v>1817100540</v>
          </cell>
        </row>
        <row r="838">
          <cell r="C838">
            <v>161</v>
          </cell>
          <cell r="G838">
            <v>81</v>
          </cell>
          <cell r="I838" t="str">
            <v>קב"ט שמירה ובטחון מוסדות חינוך</v>
          </cell>
          <cell r="J838">
            <v>0</v>
          </cell>
          <cell r="K838">
            <v>0</v>
          </cell>
          <cell r="L838">
            <v>1817100541</v>
          </cell>
        </row>
        <row r="839">
          <cell r="C839">
            <v>161</v>
          </cell>
          <cell r="G839">
            <v>81</v>
          </cell>
          <cell r="I839" t="str">
            <v>קב"ט שמירה ובטחון מוסדות חינוך</v>
          </cell>
          <cell r="J839">
            <v>0</v>
          </cell>
          <cell r="K839">
            <v>0</v>
          </cell>
          <cell r="L839">
            <v>1817100750</v>
          </cell>
        </row>
        <row r="840">
          <cell r="C840">
            <v>161</v>
          </cell>
          <cell r="G840">
            <v>81</v>
          </cell>
          <cell r="I840" t="str">
            <v>קב"ט שמירה ובטחון מוסדות חינוך</v>
          </cell>
          <cell r="J840">
            <v>0</v>
          </cell>
          <cell r="K840">
            <v>0</v>
          </cell>
          <cell r="L840">
            <v>1817110750</v>
          </cell>
        </row>
        <row r="841">
          <cell r="C841">
            <v>161</v>
          </cell>
          <cell r="G841">
            <v>81</v>
          </cell>
          <cell r="I841" t="str">
            <v>מרכזיה פדגוגית</v>
          </cell>
          <cell r="J841">
            <v>0</v>
          </cell>
          <cell r="K841">
            <v>0</v>
          </cell>
          <cell r="L841">
            <v>1817200110</v>
          </cell>
        </row>
        <row r="842">
          <cell r="C842">
            <v>161</v>
          </cell>
          <cell r="G842">
            <v>81</v>
          </cell>
          <cell r="I842" t="str">
            <v>מרכזיה פדגוגית</v>
          </cell>
          <cell r="J842">
            <v>0</v>
          </cell>
          <cell r="K842">
            <v>0</v>
          </cell>
          <cell r="L842">
            <v>1817200350</v>
          </cell>
        </row>
        <row r="843">
          <cell r="C843">
            <v>162</v>
          </cell>
          <cell r="G843">
            <v>81</v>
          </cell>
          <cell r="I843" t="str">
            <v>מרכזיה פדגוגית</v>
          </cell>
          <cell r="J843">
            <v>0</v>
          </cell>
          <cell r="K843">
            <v>0</v>
          </cell>
          <cell r="L843">
            <v>1817200470</v>
          </cell>
        </row>
        <row r="844">
          <cell r="C844">
            <v>162</v>
          </cell>
          <cell r="G844">
            <v>81</v>
          </cell>
          <cell r="I844" t="str">
            <v>מרכזיה פדגוגית</v>
          </cell>
          <cell r="J844">
            <v>0</v>
          </cell>
          <cell r="K844">
            <v>0</v>
          </cell>
          <cell r="L844">
            <v>1817200540</v>
          </cell>
        </row>
        <row r="845">
          <cell r="C845">
            <v>162</v>
          </cell>
          <cell r="G845">
            <v>81</v>
          </cell>
          <cell r="I845" t="str">
            <v>מרכזיה פדגוגית</v>
          </cell>
          <cell r="J845">
            <v>0</v>
          </cell>
          <cell r="K845">
            <v>0</v>
          </cell>
          <cell r="L845">
            <v>1817200720</v>
          </cell>
        </row>
        <row r="846">
          <cell r="C846">
            <v>161</v>
          </cell>
          <cell r="G846">
            <v>81</v>
          </cell>
          <cell r="I846" t="str">
            <v>מרכזיה פדגוגית</v>
          </cell>
          <cell r="J846">
            <v>0</v>
          </cell>
          <cell r="K846">
            <v>0</v>
          </cell>
          <cell r="L846">
            <v>1817200750</v>
          </cell>
        </row>
        <row r="847">
          <cell r="C847">
            <v>162</v>
          </cell>
          <cell r="G847">
            <v>81</v>
          </cell>
          <cell r="I847" t="str">
            <v>מרכזיה פדגוגית</v>
          </cell>
          <cell r="J847">
            <v>0</v>
          </cell>
          <cell r="K847">
            <v>0</v>
          </cell>
          <cell r="L847">
            <v>1817210110</v>
          </cell>
        </row>
        <row r="848">
          <cell r="C848">
            <v>162</v>
          </cell>
          <cell r="G848">
            <v>81</v>
          </cell>
          <cell r="I848" t="str">
            <v>מרכזיה פדגוגית</v>
          </cell>
          <cell r="J848">
            <v>0</v>
          </cell>
          <cell r="K848">
            <v>0</v>
          </cell>
          <cell r="L848">
            <v>1817210210</v>
          </cell>
        </row>
        <row r="849">
          <cell r="C849">
            <v>162</v>
          </cell>
          <cell r="G849">
            <v>81</v>
          </cell>
          <cell r="I849" t="str">
            <v>מרכזיה פדגוגית</v>
          </cell>
          <cell r="J849">
            <v>0</v>
          </cell>
          <cell r="K849">
            <v>0</v>
          </cell>
          <cell r="L849">
            <v>1817210310</v>
          </cell>
        </row>
        <row r="850">
          <cell r="C850">
            <v>162</v>
          </cell>
          <cell r="G850">
            <v>81</v>
          </cell>
          <cell r="I850" t="str">
            <v>שרות פסיכולוגי חינוכי</v>
          </cell>
          <cell r="J850">
            <v>0</v>
          </cell>
          <cell r="K850">
            <v>0</v>
          </cell>
          <cell r="L850">
            <v>1817300110</v>
          </cell>
        </row>
        <row r="851">
          <cell r="C851">
            <v>162</v>
          </cell>
          <cell r="G851">
            <v>81</v>
          </cell>
          <cell r="I851" t="str">
            <v>שרות פסיכולוגי חינוכי</v>
          </cell>
          <cell r="J851">
            <v>0</v>
          </cell>
          <cell r="K851">
            <v>0</v>
          </cell>
          <cell r="L851">
            <v>1817300150</v>
          </cell>
        </row>
        <row r="852">
          <cell r="C852">
            <v>161</v>
          </cell>
          <cell r="G852">
            <v>81</v>
          </cell>
          <cell r="I852" t="str">
            <v>שרות פסיכולוגי חינוכי</v>
          </cell>
          <cell r="J852">
            <v>0</v>
          </cell>
          <cell r="K852">
            <v>0</v>
          </cell>
          <cell r="L852">
            <v>1817300210</v>
          </cell>
        </row>
        <row r="853">
          <cell r="C853">
            <v>161</v>
          </cell>
          <cell r="G853">
            <v>81</v>
          </cell>
          <cell r="I853" t="str">
            <v>שרות פסיכולוגי חינוכי</v>
          </cell>
          <cell r="J853">
            <v>0</v>
          </cell>
          <cell r="K853">
            <v>0</v>
          </cell>
          <cell r="L853">
            <v>1817300350</v>
          </cell>
        </row>
        <row r="854">
          <cell r="C854">
            <v>161</v>
          </cell>
          <cell r="G854">
            <v>81</v>
          </cell>
          <cell r="I854" t="str">
            <v>שרות פסיכולוגי חינוכי</v>
          </cell>
          <cell r="J854">
            <v>0</v>
          </cell>
          <cell r="K854">
            <v>0</v>
          </cell>
          <cell r="L854">
            <v>1817300410</v>
          </cell>
        </row>
        <row r="855">
          <cell r="C855">
            <v>161</v>
          </cell>
          <cell r="G855">
            <v>81</v>
          </cell>
          <cell r="I855" t="str">
            <v>שרות פסיכולוגי חינוכי</v>
          </cell>
          <cell r="J855">
            <v>0</v>
          </cell>
          <cell r="K855">
            <v>0</v>
          </cell>
          <cell r="L855">
            <v>1817300430</v>
          </cell>
        </row>
        <row r="856">
          <cell r="C856">
            <v>162</v>
          </cell>
          <cell r="G856">
            <v>81</v>
          </cell>
          <cell r="I856" t="str">
            <v>שרות פסיכולוגי חינוכי</v>
          </cell>
          <cell r="J856">
            <v>0</v>
          </cell>
          <cell r="K856">
            <v>0</v>
          </cell>
          <cell r="L856">
            <v>1817300434</v>
          </cell>
        </row>
        <row r="857">
          <cell r="C857">
            <v>162</v>
          </cell>
          <cell r="G857">
            <v>81</v>
          </cell>
          <cell r="I857" t="str">
            <v>שרות פסיכולוגי חינוכי</v>
          </cell>
          <cell r="J857">
            <v>0</v>
          </cell>
          <cell r="K857">
            <v>0</v>
          </cell>
          <cell r="L857">
            <v>1817300450</v>
          </cell>
        </row>
        <row r="858">
          <cell r="C858">
            <v>162</v>
          </cell>
          <cell r="G858">
            <v>81</v>
          </cell>
          <cell r="I858" t="str">
            <v>שרות פסיכולוגי חינוכי</v>
          </cell>
          <cell r="J858">
            <v>0</v>
          </cell>
          <cell r="K858">
            <v>0</v>
          </cell>
          <cell r="L858">
            <v>1817300510</v>
          </cell>
        </row>
        <row r="859">
          <cell r="C859">
            <v>162</v>
          </cell>
          <cell r="G859">
            <v>81</v>
          </cell>
          <cell r="I859" t="str">
            <v>שרות פסיכולוגי חינוכי</v>
          </cell>
          <cell r="J859">
            <v>0</v>
          </cell>
          <cell r="K859">
            <v>0</v>
          </cell>
          <cell r="L859">
            <v>1817300521</v>
          </cell>
        </row>
        <row r="860">
          <cell r="C860">
            <v>162</v>
          </cell>
          <cell r="G860">
            <v>81</v>
          </cell>
          <cell r="I860" t="str">
            <v>שרות פסיכולוגי חינוכי</v>
          </cell>
          <cell r="J860">
            <v>0</v>
          </cell>
          <cell r="K860">
            <v>0</v>
          </cell>
          <cell r="L860">
            <v>1817300540</v>
          </cell>
        </row>
        <row r="861">
          <cell r="C861">
            <v>162</v>
          </cell>
          <cell r="G861">
            <v>81</v>
          </cell>
          <cell r="I861" t="str">
            <v>שרות פסיכולוגי חינוכי</v>
          </cell>
          <cell r="J861">
            <v>0</v>
          </cell>
          <cell r="K861">
            <v>0</v>
          </cell>
          <cell r="L861">
            <v>1817300541</v>
          </cell>
        </row>
        <row r="862">
          <cell r="C862">
            <v>162</v>
          </cell>
          <cell r="G862">
            <v>81</v>
          </cell>
          <cell r="I862" t="str">
            <v>שרות פסיכולוגי חינוכי</v>
          </cell>
          <cell r="J862">
            <v>0</v>
          </cell>
          <cell r="K862">
            <v>0</v>
          </cell>
          <cell r="L862">
            <v>1817300720</v>
          </cell>
        </row>
        <row r="863">
          <cell r="C863">
            <v>161</v>
          </cell>
          <cell r="G863">
            <v>81</v>
          </cell>
          <cell r="I863" t="str">
            <v>שרות פסיכולוגי חינוכי</v>
          </cell>
          <cell r="J863">
            <v>0</v>
          </cell>
          <cell r="K863">
            <v>0</v>
          </cell>
          <cell r="L863">
            <v>1817300750</v>
          </cell>
        </row>
        <row r="864">
          <cell r="C864">
            <v>161</v>
          </cell>
          <cell r="G864">
            <v>81</v>
          </cell>
          <cell r="I864" t="str">
            <v>שרות פסיכולוגי חינוכי</v>
          </cell>
          <cell r="J864">
            <v>0</v>
          </cell>
          <cell r="K864">
            <v>0</v>
          </cell>
          <cell r="L864">
            <v>1817310750</v>
          </cell>
        </row>
        <row r="865">
          <cell r="C865">
            <v>161</v>
          </cell>
          <cell r="G865">
            <v>81</v>
          </cell>
          <cell r="I865" t="str">
            <v>שרות בריאות לתלמיד</v>
          </cell>
          <cell r="J865">
            <v>0</v>
          </cell>
          <cell r="K865">
            <v>0</v>
          </cell>
          <cell r="L865">
            <v>1817400540</v>
          </cell>
        </row>
        <row r="866">
          <cell r="C866">
            <v>162</v>
          </cell>
          <cell r="G866">
            <v>81</v>
          </cell>
          <cell r="I866" t="str">
            <v>ביטוח תלמידים</v>
          </cell>
          <cell r="J866">
            <v>0</v>
          </cell>
          <cell r="K866">
            <v>0</v>
          </cell>
          <cell r="L866">
            <v>1817500440</v>
          </cell>
        </row>
        <row r="867">
          <cell r="C867">
            <v>161</v>
          </cell>
          <cell r="G867">
            <v>81</v>
          </cell>
          <cell r="I867" t="str">
            <v>רווחה חינוכית</v>
          </cell>
          <cell r="J867">
            <v>0</v>
          </cell>
          <cell r="K867">
            <v>0</v>
          </cell>
          <cell r="L867">
            <v>1817600110</v>
          </cell>
        </row>
        <row r="868">
          <cell r="C868">
            <v>162</v>
          </cell>
          <cell r="G868">
            <v>81</v>
          </cell>
          <cell r="I868" t="str">
            <v>רווחה חינוכית</v>
          </cell>
          <cell r="J868">
            <v>0</v>
          </cell>
          <cell r="K868">
            <v>0</v>
          </cell>
          <cell r="L868">
            <v>1817600210</v>
          </cell>
        </row>
        <row r="869">
          <cell r="C869">
            <v>162</v>
          </cell>
          <cell r="G869">
            <v>81</v>
          </cell>
          <cell r="I869" t="str">
            <v>רווחה חינוכית</v>
          </cell>
          <cell r="J869">
            <v>0</v>
          </cell>
          <cell r="K869">
            <v>0</v>
          </cell>
          <cell r="L869">
            <v>1817600350</v>
          </cell>
        </row>
        <row r="870">
          <cell r="C870">
            <v>162</v>
          </cell>
          <cell r="G870">
            <v>81</v>
          </cell>
          <cell r="I870" t="str">
            <v>רווחה חינוכית</v>
          </cell>
          <cell r="J870">
            <v>0</v>
          </cell>
          <cell r="K870">
            <v>0</v>
          </cell>
          <cell r="L870">
            <v>1817600750</v>
          </cell>
        </row>
        <row r="871">
          <cell r="C871">
            <v>161</v>
          </cell>
          <cell r="G871">
            <v>81</v>
          </cell>
          <cell r="I871" t="str">
            <v>רווחה חינוכית</v>
          </cell>
          <cell r="J871">
            <v>0</v>
          </cell>
          <cell r="K871">
            <v>0</v>
          </cell>
          <cell r="L871">
            <v>1817600780</v>
          </cell>
        </row>
        <row r="872">
          <cell r="C872">
            <v>161</v>
          </cell>
          <cell r="G872">
            <v>81</v>
          </cell>
          <cell r="I872" t="str">
            <v>רווחה חינוכית</v>
          </cell>
          <cell r="J872">
            <v>0</v>
          </cell>
          <cell r="K872">
            <v>0</v>
          </cell>
          <cell r="L872">
            <v>1817601110</v>
          </cell>
        </row>
        <row r="873">
          <cell r="C873">
            <v>161</v>
          </cell>
          <cell r="G873">
            <v>81</v>
          </cell>
          <cell r="I873" t="str">
            <v>רווחה חינוכית</v>
          </cell>
          <cell r="J873">
            <v>0</v>
          </cell>
          <cell r="K873">
            <v>0</v>
          </cell>
          <cell r="L873">
            <v>1817601750</v>
          </cell>
        </row>
        <row r="874">
          <cell r="C874">
            <v>162</v>
          </cell>
          <cell r="G874">
            <v>81</v>
          </cell>
          <cell r="I874" t="str">
            <v>רווחה חינוכית</v>
          </cell>
          <cell r="J874">
            <v>0</v>
          </cell>
          <cell r="K874">
            <v>0</v>
          </cell>
          <cell r="L874">
            <v>1817601920</v>
          </cell>
        </row>
        <row r="875">
          <cell r="C875">
            <v>162</v>
          </cell>
          <cell r="G875">
            <v>81</v>
          </cell>
          <cell r="I875" t="str">
            <v>רווחה חינוכית</v>
          </cell>
          <cell r="J875">
            <v>0</v>
          </cell>
          <cell r="K875">
            <v>0</v>
          </cell>
          <cell r="L875">
            <v>1817602110</v>
          </cell>
        </row>
        <row r="876">
          <cell r="C876">
            <v>161</v>
          </cell>
          <cell r="G876">
            <v>81</v>
          </cell>
          <cell r="I876" t="str">
            <v>רווחה חינוכית</v>
          </cell>
          <cell r="J876">
            <v>0</v>
          </cell>
          <cell r="K876">
            <v>0</v>
          </cell>
          <cell r="L876">
            <v>1817602750</v>
          </cell>
        </row>
        <row r="877">
          <cell r="C877">
            <v>162</v>
          </cell>
          <cell r="G877">
            <v>81</v>
          </cell>
          <cell r="I877" t="str">
            <v>רווחה חינוכית</v>
          </cell>
          <cell r="J877">
            <v>0</v>
          </cell>
          <cell r="K877">
            <v>0</v>
          </cell>
          <cell r="L877">
            <v>1817610110</v>
          </cell>
        </row>
        <row r="878">
          <cell r="C878">
            <v>161</v>
          </cell>
          <cell r="G878">
            <v>81</v>
          </cell>
          <cell r="I878" t="str">
            <v>רווחה חינוכית</v>
          </cell>
          <cell r="J878">
            <v>0</v>
          </cell>
          <cell r="K878">
            <v>0</v>
          </cell>
          <cell r="L878">
            <v>1817620110</v>
          </cell>
        </row>
        <row r="879">
          <cell r="C879">
            <v>162</v>
          </cell>
          <cell r="G879">
            <v>81</v>
          </cell>
          <cell r="I879" t="str">
            <v>רווחה חינוכית</v>
          </cell>
          <cell r="J879">
            <v>0</v>
          </cell>
          <cell r="K879">
            <v>0</v>
          </cell>
          <cell r="L879">
            <v>1817620750</v>
          </cell>
        </row>
        <row r="880">
          <cell r="C880">
            <v>162</v>
          </cell>
          <cell r="G880">
            <v>81</v>
          </cell>
          <cell r="I880" t="str">
            <v>רווחה חינוכית</v>
          </cell>
          <cell r="J880">
            <v>0</v>
          </cell>
          <cell r="K880">
            <v>0</v>
          </cell>
          <cell r="L880">
            <v>1817620780</v>
          </cell>
        </row>
        <row r="881">
          <cell r="C881">
            <v>162</v>
          </cell>
          <cell r="G881">
            <v>81</v>
          </cell>
          <cell r="I881" t="str">
            <v>רווחה חינוכית</v>
          </cell>
          <cell r="J881">
            <v>0</v>
          </cell>
          <cell r="K881">
            <v>0</v>
          </cell>
          <cell r="L881">
            <v>1817620930</v>
          </cell>
        </row>
        <row r="882">
          <cell r="C882">
            <v>162</v>
          </cell>
          <cell r="G882">
            <v>81</v>
          </cell>
          <cell r="I882" t="str">
            <v>רווחה חינוכית</v>
          </cell>
          <cell r="J882">
            <v>0</v>
          </cell>
          <cell r="K882">
            <v>0</v>
          </cell>
          <cell r="L882">
            <v>1817621110</v>
          </cell>
        </row>
        <row r="883">
          <cell r="C883">
            <v>161</v>
          </cell>
          <cell r="G883">
            <v>81</v>
          </cell>
          <cell r="I883" t="str">
            <v>רווחה חינוכית</v>
          </cell>
          <cell r="J883">
            <v>0</v>
          </cell>
          <cell r="K883">
            <v>0</v>
          </cell>
          <cell r="L883">
            <v>1817621470</v>
          </cell>
        </row>
        <row r="884">
          <cell r="C884">
            <v>161</v>
          </cell>
          <cell r="G884">
            <v>81</v>
          </cell>
          <cell r="I884" t="str">
            <v>רווחה חינוכית</v>
          </cell>
          <cell r="J884">
            <v>0</v>
          </cell>
          <cell r="K884">
            <v>0</v>
          </cell>
          <cell r="L884">
            <v>1817621750</v>
          </cell>
        </row>
        <row r="885">
          <cell r="C885">
            <v>162</v>
          </cell>
          <cell r="G885">
            <v>81</v>
          </cell>
          <cell r="I885" t="str">
            <v>רווחה חינוכית</v>
          </cell>
          <cell r="J885">
            <v>0</v>
          </cell>
          <cell r="K885">
            <v>0</v>
          </cell>
          <cell r="L885">
            <v>1817621930</v>
          </cell>
        </row>
        <row r="886">
          <cell r="C886">
            <v>162</v>
          </cell>
          <cell r="G886">
            <v>81</v>
          </cell>
          <cell r="I886" t="str">
            <v>רווחה חינוכית</v>
          </cell>
          <cell r="J886">
            <v>0</v>
          </cell>
          <cell r="K886">
            <v>0</v>
          </cell>
          <cell r="L886">
            <v>1817622110</v>
          </cell>
        </row>
        <row r="887">
          <cell r="C887">
            <v>162</v>
          </cell>
          <cell r="G887">
            <v>81</v>
          </cell>
          <cell r="I887" t="str">
            <v>רווחה חינוכית</v>
          </cell>
          <cell r="J887">
            <v>0</v>
          </cell>
          <cell r="K887">
            <v>0</v>
          </cell>
          <cell r="L887">
            <v>1817622540</v>
          </cell>
        </row>
        <row r="888">
          <cell r="C888">
            <v>162</v>
          </cell>
          <cell r="G888">
            <v>81</v>
          </cell>
          <cell r="I888" t="str">
            <v>רווחה חינוכית</v>
          </cell>
          <cell r="J888">
            <v>0</v>
          </cell>
          <cell r="K888">
            <v>0</v>
          </cell>
          <cell r="L888">
            <v>1817622720</v>
          </cell>
        </row>
        <row r="889">
          <cell r="C889">
            <v>161</v>
          </cell>
          <cell r="G889">
            <v>81</v>
          </cell>
          <cell r="I889" t="str">
            <v>רווחה חינוכית</v>
          </cell>
          <cell r="J889">
            <v>0</v>
          </cell>
          <cell r="K889">
            <v>0</v>
          </cell>
          <cell r="L889">
            <v>1817622750</v>
          </cell>
        </row>
        <row r="890">
          <cell r="C890">
            <v>161</v>
          </cell>
          <cell r="G890">
            <v>81</v>
          </cell>
          <cell r="I890" t="str">
            <v>רווחה חינוכית</v>
          </cell>
          <cell r="J890">
            <v>0</v>
          </cell>
          <cell r="K890">
            <v>0</v>
          </cell>
          <cell r="L890">
            <v>1817622930</v>
          </cell>
        </row>
        <row r="891">
          <cell r="C891">
            <v>161</v>
          </cell>
          <cell r="G891">
            <v>81</v>
          </cell>
          <cell r="I891" t="str">
            <v>רווחה חינוכית</v>
          </cell>
          <cell r="J891">
            <v>0</v>
          </cell>
          <cell r="K891">
            <v>0</v>
          </cell>
          <cell r="L891">
            <v>1817623110</v>
          </cell>
        </row>
        <row r="892">
          <cell r="C892">
            <v>161</v>
          </cell>
          <cell r="G892">
            <v>81</v>
          </cell>
          <cell r="I892" t="str">
            <v>רווחה חינוכית</v>
          </cell>
          <cell r="J892">
            <v>0</v>
          </cell>
          <cell r="K892">
            <v>0</v>
          </cell>
          <cell r="L892">
            <v>1817623470</v>
          </cell>
        </row>
        <row r="893">
          <cell r="C893">
            <v>161</v>
          </cell>
          <cell r="G893">
            <v>81</v>
          </cell>
          <cell r="I893" t="str">
            <v>רווחה חינוכית</v>
          </cell>
          <cell r="J893">
            <v>0</v>
          </cell>
          <cell r="K893">
            <v>0</v>
          </cell>
          <cell r="L893">
            <v>1817623750</v>
          </cell>
        </row>
        <row r="894">
          <cell r="C894">
            <v>161</v>
          </cell>
          <cell r="G894">
            <v>81</v>
          </cell>
          <cell r="I894" t="str">
            <v>רווחה חינוכית</v>
          </cell>
          <cell r="J894">
            <v>0</v>
          </cell>
          <cell r="K894">
            <v>0</v>
          </cell>
          <cell r="L894">
            <v>1817623751</v>
          </cell>
        </row>
        <row r="895">
          <cell r="C895">
            <v>161</v>
          </cell>
          <cell r="G895">
            <v>81</v>
          </cell>
          <cell r="I895" t="str">
            <v>רווחה חינוכית</v>
          </cell>
          <cell r="J895">
            <v>0</v>
          </cell>
          <cell r="K895">
            <v>0</v>
          </cell>
          <cell r="L895">
            <v>1817624110</v>
          </cell>
        </row>
        <row r="896">
          <cell r="C896">
            <v>162</v>
          </cell>
          <cell r="G896">
            <v>81</v>
          </cell>
          <cell r="I896" t="str">
            <v>רווחה חינוכית</v>
          </cell>
          <cell r="J896">
            <v>0</v>
          </cell>
          <cell r="K896">
            <v>0</v>
          </cell>
          <cell r="L896">
            <v>1817624470</v>
          </cell>
        </row>
        <row r="897">
          <cell r="C897">
            <v>162</v>
          </cell>
          <cell r="G897">
            <v>81</v>
          </cell>
          <cell r="I897" t="str">
            <v>רווחה חינוכית</v>
          </cell>
          <cell r="J897">
            <v>0</v>
          </cell>
          <cell r="K897">
            <v>0</v>
          </cell>
          <cell r="L897">
            <v>1817624750</v>
          </cell>
        </row>
        <row r="898">
          <cell r="C898">
            <v>162</v>
          </cell>
          <cell r="G898">
            <v>81</v>
          </cell>
          <cell r="I898" t="str">
            <v>רווחה חינוכית</v>
          </cell>
          <cell r="J898">
            <v>0</v>
          </cell>
          <cell r="K898">
            <v>0</v>
          </cell>
          <cell r="L898">
            <v>1817625110</v>
          </cell>
        </row>
        <row r="899">
          <cell r="C899">
            <v>162</v>
          </cell>
          <cell r="G899">
            <v>81</v>
          </cell>
          <cell r="I899" t="str">
            <v>רווחה חינוכית</v>
          </cell>
          <cell r="J899">
            <v>0</v>
          </cell>
          <cell r="K899">
            <v>0</v>
          </cell>
          <cell r="L899">
            <v>1817625750</v>
          </cell>
        </row>
        <row r="900">
          <cell r="C900">
            <v>162</v>
          </cell>
          <cell r="G900">
            <v>81</v>
          </cell>
          <cell r="I900" t="str">
            <v>רווחה חינוכית</v>
          </cell>
          <cell r="J900">
            <v>0</v>
          </cell>
          <cell r="K900">
            <v>0</v>
          </cell>
          <cell r="L900">
            <v>1817625930</v>
          </cell>
        </row>
        <row r="901">
          <cell r="C901">
            <v>162</v>
          </cell>
          <cell r="G901">
            <v>81</v>
          </cell>
          <cell r="I901" t="str">
            <v>רווחה חינוכית</v>
          </cell>
          <cell r="J901">
            <v>0</v>
          </cell>
          <cell r="K901">
            <v>0</v>
          </cell>
          <cell r="L901">
            <v>1817626110</v>
          </cell>
        </row>
        <row r="902">
          <cell r="C902">
            <v>162</v>
          </cell>
          <cell r="G902">
            <v>81</v>
          </cell>
          <cell r="I902" t="str">
            <v>רווחה חינוכית</v>
          </cell>
          <cell r="J902">
            <v>0</v>
          </cell>
          <cell r="K902">
            <v>0</v>
          </cell>
          <cell r="L902">
            <v>1817626750</v>
          </cell>
        </row>
        <row r="903">
          <cell r="C903">
            <v>162</v>
          </cell>
          <cell r="G903">
            <v>81</v>
          </cell>
          <cell r="I903" t="str">
            <v>קב"סים</v>
          </cell>
          <cell r="J903">
            <v>0</v>
          </cell>
          <cell r="K903">
            <v>0</v>
          </cell>
          <cell r="L903">
            <v>1817700110</v>
          </cell>
        </row>
        <row r="904">
          <cell r="C904">
            <v>162</v>
          </cell>
          <cell r="G904">
            <v>81</v>
          </cell>
          <cell r="I904" t="str">
            <v>קב"סים</v>
          </cell>
          <cell r="J904">
            <v>0</v>
          </cell>
          <cell r="K904">
            <v>0</v>
          </cell>
          <cell r="L904">
            <v>1817700210</v>
          </cell>
        </row>
        <row r="905">
          <cell r="C905">
            <v>162</v>
          </cell>
          <cell r="G905">
            <v>81</v>
          </cell>
          <cell r="I905" t="str">
            <v>קב"סים</v>
          </cell>
          <cell r="J905">
            <v>0</v>
          </cell>
          <cell r="K905">
            <v>0</v>
          </cell>
          <cell r="L905">
            <v>1817700350</v>
          </cell>
        </row>
        <row r="906">
          <cell r="C906">
            <v>162</v>
          </cell>
          <cell r="G906">
            <v>81</v>
          </cell>
          <cell r="I906" t="str">
            <v>קב"סים</v>
          </cell>
          <cell r="J906">
            <v>0</v>
          </cell>
          <cell r="K906">
            <v>0</v>
          </cell>
          <cell r="L906">
            <v>1817700750</v>
          </cell>
        </row>
        <row r="907">
          <cell r="C907">
            <v>162</v>
          </cell>
          <cell r="G907">
            <v>81</v>
          </cell>
          <cell r="I907" t="str">
            <v>הסעות ילדים</v>
          </cell>
          <cell r="J907">
            <v>0</v>
          </cell>
          <cell r="K907">
            <v>0</v>
          </cell>
          <cell r="L907">
            <v>1817800710</v>
          </cell>
        </row>
        <row r="908">
          <cell r="C908">
            <v>162</v>
          </cell>
          <cell r="G908">
            <v>81</v>
          </cell>
          <cell r="I908" t="str">
            <v>הסעות ילדים</v>
          </cell>
          <cell r="J908">
            <v>0</v>
          </cell>
          <cell r="K908">
            <v>0</v>
          </cell>
          <cell r="L908">
            <v>1817810710</v>
          </cell>
        </row>
        <row r="909">
          <cell r="C909">
            <v>161</v>
          </cell>
          <cell r="G909">
            <v>81</v>
          </cell>
          <cell r="I909" t="str">
            <v>שרותים אחרים</v>
          </cell>
          <cell r="J909">
            <v>0</v>
          </cell>
          <cell r="K909">
            <v>0</v>
          </cell>
          <cell r="L909">
            <v>1817900750</v>
          </cell>
        </row>
        <row r="910">
          <cell r="C910">
            <v>161</v>
          </cell>
          <cell r="G910">
            <v>81</v>
          </cell>
          <cell r="I910" t="str">
            <v>שרותים אחרים</v>
          </cell>
          <cell r="J910">
            <v>0</v>
          </cell>
          <cell r="K910">
            <v>0</v>
          </cell>
          <cell r="L910">
            <v>1817900780</v>
          </cell>
        </row>
        <row r="911">
          <cell r="C911">
            <v>161</v>
          </cell>
          <cell r="G911">
            <v>81</v>
          </cell>
          <cell r="I911" t="str">
            <v>שרותים אחרים</v>
          </cell>
          <cell r="J911">
            <v>0</v>
          </cell>
          <cell r="K911">
            <v>0</v>
          </cell>
          <cell r="L911">
            <v>1817901920</v>
          </cell>
        </row>
        <row r="912">
          <cell r="C912">
            <v>162</v>
          </cell>
          <cell r="G912">
            <v>81</v>
          </cell>
          <cell r="I912" t="str">
            <v>שרותים אחרים</v>
          </cell>
          <cell r="J912">
            <v>0</v>
          </cell>
          <cell r="K912">
            <v>0</v>
          </cell>
          <cell r="L912">
            <v>1817910110</v>
          </cell>
        </row>
        <row r="913">
          <cell r="C913">
            <v>162</v>
          </cell>
          <cell r="G913">
            <v>81</v>
          </cell>
          <cell r="I913" t="str">
            <v>שרותים אחרים</v>
          </cell>
          <cell r="J913">
            <v>0</v>
          </cell>
          <cell r="K913">
            <v>0</v>
          </cell>
          <cell r="L913">
            <v>1817910350</v>
          </cell>
        </row>
        <row r="914">
          <cell r="C914">
            <v>161</v>
          </cell>
          <cell r="G914">
            <v>81</v>
          </cell>
          <cell r="I914" t="str">
            <v>שרותים אחרים</v>
          </cell>
          <cell r="J914">
            <v>0</v>
          </cell>
          <cell r="K914">
            <v>0</v>
          </cell>
          <cell r="L914">
            <v>1817950780</v>
          </cell>
        </row>
        <row r="915">
          <cell r="C915">
            <v>162</v>
          </cell>
          <cell r="G915">
            <v>81</v>
          </cell>
          <cell r="I915" t="str">
            <v>חינוך מבוגרים</v>
          </cell>
          <cell r="J915">
            <v>0</v>
          </cell>
          <cell r="K915">
            <v>0</v>
          </cell>
          <cell r="L915">
            <v>1818000110</v>
          </cell>
        </row>
        <row r="916">
          <cell r="C916">
            <v>162</v>
          </cell>
          <cell r="G916">
            <v>81</v>
          </cell>
          <cell r="I916" t="str">
            <v>חינוך מבוגרים</v>
          </cell>
          <cell r="J916">
            <v>0</v>
          </cell>
          <cell r="K916">
            <v>0</v>
          </cell>
          <cell r="L916">
            <v>1818000470</v>
          </cell>
        </row>
        <row r="917">
          <cell r="C917">
            <v>161</v>
          </cell>
          <cell r="G917">
            <v>81</v>
          </cell>
          <cell r="I917" t="str">
            <v>חינוך מבוגרים</v>
          </cell>
          <cell r="J917">
            <v>0</v>
          </cell>
          <cell r="K917">
            <v>0</v>
          </cell>
          <cell r="L917">
            <v>1818000750</v>
          </cell>
        </row>
        <row r="918">
          <cell r="C918">
            <v>162</v>
          </cell>
          <cell r="G918">
            <v>81</v>
          </cell>
          <cell r="I918" t="str">
            <v>חינוך מבוגרים</v>
          </cell>
          <cell r="J918">
            <v>0</v>
          </cell>
          <cell r="K918">
            <v>0</v>
          </cell>
          <cell r="L918">
            <v>1818100110</v>
          </cell>
        </row>
        <row r="919">
          <cell r="C919">
            <v>161</v>
          </cell>
          <cell r="G919">
            <v>81</v>
          </cell>
          <cell r="I919" t="str">
            <v>חינוך מבוגרים</v>
          </cell>
          <cell r="J919">
            <v>0</v>
          </cell>
          <cell r="K919">
            <v>0</v>
          </cell>
          <cell r="L919">
            <v>1818200110</v>
          </cell>
        </row>
        <row r="920">
          <cell r="C920">
            <v>161</v>
          </cell>
          <cell r="G920">
            <v>81</v>
          </cell>
          <cell r="I920" t="str">
            <v>חינוך מבוגרים</v>
          </cell>
          <cell r="J920">
            <v>0</v>
          </cell>
          <cell r="K920">
            <v>0</v>
          </cell>
          <cell r="L920">
            <v>1818200910</v>
          </cell>
        </row>
        <row r="921">
          <cell r="C921">
            <v>162</v>
          </cell>
          <cell r="G921">
            <v>81</v>
          </cell>
          <cell r="I921" t="str">
            <v>חינוך מבוגרים</v>
          </cell>
          <cell r="J921">
            <v>0</v>
          </cell>
          <cell r="K921">
            <v>0</v>
          </cell>
          <cell r="L921">
            <v>1818300910</v>
          </cell>
        </row>
        <row r="922">
          <cell r="C922">
            <v>162</v>
          </cell>
          <cell r="G922">
            <v>81</v>
          </cell>
          <cell r="I922" t="str">
            <v>חינוך מבוגרים</v>
          </cell>
          <cell r="J922">
            <v>0</v>
          </cell>
          <cell r="K922">
            <v>0</v>
          </cell>
          <cell r="L922">
            <v>1818810110</v>
          </cell>
        </row>
        <row r="923">
          <cell r="C923">
            <v>162</v>
          </cell>
          <cell r="G923">
            <v>81</v>
          </cell>
          <cell r="I923" t="str">
            <v>חינוך מבוגרים</v>
          </cell>
          <cell r="J923">
            <v>0</v>
          </cell>
          <cell r="K923">
            <v>0</v>
          </cell>
          <cell r="L923">
            <v>1818810810</v>
          </cell>
        </row>
        <row r="924">
          <cell r="C924">
            <v>161</v>
          </cell>
          <cell r="G924">
            <v>81</v>
          </cell>
          <cell r="I924" t="str">
            <v>שירותי חינוך מיוחדים</v>
          </cell>
          <cell r="J924">
            <v>0</v>
          </cell>
          <cell r="K924">
            <v>0</v>
          </cell>
          <cell r="L924">
            <v>1819000110</v>
          </cell>
        </row>
        <row r="925">
          <cell r="C925">
            <v>162</v>
          </cell>
          <cell r="G925">
            <v>81</v>
          </cell>
          <cell r="I925" t="str">
            <v>שירותי חינוך מיוחדים</v>
          </cell>
          <cell r="J925">
            <v>0</v>
          </cell>
          <cell r="K925">
            <v>0</v>
          </cell>
          <cell r="L925">
            <v>1819000750</v>
          </cell>
        </row>
        <row r="926">
          <cell r="C926">
            <v>162</v>
          </cell>
          <cell r="G926">
            <v>81</v>
          </cell>
          <cell r="I926" t="str">
            <v>חינוך מוכר שאינו רשמי</v>
          </cell>
          <cell r="J926">
            <v>0</v>
          </cell>
          <cell r="K926">
            <v>0</v>
          </cell>
          <cell r="L926">
            <v>1819100110</v>
          </cell>
        </row>
        <row r="927">
          <cell r="C927">
            <v>162</v>
          </cell>
          <cell r="G927">
            <v>81</v>
          </cell>
          <cell r="I927" t="str">
            <v>חינוך מוכר שאינו רשמי</v>
          </cell>
          <cell r="J927">
            <v>0</v>
          </cell>
          <cell r="K927">
            <v>0</v>
          </cell>
          <cell r="L927">
            <v>1819100750</v>
          </cell>
        </row>
        <row r="928">
          <cell r="C928">
            <v>161</v>
          </cell>
          <cell r="G928">
            <v>81</v>
          </cell>
          <cell r="I928" t="str">
            <v>שירותי חינוך מיוחדים</v>
          </cell>
          <cell r="J928">
            <v>0</v>
          </cell>
          <cell r="K928">
            <v>0</v>
          </cell>
          <cell r="L928">
            <v>1819200750</v>
          </cell>
        </row>
        <row r="929">
          <cell r="C929">
            <v>162</v>
          </cell>
          <cell r="G929">
            <v>81</v>
          </cell>
          <cell r="I929" t="str">
            <v>שירותי חינוך מיוחדים</v>
          </cell>
          <cell r="J929">
            <v>0</v>
          </cell>
          <cell r="K929">
            <v>0</v>
          </cell>
          <cell r="L929">
            <v>1819200930</v>
          </cell>
        </row>
        <row r="930">
          <cell r="C930">
            <v>162</v>
          </cell>
          <cell r="G930">
            <v>81</v>
          </cell>
          <cell r="I930" t="str">
            <v>שירותי חינוך מיוחדים</v>
          </cell>
          <cell r="J930">
            <v>0</v>
          </cell>
          <cell r="K930">
            <v>0</v>
          </cell>
          <cell r="L930">
            <v>1819300760</v>
          </cell>
        </row>
        <row r="931">
          <cell r="C931">
            <v>162</v>
          </cell>
          <cell r="G931">
            <v>81</v>
          </cell>
          <cell r="I931" t="str">
            <v>תרבות</v>
          </cell>
          <cell r="J931">
            <v>0</v>
          </cell>
          <cell r="K931">
            <v>0</v>
          </cell>
          <cell r="L931">
            <v>1821000110</v>
          </cell>
        </row>
        <row r="932">
          <cell r="C932">
            <v>162</v>
          </cell>
          <cell r="G932">
            <v>81</v>
          </cell>
          <cell r="I932" t="str">
            <v>תרבות</v>
          </cell>
          <cell r="J932">
            <v>0</v>
          </cell>
          <cell r="K932">
            <v>0</v>
          </cell>
          <cell r="L932">
            <v>1821000210</v>
          </cell>
        </row>
        <row r="933">
          <cell r="C933">
            <v>161</v>
          </cell>
          <cell r="G933">
            <v>81</v>
          </cell>
          <cell r="I933" t="str">
            <v>תרבות</v>
          </cell>
          <cell r="J933">
            <v>0</v>
          </cell>
          <cell r="K933">
            <v>0</v>
          </cell>
          <cell r="L933">
            <v>1821000350</v>
          </cell>
        </row>
        <row r="934">
          <cell r="C934">
            <v>162</v>
          </cell>
          <cell r="G934">
            <v>81</v>
          </cell>
          <cell r="I934" t="str">
            <v>תרבות</v>
          </cell>
          <cell r="J934">
            <v>0</v>
          </cell>
          <cell r="K934">
            <v>0</v>
          </cell>
          <cell r="L934">
            <v>1821000541</v>
          </cell>
        </row>
        <row r="935">
          <cell r="C935">
            <v>162</v>
          </cell>
          <cell r="G935">
            <v>81</v>
          </cell>
          <cell r="I935" t="str">
            <v>תרבות</v>
          </cell>
          <cell r="J935">
            <v>0</v>
          </cell>
          <cell r="K935">
            <v>0</v>
          </cell>
          <cell r="L935">
            <v>1821000750</v>
          </cell>
        </row>
        <row r="936">
          <cell r="C936">
            <v>162</v>
          </cell>
          <cell r="G936">
            <v>81</v>
          </cell>
          <cell r="I936" t="str">
            <v>תרבות</v>
          </cell>
          <cell r="J936">
            <v>0</v>
          </cell>
          <cell r="K936">
            <v>0</v>
          </cell>
          <cell r="L936">
            <v>1822000470</v>
          </cell>
        </row>
        <row r="937">
          <cell r="C937">
            <v>161</v>
          </cell>
          <cell r="G937">
            <v>81</v>
          </cell>
          <cell r="I937" t="str">
            <v>תרבות</v>
          </cell>
          <cell r="J937">
            <v>0</v>
          </cell>
          <cell r="K937">
            <v>0</v>
          </cell>
          <cell r="L937">
            <v>1822000720</v>
          </cell>
        </row>
        <row r="938">
          <cell r="C938">
            <v>162</v>
          </cell>
          <cell r="G938">
            <v>81</v>
          </cell>
          <cell r="I938" t="str">
            <v>תרבות</v>
          </cell>
          <cell r="J938">
            <v>0</v>
          </cell>
          <cell r="K938">
            <v>0</v>
          </cell>
          <cell r="L938">
            <v>1822000780</v>
          </cell>
        </row>
        <row r="939">
          <cell r="C939">
            <v>162</v>
          </cell>
          <cell r="G939">
            <v>81</v>
          </cell>
          <cell r="I939" t="str">
            <v>תרבות</v>
          </cell>
          <cell r="J939">
            <v>0</v>
          </cell>
          <cell r="K939">
            <v>0</v>
          </cell>
          <cell r="L939">
            <v>1822100110</v>
          </cell>
        </row>
        <row r="940">
          <cell r="C940">
            <v>161</v>
          </cell>
          <cell r="G940">
            <v>81</v>
          </cell>
          <cell r="I940" t="str">
            <v>תרבות</v>
          </cell>
          <cell r="J940">
            <v>0</v>
          </cell>
          <cell r="K940">
            <v>0</v>
          </cell>
          <cell r="L940">
            <v>1822100780</v>
          </cell>
        </row>
        <row r="941">
          <cell r="C941">
            <v>162</v>
          </cell>
          <cell r="G941">
            <v>81</v>
          </cell>
          <cell r="I941" t="str">
            <v>תרבות</v>
          </cell>
          <cell r="J941">
            <v>0</v>
          </cell>
          <cell r="K941">
            <v>0</v>
          </cell>
          <cell r="L941">
            <v>1822110780</v>
          </cell>
        </row>
        <row r="942">
          <cell r="C942">
            <v>162</v>
          </cell>
          <cell r="G942">
            <v>81</v>
          </cell>
          <cell r="I942" t="str">
            <v>תרבות</v>
          </cell>
          <cell r="J942">
            <v>0</v>
          </cell>
          <cell r="K942">
            <v>0</v>
          </cell>
          <cell r="L942">
            <v>1822200780</v>
          </cell>
        </row>
        <row r="943">
          <cell r="C943">
            <v>161</v>
          </cell>
          <cell r="G943">
            <v>81</v>
          </cell>
          <cell r="I943" t="str">
            <v>ספריות עירוניות</v>
          </cell>
          <cell r="J943">
            <v>0</v>
          </cell>
          <cell r="K943">
            <v>0</v>
          </cell>
          <cell r="L943">
            <v>1823000110</v>
          </cell>
        </row>
        <row r="944">
          <cell r="C944">
            <v>162</v>
          </cell>
          <cell r="G944">
            <v>81</v>
          </cell>
          <cell r="I944" t="str">
            <v>ספריות עירוניות</v>
          </cell>
          <cell r="J944">
            <v>0</v>
          </cell>
          <cell r="K944">
            <v>0</v>
          </cell>
          <cell r="L944">
            <v>1823000350</v>
          </cell>
        </row>
        <row r="945">
          <cell r="C945">
            <v>161</v>
          </cell>
          <cell r="G945">
            <v>81</v>
          </cell>
          <cell r="I945" t="str">
            <v>ספריות עירוניות</v>
          </cell>
          <cell r="J945">
            <v>0</v>
          </cell>
          <cell r="K945">
            <v>0</v>
          </cell>
          <cell r="L945">
            <v>1823000470</v>
          </cell>
        </row>
        <row r="946">
          <cell r="C946">
            <v>161</v>
          </cell>
          <cell r="G946">
            <v>81</v>
          </cell>
          <cell r="I946" t="str">
            <v>ספריות עירוניות</v>
          </cell>
          <cell r="J946">
            <v>0</v>
          </cell>
          <cell r="K946">
            <v>0</v>
          </cell>
          <cell r="L946">
            <v>1823000540</v>
          </cell>
        </row>
        <row r="947">
          <cell r="C947">
            <v>161</v>
          </cell>
          <cell r="G947">
            <v>81</v>
          </cell>
          <cell r="I947" t="str">
            <v>ספריות עירוניות</v>
          </cell>
          <cell r="J947">
            <v>0</v>
          </cell>
          <cell r="K947">
            <v>0</v>
          </cell>
          <cell r="L947">
            <v>1823000720</v>
          </cell>
        </row>
        <row r="948">
          <cell r="C948">
            <v>162</v>
          </cell>
          <cell r="G948">
            <v>81</v>
          </cell>
          <cell r="I948" t="str">
            <v>ספריות עירוניות</v>
          </cell>
          <cell r="J948">
            <v>0</v>
          </cell>
          <cell r="K948">
            <v>0</v>
          </cell>
          <cell r="L948">
            <v>1823000930</v>
          </cell>
        </row>
        <row r="949">
          <cell r="C949">
            <v>162</v>
          </cell>
          <cell r="G949">
            <v>81</v>
          </cell>
          <cell r="I949" t="str">
            <v>מתנסי"ם</v>
          </cell>
          <cell r="J949">
            <v>0</v>
          </cell>
          <cell r="K949">
            <v>0</v>
          </cell>
          <cell r="L949">
            <v>1824000110</v>
          </cell>
        </row>
        <row r="950">
          <cell r="C950">
            <v>162</v>
          </cell>
          <cell r="G950">
            <v>81</v>
          </cell>
          <cell r="I950" t="str">
            <v>תרבות</v>
          </cell>
          <cell r="J950">
            <v>0</v>
          </cell>
          <cell r="K950">
            <v>0</v>
          </cell>
          <cell r="L950">
            <v>1821000430</v>
          </cell>
        </row>
        <row r="951">
          <cell r="C951">
            <v>162</v>
          </cell>
          <cell r="G951">
            <v>81</v>
          </cell>
          <cell r="I951" t="str">
            <v>מתנסי"ם</v>
          </cell>
          <cell r="J951">
            <v>0</v>
          </cell>
          <cell r="K951">
            <v>0</v>
          </cell>
          <cell r="L951">
            <v>1824000541</v>
          </cell>
        </row>
        <row r="952">
          <cell r="C952">
            <v>162</v>
          </cell>
          <cell r="G952">
            <v>81</v>
          </cell>
          <cell r="I952" t="str">
            <v>מתנסי"ם</v>
          </cell>
          <cell r="J952">
            <v>0</v>
          </cell>
          <cell r="K952">
            <v>0</v>
          </cell>
          <cell r="L952">
            <v>1824000720</v>
          </cell>
        </row>
        <row r="953">
          <cell r="C953">
            <v>162</v>
          </cell>
          <cell r="G953">
            <v>81</v>
          </cell>
          <cell r="I953" t="str">
            <v>מתנסי"ם</v>
          </cell>
          <cell r="J953">
            <v>0</v>
          </cell>
          <cell r="K953">
            <v>0</v>
          </cell>
          <cell r="L953">
            <v>1824000750</v>
          </cell>
        </row>
        <row r="954">
          <cell r="C954">
            <v>161</v>
          </cell>
          <cell r="G954">
            <v>81</v>
          </cell>
          <cell r="I954" t="str">
            <v>תרבות</v>
          </cell>
          <cell r="J954">
            <v>0</v>
          </cell>
          <cell r="K954">
            <v>0</v>
          </cell>
          <cell r="L954">
            <v>1821000780</v>
          </cell>
        </row>
        <row r="955">
          <cell r="C955">
            <v>161</v>
          </cell>
          <cell r="G955">
            <v>81</v>
          </cell>
          <cell r="I955" t="str">
            <v>תרבות</v>
          </cell>
          <cell r="J955">
            <v>0</v>
          </cell>
          <cell r="K955">
            <v>0</v>
          </cell>
          <cell r="L955">
            <v>1821100430</v>
          </cell>
        </row>
        <row r="956">
          <cell r="C956">
            <v>162</v>
          </cell>
          <cell r="G956">
            <v>81</v>
          </cell>
          <cell r="I956" t="str">
            <v>תרבות</v>
          </cell>
          <cell r="J956">
            <v>0</v>
          </cell>
          <cell r="K956">
            <v>0</v>
          </cell>
          <cell r="L956">
            <v>1821000510</v>
          </cell>
        </row>
        <row r="957">
          <cell r="C957">
            <v>161</v>
          </cell>
          <cell r="G957">
            <v>81</v>
          </cell>
          <cell r="I957" t="str">
            <v>תרבות</v>
          </cell>
          <cell r="J957">
            <v>0</v>
          </cell>
          <cell r="K957">
            <v>0</v>
          </cell>
          <cell r="L957">
            <v>1825000110</v>
          </cell>
        </row>
        <row r="958">
          <cell r="C958">
            <v>162</v>
          </cell>
          <cell r="G958">
            <v>81</v>
          </cell>
          <cell r="I958" t="str">
            <v>תרבות</v>
          </cell>
          <cell r="J958">
            <v>0</v>
          </cell>
          <cell r="K958">
            <v>0</v>
          </cell>
          <cell r="L958">
            <v>1825000750</v>
          </cell>
        </row>
        <row r="959">
          <cell r="C959">
            <v>162</v>
          </cell>
          <cell r="G959">
            <v>81</v>
          </cell>
          <cell r="I959" t="str">
            <v>תרבות</v>
          </cell>
          <cell r="J959">
            <v>0</v>
          </cell>
          <cell r="K959">
            <v>0</v>
          </cell>
          <cell r="L959">
            <v>1826400750</v>
          </cell>
        </row>
        <row r="960">
          <cell r="C960">
            <v>161</v>
          </cell>
          <cell r="G960">
            <v>81</v>
          </cell>
          <cell r="I960" t="str">
            <v>תרבות</v>
          </cell>
          <cell r="J960">
            <v>0</v>
          </cell>
          <cell r="K960">
            <v>0</v>
          </cell>
          <cell r="L960">
            <v>1828000110</v>
          </cell>
        </row>
        <row r="961">
          <cell r="C961">
            <v>161</v>
          </cell>
          <cell r="G961">
            <v>81</v>
          </cell>
          <cell r="I961" t="str">
            <v>תרבות</v>
          </cell>
          <cell r="J961">
            <v>0</v>
          </cell>
          <cell r="K961">
            <v>0</v>
          </cell>
          <cell r="L961">
            <v>1828000210</v>
          </cell>
        </row>
        <row r="962">
          <cell r="C962">
            <v>162</v>
          </cell>
          <cell r="G962">
            <v>81</v>
          </cell>
          <cell r="I962" t="str">
            <v>תרבות</v>
          </cell>
          <cell r="J962">
            <v>0</v>
          </cell>
          <cell r="K962">
            <v>0</v>
          </cell>
          <cell r="L962">
            <v>1828000350</v>
          </cell>
        </row>
        <row r="963">
          <cell r="C963">
            <v>162</v>
          </cell>
          <cell r="G963">
            <v>81</v>
          </cell>
          <cell r="I963" t="str">
            <v>תרבות</v>
          </cell>
          <cell r="J963">
            <v>0</v>
          </cell>
          <cell r="K963">
            <v>0</v>
          </cell>
          <cell r="L963">
            <v>1828200110</v>
          </cell>
        </row>
        <row r="964">
          <cell r="C964">
            <v>161</v>
          </cell>
          <cell r="G964">
            <v>81</v>
          </cell>
          <cell r="I964" t="str">
            <v>תרבות</v>
          </cell>
          <cell r="J964">
            <v>0</v>
          </cell>
          <cell r="K964">
            <v>0</v>
          </cell>
          <cell r="L964">
            <v>1828200410</v>
          </cell>
        </row>
        <row r="965">
          <cell r="C965">
            <v>162</v>
          </cell>
          <cell r="G965">
            <v>81</v>
          </cell>
          <cell r="I965" t="str">
            <v>תרבות</v>
          </cell>
          <cell r="J965">
            <v>0</v>
          </cell>
          <cell r="K965">
            <v>0</v>
          </cell>
          <cell r="L965">
            <v>1828200430</v>
          </cell>
        </row>
        <row r="966">
          <cell r="C966">
            <v>161</v>
          </cell>
          <cell r="G966">
            <v>81</v>
          </cell>
          <cell r="I966" t="str">
            <v>תרבות</v>
          </cell>
          <cell r="J966">
            <v>0</v>
          </cell>
          <cell r="K966">
            <v>0</v>
          </cell>
          <cell r="L966">
            <v>1828200720</v>
          </cell>
        </row>
        <row r="967">
          <cell r="C967">
            <v>162</v>
          </cell>
          <cell r="G967">
            <v>81</v>
          </cell>
          <cell r="I967" t="str">
            <v>תרבות</v>
          </cell>
          <cell r="J967">
            <v>0</v>
          </cell>
          <cell r="K967">
            <v>0</v>
          </cell>
          <cell r="L967">
            <v>1828200740</v>
          </cell>
        </row>
        <row r="968">
          <cell r="C968">
            <v>161</v>
          </cell>
          <cell r="G968">
            <v>81</v>
          </cell>
          <cell r="I968" t="str">
            <v>תרבות</v>
          </cell>
          <cell r="J968">
            <v>0</v>
          </cell>
          <cell r="K968">
            <v>0</v>
          </cell>
          <cell r="L968">
            <v>1828200750</v>
          </cell>
        </row>
        <row r="969">
          <cell r="C969">
            <v>162</v>
          </cell>
          <cell r="G969">
            <v>81</v>
          </cell>
          <cell r="I969" t="str">
            <v>תרבות</v>
          </cell>
          <cell r="J969">
            <v>0</v>
          </cell>
          <cell r="K969">
            <v>0</v>
          </cell>
          <cell r="L969">
            <v>1828210110</v>
          </cell>
        </row>
        <row r="970">
          <cell r="C970">
            <v>162</v>
          </cell>
          <cell r="G970">
            <v>81</v>
          </cell>
          <cell r="I970" t="str">
            <v>תרבות</v>
          </cell>
          <cell r="J970">
            <v>0</v>
          </cell>
          <cell r="K970">
            <v>0</v>
          </cell>
          <cell r="L970">
            <v>1828210810</v>
          </cell>
        </row>
        <row r="971">
          <cell r="C971">
            <v>162</v>
          </cell>
          <cell r="G971">
            <v>81</v>
          </cell>
          <cell r="I971" t="str">
            <v>תרבות</v>
          </cell>
          <cell r="J971">
            <v>0</v>
          </cell>
          <cell r="K971">
            <v>0</v>
          </cell>
          <cell r="L971">
            <v>1828220110</v>
          </cell>
        </row>
        <row r="972">
          <cell r="C972">
            <v>162</v>
          </cell>
          <cell r="G972">
            <v>81</v>
          </cell>
          <cell r="I972" t="str">
            <v>תרבות</v>
          </cell>
          <cell r="J972">
            <v>0</v>
          </cell>
          <cell r="K972">
            <v>0</v>
          </cell>
          <cell r="L972">
            <v>1828220810</v>
          </cell>
        </row>
        <row r="973">
          <cell r="C973">
            <v>151</v>
          </cell>
          <cell r="G973">
            <v>82</v>
          </cell>
          <cell r="I973" t="str">
            <v>תרבות</v>
          </cell>
          <cell r="J973">
            <v>0</v>
          </cell>
          <cell r="K973">
            <v>0</v>
          </cell>
          <cell r="L973">
            <v>1828400110</v>
          </cell>
        </row>
        <row r="974">
          <cell r="C974">
            <v>151</v>
          </cell>
          <cell r="G974">
            <v>82</v>
          </cell>
          <cell r="I974" t="str">
            <v>תרבות</v>
          </cell>
          <cell r="J974">
            <v>0</v>
          </cell>
          <cell r="K974">
            <v>0</v>
          </cell>
          <cell r="L974">
            <v>1828400750</v>
          </cell>
        </row>
        <row r="975">
          <cell r="C975">
            <v>151</v>
          </cell>
          <cell r="G975">
            <v>82</v>
          </cell>
          <cell r="I975" t="str">
            <v>תרבות</v>
          </cell>
          <cell r="J975">
            <v>0</v>
          </cell>
          <cell r="K975">
            <v>0</v>
          </cell>
          <cell r="L975">
            <v>1828410110</v>
          </cell>
        </row>
        <row r="976">
          <cell r="C976">
            <v>152</v>
          </cell>
          <cell r="G976">
            <v>82</v>
          </cell>
          <cell r="I976" t="str">
            <v>תרבות</v>
          </cell>
          <cell r="J976">
            <v>0</v>
          </cell>
          <cell r="K976">
            <v>0</v>
          </cell>
          <cell r="L976">
            <v>1828410750</v>
          </cell>
        </row>
        <row r="977">
          <cell r="C977">
            <v>152</v>
          </cell>
          <cell r="G977">
            <v>82</v>
          </cell>
          <cell r="I977" t="str">
            <v>תרבות</v>
          </cell>
          <cell r="J977">
            <v>0</v>
          </cell>
          <cell r="K977">
            <v>0</v>
          </cell>
          <cell r="L977">
            <v>1828500110</v>
          </cell>
        </row>
        <row r="978">
          <cell r="C978">
            <v>152</v>
          </cell>
          <cell r="G978">
            <v>82</v>
          </cell>
          <cell r="I978" t="str">
            <v>תרבות</v>
          </cell>
          <cell r="J978">
            <v>0</v>
          </cell>
          <cell r="K978">
            <v>0</v>
          </cell>
          <cell r="L978">
            <v>1828500731</v>
          </cell>
        </row>
        <row r="979">
          <cell r="C979">
            <v>152</v>
          </cell>
          <cell r="G979">
            <v>82</v>
          </cell>
          <cell r="I979" t="str">
            <v>תרבות</v>
          </cell>
          <cell r="J979">
            <v>0</v>
          </cell>
          <cell r="K979">
            <v>0</v>
          </cell>
          <cell r="L979">
            <v>1828500735</v>
          </cell>
        </row>
        <row r="980">
          <cell r="C980">
            <v>152</v>
          </cell>
          <cell r="G980">
            <v>82</v>
          </cell>
          <cell r="I980" t="str">
            <v>תרבות</v>
          </cell>
          <cell r="J980">
            <v>0</v>
          </cell>
          <cell r="K980">
            <v>0</v>
          </cell>
          <cell r="L980">
            <v>1828500750</v>
          </cell>
        </row>
        <row r="981">
          <cell r="C981">
            <v>152</v>
          </cell>
          <cell r="G981">
            <v>82</v>
          </cell>
          <cell r="I981" t="str">
            <v>תרבות</v>
          </cell>
          <cell r="J981">
            <v>0</v>
          </cell>
          <cell r="K981">
            <v>0</v>
          </cell>
          <cell r="L981">
            <v>1828501110</v>
          </cell>
        </row>
        <row r="982">
          <cell r="C982">
            <v>152</v>
          </cell>
          <cell r="G982">
            <v>82</v>
          </cell>
          <cell r="I982" t="str">
            <v>תרבות</v>
          </cell>
          <cell r="J982">
            <v>0</v>
          </cell>
          <cell r="K982">
            <v>0</v>
          </cell>
          <cell r="L982">
            <v>1828501750</v>
          </cell>
        </row>
        <row r="983">
          <cell r="C983">
            <v>152</v>
          </cell>
          <cell r="G983">
            <v>82</v>
          </cell>
          <cell r="I983" t="str">
            <v>תרבות</v>
          </cell>
          <cell r="J983">
            <v>0</v>
          </cell>
          <cell r="K983">
            <v>0</v>
          </cell>
          <cell r="L983">
            <v>1828502110</v>
          </cell>
        </row>
        <row r="984">
          <cell r="C984">
            <v>152</v>
          </cell>
          <cell r="G984">
            <v>82</v>
          </cell>
          <cell r="I984" t="str">
            <v>תרבות</v>
          </cell>
          <cell r="J984">
            <v>0</v>
          </cell>
          <cell r="K984">
            <v>0</v>
          </cell>
          <cell r="L984">
            <v>1828502750</v>
          </cell>
        </row>
        <row r="985">
          <cell r="C985">
            <v>152</v>
          </cell>
          <cell r="G985">
            <v>82</v>
          </cell>
          <cell r="I985" t="str">
            <v>תרבות</v>
          </cell>
          <cell r="J985">
            <v>0</v>
          </cell>
          <cell r="K985">
            <v>0</v>
          </cell>
          <cell r="L985">
            <v>1828503110</v>
          </cell>
        </row>
        <row r="986">
          <cell r="C986">
            <v>152</v>
          </cell>
          <cell r="G986">
            <v>82</v>
          </cell>
          <cell r="I986" t="str">
            <v>תרבות</v>
          </cell>
          <cell r="J986">
            <v>0</v>
          </cell>
          <cell r="K986">
            <v>0</v>
          </cell>
          <cell r="L986">
            <v>1828503750</v>
          </cell>
        </row>
        <row r="987">
          <cell r="C987">
            <v>152</v>
          </cell>
          <cell r="G987">
            <v>82</v>
          </cell>
          <cell r="I987" t="str">
            <v>תרבות</v>
          </cell>
          <cell r="J987">
            <v>0</v>
          </cell>
          <cell r="K987">
            <v>0</v>
          </cell>
          <cell r="L987">
            <v>1828504110</v>
          </cell>
        </row>
        <row r="988">
          <cell r="C988">
            <v>151</v>
          </cell>
          <cell r="G988">
            <v>82</v>
          </cell>
          <cell r="I988" t="str">
            <v>תרבות</v>
          </cell>
          <cell r="J988">
            <v>0</v>
          </cell>
          <cell r="K988">
            <v>0</v>
          </cell>
          <cell r="L988">
            <v>1828504750</v>
          </cell>
        </row>
        <row r="989">
          <cell r="C989">
            <v>152</v>
          </cell>
          <cell r="G989">
            <v>82</v>
          </cell>
          <cell r="I989" t="str">
            <v>תרבות</v>
          </cell>
          <cell r="J989">
            <v>0</v>
          </cell>
          <cell r="K989">
            <v>0</v>
          </cell>
          <cell r="L989">
            <v>1828505110</v>
          </cell>
        </row>
        <row r="990">
          <cell r="C990">
            <v>152</v>
          </cell>
          <cell r="G990">
            <v>82</v>
          </cell>
          <cell r="I990" t="str">
            <v>תרבות</v>
          </cell>
          <cell r="J990">
            <v>0</v>
          </cell>
          <cell r="K990">
            <v>0</v>
          </cell>
          <cell r="L990">
            <v>1828505750</v>
          </cell>
        </row>
        <row r="991">
          <cell r="C991">
            <v>152</v>
          </cell>
          <cell r="G991">
            <v>82</v>
          </cell>
          <cell r="I991" t="str">
            <v>תרבות</v>
          </cell>
          <cell r="J991">
            <v>0</v>
          </cell>
          <cell r="K991">
            <v>0</v>
          </cell>
          <cell r="L991">
            <v>1828506110</v>
          </cell>
        </row>
        <row r="992">
          <cell r="C992">
            <v>152</v>
          </cell>
          <cell r="G992">
            <v>82</v>
          </cell>
          <cell r="I992" t="str">
            <v>תרבות</v>
          </cell>
          <cell r="J992">
            <v>0</v>
          </cell>
          <cell r="K992">
            <v>0</v>
          </cell>
          <cell r="L992">
            <v>1828506410</v>
          </cell>
        </row>
        <row r="993">
          <cell r="C993">
            <v>151</v>
          </cell>
          <cell r="G993">
            <v>82</v>
          </cell>
          <cell r="I993" t="str">
            <v>תרבות</v>
          </cell>
          <cell r="J993">
            <v>0</v>
          </cell>
          <cell r="K993">
            <v>0</v>
          </cell>
          <cell r="L993">
            <v>1828506431</v>
          </cell>
        </row>
        <row r="994">
          <cell r="C994">
            <v>151</v>
          </cell>
          <cell r="G994">
            <v>82</v>
          </cell>
          <cell r="I994" t="str">
            <v>תרבות</v>
          </cell>
          <cell r="J994">
            <v>0</v>
          </cell>
          <cell r="K994">
            <v>0</v>
          </cell>
          <cell r="L994">
            <v>1828507110</v>
          </cell>
        </row>
        <row r="995">
          <cell r="C995">
            <v>152</v>
          </cell>
          <cell r="G995">
            <v>82</v>
          </cell>
          <cell r="I995" t="str">
            <v>ספורט</v>
          </cell>
          <cell r="J995">
            <v>0</v>
          </cell>
          <cell r="K995">
            <v>0</v>
          </cell>
          <cell r="L995">
            <v>1829000110</v>
          </cell>
        </row>
        <row r="996">
          <cell r="C996">
            <v>152</v>
          </cell>
          <cell r="G996">
            <v>82</v>
          </cell>
          <cell r="I996" t="str">
            <v>ספורט</v>
          </cell>
          <cell r="J996">
            <v>0</v>
          </cell>
          <cell r="K996">
            <v>0</v>
          </cell>
          <cell r="L996">
            <v>1829000210</v>
          </cell>
        </row>
        <row r="997">
          <cell r="C997">
            <v>152</v>
          </cell>
          <cell r="G997">
            <v>82</v>
          </cell>
          <cell r="I997" t="str">
            <v>ספורט</v>
          </cell>
          <cell r="J997">
            <v>0</v>
          </cell>
          <cell r="K997">
            <v>0</v>
          </cell>
          <cell r="L997">
            <v>1829000350</v>
          </cell>
        </row>
        <row r="998">
          <cell r="C998">
            <v>152</v>
          </cell>
          <cell r="G998">
            <v>82</v>
          </cell>
          <cell r="I998" t="str">
            <v>ספורט</v>
          </cell>
          <cell r="J998">
            <v>0</v>
          </cell>
          <cell r="K998">
            <v>0</v>
          </cell>
          <cell r="L998">
            <v>1829000720</v>
          </cell>
        </row>
        <row r="999">
          <cell r="C999">
            <v>151</v>
          </cell>
          <cell r="G999">
            <v>82</v>
          </cell>
          <cell r="I999" t="str">
            <v>ספורט</v>
          </cell>
          <cell r="J999">
            <v>0</v>
          </cell>
          <cell r="K999">
            <v>0</v>
          </cell>
          <cell r="L999">
            <v>1829000810</v>
          </cell>
        </row>
        <row r="1000">
          <cell r="C1000">
            <v>152</v>
          </cell>
          <cell r="G1000">
            <v>82</v>
          </cell>
          <cell r="I1000" t="str">
            <v>ספורט</v>
          </cell>
          <cell r="J1000">
            <v>0</v>
          </cell>
          <cell r="K1000">
            <v>0</v>
          </cell>
          <cell r="L1000">
            <v>1829100810</v>
          </cell>
        </row>
        <row r="1001">
          <cell r="C1001">
            <v>152</v>
          </cell>
          <cell r="G1001">
            <v>82</v>
          </cell>
          <cell r="I1001" t="str">
            <v>ספורט</v>
          </cell>
          <cell r="J1001">
            <v>0</v>
          </cell>
          <cell r="K1001">
            <v>0</v>
          </cell>
          <cell r="L1001">
            <v>1829200420</v>
          </cell>
        </row>
        <row r="1002">
          <cell r="C1002">
            <v>152</v>
          </cell>
          <cell r="G1002">
            <v>82</v>
          </cell>
          <cell r="I1002" t="str">
            <v>ספורט</v>
          </cell>
          <cell r="J1002">
            <v>0</v>
          </cell>
          <cell r="K1002">
            <v>0</v>
          </cell>
          <cell r="L1002">
            <v>1829200430</v>
          </cell>
        </row>
        <row r="1003">
          <cell r="C1003">
            <v>151</v>
          </cell>
          <cell r="G1003">
            <v>82</v>
          </cell>
          <cell r="I1003" t="str">
            <v>ספורט</v>
          </cell>
          <cell r="J1003">
            <v>0</v>
          </cell>
          <cell r="K1003">
            <v>0</v>
          </cell>
          <cell r="L1003">
            <v>1829000432</v>
          </cell>
        </row>
        <row r="1004">
          <cell r="C1004">
            <v>152</v>
          </cell>
          <cell r="G1004">
            <v>82</v>
          </cell>
          <cell r="I1004" t="str">
            <v>ספורט</v>
          </cell>
          <cell r="J1004">
            <v>0</v>
          </cell>
          <cell r="K1004">
            <v>0</v>
          </cell>
          <cell r="L1004">
            <v>1829200720</v>
          </cell>
        </row>
        <row r="1005">
          <cell r="C1005">
            <v>152</v>
          </cell>
          <cell r="G1005">
            <v>82</v>
          </cell>
          <cell r="I1005" t="str">
            <v>ספורט</v>
          </cell>
          <cell r="J1005">
            <v>0</v>
          </cell>
          <cell r="K1005">
            <v>0</v>
          </cell>
          <cell r="L1005">
            <v>1829000780</v>
          </cell>
        </row>
        <row r="1006">
          <cell r="C1006">
            <v>151</v>
          </cell>
          <cell r="G1006">
            <v>82</v>
          </cell>
          <cell r="I1006" t="str">
            <v>ספורט</v>
          </cell>
          <cell r="J1006">
            <v>0</v>
          </cell>
          <cell r="K1006">
            <v>0</v>
          </cell>
          <cell r="L1006">
            <v>1829200780</v>
          </cell>
        </row>
        <row r="1007">
          <cell r="C1007">
            <v>151</v>
          </cell>
          <cell r="G1007">
            <v>82</v>
          </cell>
          <cell r="I1007" t="str">
            <v>ספורט</v>
          </cell>
          <cell r="J1007">
            <v>0</v>
          </cell>
          <cell r="K1007">
            <v>0</v>
          </cell>
          <cell r="L1007">
            <v>1829200910</v>
          </cell>
        </row>
        <row r="1008">
          <cell r="C1008">
            <v>151</v>
          </cell>
          <cell r="G1008">
            <v>82</v>
          </cell>
          <cell r="I1008" t="str">
            <v>ספורט</v>
          </cell>
          <cell r="J1008">
            <v>0</v>
          </cell>
          <cell r="K1008">
            <v>0</v>
          </cell>
          <cell r="L1008">
            <v>1829210750</v>
          </cell>
        </row>
        <row r="1009">
          <cell r="C1009">
            <v>151</v>
          </cell>
          <cell r="G1009">
            <v>82</v>
          </cell>
          <cell r="I1009" t="str">
            <v>ספורט</v>
          </cell>
          <cell r="J1009">
            <v>0</v>
          </cell>
          <cell r="K1009">
            <v>0</v>
          </cell>
          <cell r="L1009">
            <v>1829211750</v>
          </cell>
        </row>
        <row r="1010">
          <cell r="C1010">
            <v>152</v>
          </cell>
          <cell r="G1010">
            <v>82</v>
          </cell>
          <cell r="I1010" t="str">
            <v>ספורט</v>
          </cell>
          <cell r="J1010">
            <v>0</v>
          </cell>
          <cell r="K1010">
            <v>0</v>
          </cell>
          <cell r="L1010">
            <v>1829230750</v>
          </cell>
        </row>
        <row r="1011">
          <cell r="C1011">
            <v>152</v>
          </cell>
          <cell r="G1011">
            <v>82</v>
          </cell>
          <cell r="I1011" t="str">
            <v>ספורט</v>
          </cell>
          <cell r="J1011">
            <v>0</v>
          </cell>
          <cell r="K1011">
            <v>0</v>
          </cell>
          <cell r="L1011">
            <v>1829240750</v>
          </cell>
        </row>
        <row r="1012">
          <cell r="C1012">
            <v>152</v>
          </cell>
          <cell r="G1012">
            <v>82</v>
          </cell>
          <cell r="I1012" t="str">
            <v>ספורט</v>
          </cell>
          <cell r="J1012">
            <v>0</v>
          </cell>
          <cell r="K1012">
            <v>0</v>
          </cell>
          <cell r="L1012">
            <v>1829245750</v>
          </cell>
        </row>
        <row r="1013">
          <cell r="C1013">
            <v>152</v>
          </cell>
          <cell r="G1013">
            <v>82</v>
          </cell>
          <cell r="I1013" t="str">
            <v>ספורט</v>
          </cell>
          <cell r="J1013">
            <v>0</v>
          </cell>
          <cell r="K1013">
            <v>0</v>
          </cell>
          <cell r="L1013">
            <v>1829250750</v>
          </cell>
        </row>
        <row r="1014">
          <cell r="C1014">
            <v>152</v>
          </cell>
          <cell r="G1014">
            <v>82</v>
          </cell>
          <cell r="I1014" t="str">
            <v>ספורט</v>
          </cell>
          <cell r="J1014">
            <v>0</v>
          </cell>
          <cell r="K1014">
            <v>0</v>
          </cell>
          <cell r="L1014">
            <v>1829260110</v>
          </cell>
        </row>
        <row r="1015">
          <cell r="C1015">
            <v>151</v>
          </cell>
          <cell r="G1015">
            <v>82</v>
          </cell>
          <cell r="I1015" t="str">
            <v>ספורט</v>
          </cell>
          <cell r="J1015">
            <v>0</v>
          </cell>
          <cell r="K1015">
            <v>0</v>
          </cell>
          <cell r="L1015">
            <v>1829260750</v>
          </cell>
        </row>
        <row r="1016">
          <cell r="C1016">
            <v>152</v>
          </cell>
          <cell r="G1016">
            <v>82</v>
          </cell>
          <cell r="I1016" t="str">
            <v>בריאות</v>
          </cell>
          <cell r="J1016">
            <v>0</v>
          </cell>
          <cell r="K1016">
            <v>0</v>
          </cell>
          <cell r="L1016">
            <v>1831000110</v>
          </cell>
        </row>
        <row r="1017">
          <cell r="C1017">
            <v>151</v>
          </cell>
          <cell r="G1017">
            <v>82</v>
          </cell>
          <cell r="I1017" t="str">
            <v>בריאות</v>
          </cell>
          <cell r="J1017">
            <v>0</v>
          </cell>
          <cell r="K1017">
            <v>0</v>
          </cell>
          <cell r="L1017">
            <v>1831000750</v>
          </cell>
        </row>
        <row r="1018">
          <cell r="C1018">
            <v>152</v>
          </cell>
          <cell r="G1018">
            <v>82</v>
          </cell>
          <cell r="I1018" t="str">
            <v>בריאות</v>
          </cell>
          <cell r="J1018">
            <v>0</v>
          </cell>
          <cell r="K1018">
            <v>0</v>
          </cell>
          <cell r="L1018">
            <v>1832000410</v>
          </cell>
        </row>
        <row r="1019">
          <cell r="C1019">
            <v>151</v>
          </cell>
          <cell r="G1019">
            <v>82</v>
          </cell>
          <cell r="I1019" t="str">
            <v>בריאות</v>
          </cell>
          <cell r="J1019">
            <v>0</v>
          </cell>
          <cell r="K1019">
            <v>0</v>
          </cell>
          <cell r="L1019">
            <v>1832000430</v>
          </cell>
        </row>
        <row r="1020">
          <cell r="C1020">
            <v>152</v>
          </cell>
          <cell r="G1020">
            <v>82</v>
          </cell>
          <cell r="I1020" t="str">
            <v>בריאות</v>
          </cell>
          <cell r="J1020">
            <v>0</v>
          </cell>
          <cell r="K1020">
            <v>0</v>
          </cell>
          <cell r="L1020">
            <v>1832000431</v>
          </cell>
        </row>
        <row r="1021">
          <cell r="C1021">
            <v>151</v>
          </cell>
          <cell r="G1021">
            <v>82</v>
          </cell>
          <cell r="I1021" t="str">
            <v>בריאות</v>
          </cell>
          <cell r="J1021">
            <v>0</v>
          </cell>
          <cell r="K1021">
            <v>0</v>
          </cell>
          <cell r="L1021">
            <v>1832000432</v>
          </cell>
        </row>
        <row r="1022">
          <cell r="C1022">
            <v>152</v>
          </cell>
          <cell r="G1022">
            <v>82</v>
          </cell>
          <cell r="I1022" t="str">
            <v>בריאות</v>
          </cell>
          <cell r="J1022">
            <v>0</v>
          </cell>
          <cell r="K1022">
            <v>0</v>
          </cell>
          <cell r="L1022">
            <v>1832000540</v>
          </cell>
        </row>
        <row r="1023">
          <cell r="C1023">
            <v>151</v>
          </cell>
          <cell r="G1023">
            <v>82</v>
          </cell>
          <cell r="I1023" t="str">
            <v>בריאות</v>
          </cell>
          <cell r="J1023">
            <v>0</v>
          </cell>
          <cell r="K1023">
            <v>0</v>
          </cell>
          <cell r="L1023">
            <v>1832000720</v>
          </cell>
        </row>
        <row r="1024">
          <cell r="C1024">
            <v>152</v>
          </cell>
          <cell r="G1024">
            <v>82</v>
          </cell>
          <cell r="I1024" t="str">
            <v>בריאות</v>
          </cell>
          <cell r="J1024">
            <v>0</v>
          </cell>
          <cell r="K1024">
            <v>0</v>
          </cell>
          <cell r="L1024">
            <v>1832400110</v>
          </cell>
        </row>
        <row r="1025">
          <cell r="C1025">
            <v>152</v>
          </cell>
          <cell r="G1025">
            <v>82</v>
          </cell>
          <cell r="I1025" t="str">
            <v>בריאות</v>
          </cell>
          <cell r="J1025">
            <v>0</v>
          </cell>
          <cell r="K1025">
            <v>0</v>
          </cell>
          <cell r="L1025">
            <v>1832400210</v>
          </cell>
        </row>
        <row r="1026">
          <cell r="C1026">
            <v>152</v>
          </cell>
          <cell r="G1026">
            <v>82</v>
          </cell>
          <cell r="I1026" t="str">
            <v>בריאות</v>
          </cell>
          <cell r="J1026">
            <v>0</v>
          </cell>
          <cell r="K1026">
            <v>0</v>
          </cell>
          <cell r="L1026">
            <v>1832400350</v>
          </cell>
        </row>
        <row r="1027">
          <cell r="C1027">
            <v>151</v>
          </cell>
          <cell r="G1027">
            <v>82</v>
          </cell>
          <cell r="I1027" t="str">
            <v>בריאות</v>
          </cell>
          <cell r="J1027">
            <v>0</v>
          </cell>
          <cell r="K1027">
            <v>0</v>
          </cell>
          <cell r="L1027">
            <v>1832400410</v>
          </cell>
        </row>
        <row r="1028">
          <cell r="C1028">
            <v>152</v>
          </cell>
          <cell r="G1028">
            <v>82</v>
          </cell>
          <cell r="I1028" t="str">
            <v>בריאות</v>
          </cell>
          <cell r="J1028">
            <v>0</v>
          </cell>
          <cell r="K1028">
            <v>0</v>
          </cell>
          <cell r="L1028">
            <v>1832400430</v>
          </cell>
        </row>
        <row r="1029">
          <cell r="C1029">
            <v>151</v>
          </cell>
          <cell r="G1029">
            <v>82</v>
          </cell>
          <cell r="I1029" t="str">
            <v>בריאות</v>
          </cell>
          <cell r="J1029">
            <v>0</v>
          </cell>
          <cell r="K1029">
            <v>0</v>
          </cell>
          <cell r="L1029">
            <v>1836000532</v>
          </cell>
        </row>
        <row r="1030">
          <cell r="C1030">
            <v>152</v>
          </cell>
          <cell r="G1030">
            <v>82</v>
          </cell>
          <cell r="I1030" t="str">
            <v>בריאות</v>
          </cell>
          <cell r="J1030">
            <v>0</v>
          </cell>
          <cell r="K1030">
            <v>0</v>
          </cell>
          <cell r="L1030">
            <v>1836100730</v>
          </cell>
        </row>
        <row r="1031">
          <cell r="C1031">
            <v>151</v>
          </cell>
          <cell r="G1031">
            <v>82</v>
          </cell>
          <cell r="I1031" t="str">
            <v>רווחה</v>
          </cell>
          <cell r="J1031">
            <v>0</v>
          </cell>
          <cell r="K1031">
            <v>0</v>
          </cell>
          <cell r="L1031">
            <v>1841000110</v>
          </cell>
        </row>
        <row r="1032">
          <cell r="C1032">
            <v>152</v>
          </cell>
          <cell r="G1032">
            <v>82</v>
          </cell>
          <cell r="I1032" t="str">
            <v>רווחה</v>
          </cell>
          <cell r="J1032">
            <v>0</v>
          </cell>
          <cell r="K1032">
            <v>0</v>
          </cell>
          <cell r="L1032">
            <v>1841000210</v>
          </cell>
        </row>
        <row r="1033">
          <cell r="C1033">
            <v>151</v>
          </cell>
          <cell r="G1033">
            <v>82</v>
          </cell>
          <cell r="I1033" t="str">
            <v>רווחה</v>
          </cell>
          <cell r="J1033">
            <v>0</v>
          </cell>
          <cell r="K1033">
            <v>0</v>
          </cell>
          <cell r="L1033">
            <v>1841000350</v>
          </cell>
        </row>
        <row r="1034">
          <cell r="C1034">
            <v>152</v>
          </cell>
          <cell r="G1034">
            <v>82</v>
          </cell>
          <cell r="I1034" t="str">
            <v>רווחה</v>
          </cell>
          <cell r="J1034">
            <v>0</v>
          </cell>
          <cell r="K1034">
            <v>0</v>
          </cell>
          <cell r="L1034">
            <v>1841000410</v>
          </cell>
        </row>
        <row r="1035">
          <cell r="C1035">
            <v>151</v>
          </cell>
          <cell r="G1035">
            <v>82</v>
          </cell>
          <cell r="I1035" t="str">
            <v>רווחה</v>
          </cell>
          <cell r="J1035">
            <v>0</v>
          </cell>
          <cell r="K1035">
            <v>0</v>
          </cell>
          <cell r="L1035">
            <v>1841000420</v>
          </cell>
        </row>
        <row r="1036">
          <cell r="C1036">
            <v>152</v>
          </cell>
          <cell r="G1036">
            <v>82</v>
          </cell>
          <cell r="I1036" t="str">
            <v>רווחה</v>
          </cell>
          <cell r="J1036">
            <v>0</v>
          </cell>
          <cell r="K1036">
            <v>0</v>
          </cell>
          <cell r="L1036">
            <v>1841000430</v>
          </cell>
        </row>
        <row r="1037">
          <cell r="C1037">
            <v>151</v>
          </cell>
          <cell r="G1037">
            <v>82</v>
          </cell>
          <cell r="I1037" t="str">
            <v>רווחה</v>
          </cell>
          <cell r="J1037">
            <v>0</v>
          </cell>
          <cell r="K1037">
            <v>0</v>
          </cell>
          <cell r="L1037">
            <v>1841000431</v>
          </cell>
        </row>
        <row r="1038">
          <cell r="C1038">
            <v>152</v>
          </cell>
          <cell r="G1038">
            <v>82</v>
          </cell>
          <cell r="I1038" t="str">
            <v>רווחה</v>
          </cell>
          <cell r="J1038">
            <v>0</v>
          </cell>
          <cell r="K1038">
            <v>0</v>
          </cell>
          <cell r="L1038">
            <v>1841000432</v>
          </cell>
        </row>
        <row r="1039">
          <cell r="C1039">
            <v>152</v>
          </cell>
          <cell r="G1039">
            <v>82</v>
          </cell>
          <cell r="I1039" t="str">
            <v>רווחה</v>
          </cell>
          <cell r="J1039">
            <v>0</v>
          </cell>
          <cell r="K1039">
            <v>0</v>
          </cell>
          <cell r="L1039">
            <v>1841000470</v>
          </cell>
        </row>
        <row r="1040">
          <cell r="C1040">
            <v>151</v>
          </cell>
          <cell r="G1040">
            <v>82</v>
          </cell>
          <cell r="I1040" t="str">
            <v>רווחה</v>
          </cell>
          <cell r="J1040">
            <v>0</v>
          </cell>
          <cell r="K1040">
            <v>0</v>
          </cell>
          <cell r="L1040">
            <v>1841000510</v>
          </cell>
        </row>
        <row r="1041">
          <cell r="C1041">
            <v>151</v>
          </cell>
          <cell r="G1041">
            <v>82</v>
          </cell>
          <cell r="I1041" t="str">
            <v>רווחה</v>
          </cell>
          <cell r="J1041">
            <v>0</v>
          </cell>
          <cell r="K1041">
            <v>0</v>
          </cell>
          <cell r="L1041">
            <v>1841000520</v>
          </cell>
        </row>
        <row r="1042">
          <cell r="C1042">
            <v>151</v>
          </cell>
          <cell r="G1042">
            <v>82</v>
          </cell>
          <cell r="I1042" t="str">
            <v>רווחה</v>
          </cell>
          <cell r="J1042">
            <v>0</v>
          </cell>
          <cell r="K1042">
            <v>0</v>
          </cell>
          <cell r="L1042">
            <v>1841000540</v>
          </cell>
        </row>
        <row r="1043">
          <cell r="C1043">
            <v>151</v>
          </cell>
          <cell r="G1043">
            <v>82</v>
          </cell>
          <cell r="I1043" t="str">
            <v>רווחה</v>
          </cell>
          <cell r="J1043">
            <v>0</v>
          </cell>
          <cell r="K1043">
            <v>0</v>
          </cell>
          <cell r="L1043">
            <v>1841000541</v>
          </cell>
        </row>
        <row r="1044">
          <cell r="C1044">
            <v>152</v>
          </cell>
          <cell r="G1044">
            <v>82</v>
          </cell>
          <cell r="I1044" t="str">
            <v>רווחה</v>
          </cell>
          <cell r="J1044">
            <v>0</v>
          </cell>
          <cell r="K1044">
            <v>0</v>
          </cell>
          <cell r="L1044">
            <v>1841000560</v>
          </cell>
        </row>
        <row r="1045">
          <cell r="C1045">
            <v>152</v>
          </cell>
          <cell r="G1045">
            <v>82</v>
          </cell>
          <cell r="I1045" t="str">
            <v>רווחה</v>
          </cell>
          <cell r="J1045">
            <v>0</v>
          </cell>
          <cell r="K1045">
            <v>0</v>
          </cell>
          <cell r="L1045">
            <v>1841000570</v>
          </cell>
        </row>
        <row r="1046">
          <cell r="C1046">
            <v>152</v>
          </cell>
          <cell r="G1046">
            <v>82</v>
          </cell>
          <cell r="I1046" t="str">
            <v>רווחה</v>
          </cell>
          <cell r="J1046">
            <v>0</v>
          </cell>
          <cell r="K1046">
            <v>0</v>
          </cell>
          <cell r="L1046">
            <v>1841000720</v>
          </cell>
        </row>
        <row r="1047">
          <cell r="C1047">
            <v>152</v>
          </cell>
          <cell r="G1047">
            <v>82</v>
          </cell>
          <cell r="I1047" t="str">
            <v>רווחה</v>
          </cell>
          <cell r="J1047">
            <v>0</v>
          </cell>
          <cell r="K1047">
            <v>0</v>
          </cell>
          <cell r="L1047">
            <v>1841000750</v>
          </cell>
        </row>
        <row r="1048">
          <cell r="C1048">
            <v>152</v>
          </cell>
          <cell r="G1048">
            <v>82</v>
          </cell>
          <cell r="I1048" t="str">
            <v>רווחה</v>
          </cell>
          <cell r="J1048">
            <v>0</v>
          </cell>
          <cell r="K1048">
            <v>0</v>
          </cell>
          <cell r="L1048">
            <v>1841000780</v>
          </cell>
        </row>
        <row r="1049">
          <cell r="C1049">
            <v>152</v>
          </cell>
          <cell r="G1049">
            <v>82</v>
          </cell>
          <cell r="I1049" t="str">
            <v>רווחה</v>
          </cell>
          <cell r="J1049">
            <v>0</v>
          </cell>
          <cell r="K1049">
            <v>0</v>
          </cell>
          <cell r="L1049">
            <v>1841000840</v>
          </cell>
        </row>
        <row r="1050">
          <cell r="C1050">
            <v>152</v>
          </cell>
          <cell r="G1050">
            <v>82</v>
          </cell>
          <cell r="I1050" t="str">
            <v>רווחה</v>
          </cell>
          <cell r="J1050">
            <v>0</v>
          </cell>
          <cell r="K1050">
            <v>0</v>
          </cell>
          <cell r="L1050">
            <v>1841001110</v>
          </cell>
        </row>
        <row r="1051">
          <cell r="C1051">
            <v>152</v>
          </cell>
          <cell r="G1051">
            <v>82</v>
          </cell>
          <cell r="I1051" t="str">
            <v>רווחה</v>
          </cell>
          <cell r="J1051">
            <v>0</v>
          </cell>
          <cell r="K1051">
            <v>0</v>
          </cell>
          <cell r="L1051">
            <v>1841001210</v>
          </cell>
        </row>
        <row r="1052">
          <cell r="C1052">
            <v>152</v>
          </cell>
          <cell r="G1052">
            <v>82</v>
          </cell>
          <cell r="I1052" t="str">
            <v>רווחה</v>
          </cell>
          <cell r="J1052">
            <v>0</v>
          </cell>
          <cell r="K1052">
            <v>0</v>
          </cell>
          <cell r="L1052">
            <v>1841001350</v>
          </cell>
        </row>
        <row r="1053">
          <cell r="C1053">
            <v>152</v>
          </cell>
          <cell r="G1053">
            <v>82</v>
          </cell>
          <cell r="I1053" t="str">
            <v>רווחה</v>
          </cell>
          <cell r="J1053">
            <v>0</v>
          </cell>
          <cell r="K1053">
            <v>0</v>
          </cell>
          <cell r="L1053">
            <v>1841010840</v>
          </cell>
        </row>
        <row r="1054">
          <cell r="C1054">
            <v>152</v>
          </cell>
          <cell r="G1054">
            <v>82</v>
          </cell>
          <cell r="I1054" t="str">
            <v>רווחה</v>
          </cell>
          <cell r="J1054">
            <v>0</v>
          </cell>
          <cell r="K1054">
            <v>0</v>
          </cell>
          <cell r="L1054">
            <v>1841100110</v>
          </cell>
        </row>
        <row r="1055">
          <cell r="C1055">
            <v>152</v>
          </cell>
          <cell r="G1055">
            <v>82</v>
          </cell>
          <cell r="I1055" t="str">
            <v>רווחה</v>
          </cell>
          <cell r="J1055">
            <v>0</v>
          </cell>
          <cell r="K1055">
            <v>0</v>
          </cell>
          <cell r="L1055">
            <v>1841100410</v>
          </cell>
        </row>
        <row r="1056">
          <cell r="C1056">
            <v>152</v>
          </cell>
          <cell r="G1056">
            <v>82</v>
          </cell>
          <cell r="I1056" t="str">
            <v>רווחה</v>
          </cell>
          <cell r="J1056">
            <v>0</v>
          </cell>
          <cell r="K1056">
            <v>0</v>
          </cell>
          <cell r="L1056">
            <v>1841100440</v>
          </cell>
        </row>
        <row r="1057">
          <cell r="C1057">
            <v>152</v>
          </cell>
          <cell r="G1057">
            <v>82</v>
          </cell>
          <cell r="I1057" t="str">
            <v>רווחה</v>
          </cell>
          <cell r="J1057">
            <v>0</v>
          </cell>
          <cell r="K1057">
            <v>0</v>
          </cell>
          <cell r="L1057">
            <v>1841100750</v>
          </cell>
        </row>
        <row r="1058">
          <cell r="C1058">
            <v>152</v>
          </cell>
          <cell r="G1058">
            <v>82</v>
          </cell>
          <cell r="I1058" t="str">
            <v>רווחה</v>
          </cell>
          <cell r="J1058">
            <v>0</v>
          </cell>
          <cell r="K1058">
            <v>0</v>
          </cell>
          <cell r="L1058">
            <v>1841120840</v>
          </cell>
        </row>
        <row r="1059">
          <cell r="C1059">
            <v>152</v>
          </cell>
          <cell r="G1059">
            <v>82</v>
          </cell>
          <cell r="I1059" t="str">
            <v>רווחה</v>
          </cell>
          <cell r="J1059">
            <v>0</v>
          </cell>
          <cell r="K1059">
            <v>0</v>
          </cell>
          <cell r="L1059">
            <v>1841200840</v>
          </cell>
        </row>
        <row r="1060">
          <cell r="C1060">
            <v>152</v>
          </cell>
          <cell r="G1060">
            <v>82</v>
          </cell>
          <cell r="I1060" t="str">
            <v>רווחה</v>
          </cell>
          <cell r="J1060">
            <v>0</v>
          </cell>
          <cell r="K1060">
            <v>0</v>
          </cell>
          <cell r="L1060">
            <v>1841300440</v>
          </cell>
        </row>
        <row r="1061">
          <cell r="C1061">
            <v>152</v>
          </cell>
          <cell r="G1061">
            <v>82</v>
          </cell>
          <cell r="I1061" t="str">
            <v>רווחה</v>
          </cell>
          <cell r="J1061">
            <v>0</v>
          </cell>
          <cell r="K1061">
            <v>0</v>
          </cell>
          <cell r="L1061">
            <v>1841900780</v>
          </cell>
        </row>
        <row r="1062">
          <cell r="C1062">
            <v>151</v>
          </cell>
          <cell r="G1062">
            <v>82</v>
          </cell>
          <cell r="I1062" t="str">
            <v>רווחה</v>
          </cell>
          <cell r="J1062">
            <v>0</v>
          </cell>
          <cell r="K1062">
            <v>0</v>
          </cell>
          <cell r="L1062">
            <v>1842200840</v>
          </cell>
        </row>
        <row r="1063">
          <cell r="C1063">
            <v>152</v>
          </cell>
          <cell r="G1063">
            <v>82</v>
          </cell>
          <cell r="I1063" t="str">
            <v>רווחה</v>
          </cell>
          <cell r="J1063">
            <v>0</v>
          </cell>
          <cell r="K1063">
            <v>0</v>
          </cell>
          <cell r="L1063">
            <v>1842201810</v>
          </cell>
        </row>
        <row r="1064">
          <cell r="C1064">
            <v>151</v>
          </cell>
          <cell r="G1064">
            <v>82</v>
          </cell>
          <cell r="I1064" t="str">
            <v>רווחה</v>
          </cell>
          <cell r="J1064">
            <v>0</v>
          </cell>
          <cell r="K1064">
            <v>0</v>
          </cell>
          <cell r="L1064">
            <v>1842201840</v>
          </cell>
        </row>
        <row r="1065">
          <cell r="C1065">
            <v>151</v>
          </cell>
          <cell r="G1065">
            <v>83</v>
          </cell>
          <cell r="I1065" t="str">
            <v>רווחה</v>
          </cell>
          <cell r="J1065">
            <v>0</v>
          </cell>
          <cell r="K1065">
            <v>0</v>
          </cell>
          <cell r="L1065">
            <v>1842210810</v>
          </cell>
        </row>
        <row r="1066">
          <cell r="C1066">
            <v>152</v>
          </cell>
          <cell r="G1066">
            <v>83</v>
          </cell>
          <cell r="I1066" t="str">
            <v>רווחה</v>
          </cell>
          <cell r="J1066">
            <v>0</v>
          </cell>
          <cell r="K1066">
            <v>0</v>
          </cell>
          <cell r="L1066">
            <v>1842210840</v>
          </cell>
        </row>
        <row r="1067">
          <cell r="C1067">
            <v>152</v>
          </cell>
          <cell r="G1067">
            <v>83</v>
          </cell>
          <cell r="I1067" t="str">
            <v>רווחה</v>
          </cell>
          <cell r="J1067">
            <v>0</v>
          </cell>
          <cell r="K1067">
            <v>0</v>
          </cell>
          <cell r="L1067">
            <v>1842212840</v>
          </cell>
        </row>
        <row r="1068">
          <cell r="C1068">
            <v>152</v>
          </cell>
          <cell r="G1068">
            <v>83</v>
          </cell>
          <cell r="I1068" t="str">
            <v>רווחה</v>
          </cell>
          <cell r="J1068">
            <v>0</v>
          </cell>
          <cell r="K1068">
            <v>0</v>
          </cell>
          <cell r="L1068">
            <v>1842213840</v>
          </cell>
        </row>
        <row r="1069">
          <cell r="C1069">
            <v>152</v>
          </cell>
          <cell r="G1069">
            <v>83</v>
          </cell>
          <cell r="I1069" t="str">
            <v>רווחה</v>
          </cell>
          <cell r="J1069">
            <v>0</v>
          </cell>
          <cell r="K1069">
            <v>0</v>
          </cell>
          <cell r="L1069">
            <v>1842400110</v>
          </cell>
        </row>
        <row r="1070">
          <cell r="C1070">
            <v>152</v>
          </cell>
          <cell r="G1070">
            <v>83</v>
          </cell>
          <cell r="I1070" t="str">
            <v>רווחה</v>
          </cell>
          <cell r="J1070">
            <v>0</v>
          </cell>
          <cell r="K1070">
            <v>0</v>
          </cell>
          <cell r="L1070">
            <v>1842400210</v>
          </cell>
        </row>
        <row r="1071">
          <cell r="C1071">
            <v>152</v>
          </cell>
          <cell r="G1071">
            <v>83</v>
          </cell>
          <cell r="I1071" t="str">
            <v>רווחה</v>
          </cell>
          <cell r="J1071">
            <v>0</v>
          </cell>
          <cell r="K1071">
            <v>0</v>
          </cell>
          <cell r="L1071">
            <v>1842400350</v>
          </cell>
        </row>
        <row r="1072">
          <cell r="C1072">
            <v>152</v>
          </cell>
          <cell r="G1072">
            <v>83</v>
          </cell>
          <cell r="I1072" t="str">
            <v>רווחה</v>
          </cell>
          <cell r="J1072">
            <v>0</v>
          </cell>
          <cell r="K1072">
            <v>0</v>
          </cell>
          <cell r="L1072">
            <v>1842400410</v>
          </cell>
        </row>
        <row r="1073">
          <cell r="C1073">
            <v>152</v>
          </cell>
          <cell r="G1073">
            <v>83</v>
          </cell>
          <cell r="I1073" t="str">
            <v>רווחה</v>
          </cell>
          <cell r="J1073">
            <v>0</v>
          </cell>
          <cell r="K1073">
            <v>0</v>
          </cell>
          <cell r="L1073">
            <v>1842400810</v>
          </cell>
        </row>
        <row r="1074">
          <cell r="C1074">
            <v>151</v>
          </cell>
          <cell r="G1074">
            <v>83</v>
          </cell>
          <cell r="I1074" t="str">
            <v>רווחה</v>
          </cell>
          <cell r="J1074">
            <v>0</v>
          </cell>
          <cell r="K1074">
            <v>0</v>
          </cell>
          <cell r="L1074">
            <v>1842400840</v>
          </cell>
        </row>
        <row r="1075">
          <cell r="C1075">
            <v>151</v>
          </cell>
          <cell r="G1075">
            <v>83</v>
          </cell>
          <cell r="I1075" t="str">
            <v>רווחה</v>
          </cell>
          <cell r="J1075">
            <v>0</v>
          </cell>
          <cell r="K1075">
            <v>0</v>
          </cell>
          <cell r="L1075">
            <v>1842402350</v>
          </cell>
        </row>
        <row r="1076">
          <cell r="C1076">
            <v>151</v>
          </cell>
          <cell r="G1076">
            <v>83</v>
          </cell>
          <cell r="I1076" t="str">
            <v>רווחה</v>
          </cell>
          <cell r="J1076">
            <v>0</v>
          </cell>
          <cell r="K1076">
            <v>0</v>
          </cell>
          <cell r="L1076">
            <v>1842410110</v>
          </cell>
        </row>
        <row r="1077">
          <cell r="C1077">
            <v>152</v>
          </cell>
          <cell r="G1077">
            <v>83</v>
          </cell>
          <cell r="I1077" t="str">
            <v>רווחה</v>
          </cell>
          <cell r="J1077">
            <v>0</v>
          </cell>
          <cell r="K1077">
            <v>0</v>
          </cell>
          <cell r="L1077">
            <v>1842410750</v>
          </cell>
        </row>
        <row r="1078">
          <cell r="C1078">
            <v>152</v>
          </cell>
          <cell r="G1078">
            <v>83</v>
          </cell>
          <cell r="I1078" t="str">
            <v>רווחה</v>
          </cell>
          <cell r="J1078">
            <v>0</v>
          </cell>
          <cell r="K1078">
            <v>0</v>
          </cell>
          <cell r="L1078">
            <v>1842410840</v>
          </cell>
        </row>
        <row r="1079">
          <cell r="C1079">
            <v>152</v>
          </cell>
          <cell r="G1079">
            <v>83</v>
          </cell>
          <cell r="I1079" t="str">
            <v>רווחה</v>
          </cell>
          <cell r="J1079">
            <v>0</v>
          </cell>
          <cell r="K1079">
            <v>0</v>
          </cell>
          <cell r="L1079">
            <v>1842411110</v>
          </cell>
        </row>
        <row r="1080">
          <cell r="C1080">
            <v>152</v>
          </cell>
          <cell r="G1080">
            <v>83</v>
          </cell>
          <cell r="I1080" t="str">
            <v>רווחה</v>
          </cell>
          <cell r="J1080">
            <v>0</v>
          </cell>
          <cell r="K1080">
            <v>0</v>
          </cell>
          <cell r="L1080">
            <v>1842500810</v>
          </cell>
        </row>
        <row r="1081">
          <cell r="C1081">
            <v>171</v>
          </cell>
          <cell r="G1081">
            <v>84</v>
          </cell>
          <cell r="I1081" t="str">
            <v>רווחה</v>
          </cell>
          <cell r="J1081">
            <v>0</v>
          </cell>
          <cell r="K1081">
            <v>0</v>
          </cell>
          <cell r="L1081">
            <v>1843200810</v>
          </cell>
        </row>
        <row r="1082">
          <cell r="C1082">
            <v>171</v>
          </cell>
          <cell r="G1082">
            <v>84</v>
          </cell>
          <cell r="I1082" t="str">
            <v>רווחה</v>
          </cell>
          <cell r="J1082">
            <v>0</v>
          </cell>
          <cell r="K1082">
            <v>0</v>
          </cell>
          <cell r="L1082">
            <v>1843500110</v>
          </cell>
        </row>
        <row r="1083">
          <cell r="C1083">
            <v>171</v>
          </cell>
          <cell r="G1083">
            <v>84</v>
          </cell>
          <cell r="I1083" t="str">
            <v>רווחה</v>
          </cell>
          <cell r="J1083">
            <v>0</v>
          </cell>
          <cell r="K1083">
            <v>0</v>
          </cell>
          <cell r="L1083">
            <v>1843500810</v>
          </cell>
        </row>
        <row r="1084">
          <cell r="C1084">
            <v>172</v>
          </cell>
          <cell r="G1084">
            <v>84</v>
          </cell>
          <cell r="I1084" t="str">
            <v>רווחה</v>
          </cell>
          <cell r="J1084">
            <v>0</v>
          </cell>
          <cell r="K1084">
            <v>0</v>
          </cell>
          <cell r="L1084">
            <v>1843500840</v>
          </cell>
        </row>
        <row r="1085">
          <cell r="C1085">
            <v>172</v>
          </cell>
          <cell r="G1085">
            <v>84</v>
          </cell>
          <cell r="I1085" t="str">
            <v>רווחה</v>
          </cell>
          <cell r="J1085">
            <v>0</v>
          </cell>
          <cell r="K1085">
            <v>0</v>
          </cell>
          <cell r="L1085">
            <v>1843510110</v>
          </cell>
        </row>
        <row r="1086">
          <cell r="C1086">
            <v>172</v>
          </cell>
          <cell r="G1086">
            <v>84</v>
          </cell>
          <cell r="I1086" t="str">
            <v>רווחה</v>
          </cell>
          <cell r="J1086">
            <v>0</v>
          </cell>
          <cell r="K1086">
            <v>0</v>
          </cell>
          <cell r="L1086">
            <v>1843510840</v>
          </cell>
        </row>
        <row r="1087">
          <cell r="C1087">
            <v>172</v>
          </cell>
          <cell r="G1087">
            <v>84</v>
          </cell>
          <cell r="I1087" t="str">
            <v>רווחה</v>
          </cell>
          <cell r="J1087">
            <v>0</v>
          </cell>
          <cell r="K1087">
            <v>0</v>
          </cell>
          <cell r="L1087">
            <v>1843520840</v>
          </cell>
        </row>
        <row r="1088">
          <cell r="C1088">
            <v>172</v>
          </cell>
          <cell r="G1088">
            <v>84</v>
          </cell>
          <cell r="I1088" t="str">
            <v>רווחה</v>
          </cell>
          <cell r="J1088">
            <v>0</v>
          </cell>
          <cell r="K1088">
            <v>0</v>
          </cell>
          <cell r="L1088">
            <v>1843530410</v>
          </cell>
        </row>
        <row r="1089">
          <cell r="C1089">
            <v>172</v>
          </cell>
          <cell r="G1089">
            <v>84</v>
          </cell>
          <cell r="I1089" t="str">
            <v>רווחה</v>
          </cell>
          <cell r="J1089">
            <v>0</v>
          </cell>
          <cell r="K1089">
            <v>0</v>
          </cell>
          <cell r="L1089">
            <v>1843530840</v>
          </cell>
        </row>
        <row r="1090">
          <cell r="C1090">
            <v>172</v>
          </cell>
          <cell r="G1090">
            <v>84</v>
          </cell>
          <cell r="I1090" t="str">
            <v>רווחה</v>
          </cell>
          <cell r="J1090">
            <v>0</v>
          </cell>
          <cell r="K1090">
            <v>0</v>
          </cell>
          <cell r="L1090">
            <v>1843540840</v>
          </cell>
        </row>
        <row r="1091">
          <cell r="C1091">
            <v>172</v>
          </cell>
          <cell r="G1091">
            <v>84</v>
          </cell>
          <cell r="I1091" t="str">
            <v>רווחה</v>
          </cell>
          <cell r="J1091">
            <v>0</v>
          </cell>
          <cell r="K1091">
            <v>0</v>
          </cell>
          <cell r="L1091">
            <v>1843560840</v>
          </cell>
        </row>
        <row r="1092">
          <cell r="C1092">
            <v>172</v>
          </cell>
          <cell r="G1092">
            <v>84</v>
          </cell>
          <cell r="I1092" t="str">
            <v>רווחה</v>
          </cell>
          <cell r="J1092">
            <v>0</v>
          </cell>
          <cell r="K1092">
            <v>0</v>
          </cell>
          <cell r="L1092">
            <v>1843600810</v>
          </cell>
        </row>
        <row r="1093">
          <cell r="C1093">
            <v>172</v>
          </cell>
          <cell r="G1093">
            <v>84</v>
          </cell>
          <cell r="I1093" t="str">
            <v>רווחה</v>
          </cell>
          <cell r="J1093">
            <v>0</v>
          </cell>
          <cell r="K1093">
            <v>0</v>
          </cell>
          <cell r="L1093">
            <v>1843800810</v>
          </cell>
        </row>
        <row r="1094">
          <cell r="C1094">
            <v>172</v>
          </cell>
          <cell r="G1094">
            <v>84</v>
          </cell>
          <cell r="I1094" t="str">
            <v>רווחה</v>
          </cell>
          <cell r="J1094">
            <v>0</v>
          </cell>
          <cell r="K1094">
            <v>0</v>
          </cell>
          <cell r="L1094">
            <v>1843800840</v>
          </cell>
        </row>
        <row r="1095">
          <cell r="C1095">
            <v>172</v>
          </cell>
          <cell r="G1095">
            <v>84</v>
          </cell>
          <cell r="I1095" t="str">
            <v>רווחה</v>
          </cell>
          <cell r="J1095">
            <v>0</v>
          </cell>
          <cell r="K1095">
            <v>0</v>
          </cell>
          <cell r="L1095">
            <v>1843810840</v>
          </cell>
        </row>
        <row r="1096">
          <cell r="C1096">
            <v>172</v>
          </cell>
          <cell r="G1096">
            <v>84</v>
          </cell>
          <cell r="I1096" t="str">
            <v>רווחה</v>
          </cell>
          <cell r="J1096">
            <v>0</v>
          </cell>
          <cell r="K1096">
            <v>0</v>
          </cell>
          <cell r="L1096">
            <v>1843900110</v>
          </cell>
        </row>
        <row r="1097">
          <cell r="C1097">
            <v>172</v>
          </cell>
          <cell r="G1097">
            <v>84</v>
          </cell>
          <cell r="I1097" t="str">
            <v>רווחה</v>
          </cell>
          <cell r="J1097">
            <v>0</v>
          </cell>
          <cell r="K1097">
            <v>0</v>
          </cell>
          <cell r="L1097">
            <v>1843900350</v>
          </cell>
        </row>
        <row r="1098">
          <cell r="C1098">
            <v>172</v>
          </cell>
          <cell r="G1098">
            <v>84</v>
          </cell>
          <cell r="I1098" t="str">
            <v>רווחה</v>
          </cell>
          <cell r="J1098">
            <v>0</v>
          </cell>
          <cell r="K1098">
            <v>0</v>
          </cell>
          <cell r="L1098">
            <v>1843900780</v>
          </cell>
        </row>
        <row r="1099">
          <cell r="C1099">
            <v>172</v>
          </cell>
          <cell r="G1099">
            <v>84</v>
          </cell>
          <cell r="I1099" t="str">
            <v>רווחה</v>
          </cell>
          <cell r="J1099">
            <v>0</v>
          </cell>
          <cell r="K1099">
            <v>0</v>
          </cell>
          <cell r="L1099">
            <v>1843900840</v>
          </cell>
        </row>
        <row r="1100">
          <cell r="C1100">
            <v>171</v>
          </cell>
          <cell r="G1100">
            <v>84</v>
          </cell>
          <cell r="I1100" t="str">
            <v>רווחה</v>
          </cell>
          <cell r="J1100">
            <v>0</v>
          </cell>
          <cell r="K1100">
            <v>0</v>
          </cell>
          <cell r="L1100">
            <v>1843901810</v>
          </cell>
        </row>
        <row r="1101">
          <cell r="C1101">
            <v>171</v>
          </cell>
          <cell r="G1101">
            <v>84</v>
          </cell>
          <cell r="I1101" t="str">
            <v>רווחה</v>
          </cell>
          <cell r="J1101">
            <v>0</v>
          </cell>
          <cell r="K1101">
            <v>0</v>
          </cell>
          <cell r="L1101">
            <v>1843902810</v>
          </cell>
        </row>
        <row r="1102">
          <cell r="C1102">
            <v>171</v>
          </cell>
          <cell r="G1102">
            <v>84</v>
          </cell>
          <cell r="I1102" t="str">
            <v>רווחה</v>
          </cell>
          <cell r="J1102">
            <v>0</v>
          </cell>
          <cell r="K1102">
            <v>0</v>
          </cell>
          <cell r="L1102">
            <v>1844000410</v>
          </cell>
        </row>
        <row r="1103">
          <cell r="C1103">
            <v>172</v>
          </cell>
          <cell r="G1103">
            <v>84</v>
          </cell>
          <cell r="I1103" t="str">
            <v>רווחה</v>
          </cell>
          <cell r="J1103">
            <v>0</v>
          </cell>
          <cell r="K1103">
            <v>0</v>
          </cell>
          <cell r="L1103">
            <v>1844000510</v>
          </cell>
        </row>
        <row r="1104">
          <cell r="C1104">
            <v>172</v>
          </cell>
          <cell r="G1104">
            <v>84</v>
          </cell>
          <cell r="I1104" t="str">
            <v>רווחה</v>
          </cell>
          <cell r="J1104">
            <v>0</v>
          </cell>
          <cell r="K1104">
            <v>0</v>
          </cell>
          <cell r="L1104">
            <v>1844000810</v>
          </cell>
        </row>
        <row r="1105">
          <cell r="C1105">
            <v>172</v>
          </cell>
          <cell r="G1105">
            <v>84</v>
          </cell>
          <cell r="I1105" t="str">
            <v>רווחה</v>
          </cell>
          <cell r="J1105">
            <v>0</v>
          </cell>
          <cell r="K1105">
            <v>0</v>
          </cell>
          <cell r="L1105">
            <v>1844300840</v>
          </cell>
        </row>
        <row r="1106">
          <cell r="C1106">
            <v>172</v>
          </cell>
          <cell r="G1106">
            <v>84</v>
          </cell>
          <cell r="I1106" t="str">
            <v>רווחה</v>
          </cell>
          <cell r="J1106">
            <v>0</v>
          </cell>
          <cell r="K1106">
            <v>0</v>
          </cell>
          <cell r="L1106">
            <v>1844400110</v>
          </cell>
        </row>
        <row r="1107">
          <cell r="C1107">
            <v>171</v>
          </cell>
          <cell r="G1107">
            <v>84</v>
          </cell>
          <cell r="I1107" t="str">
            <v>רווחה</v>
          </cell>
          <cell r="J1107">
            <v>0</v>
          </cell>
          <cell r="K1107">
            <v>0</v>
          </cell>
          <cell r="L1107">
            <v>1844400350</v>
          </cell>
        </row>
        <row r="1108">
          <cell r="C1108">
            <v>172</v>
          </cell>
          <cell r="G1108">
            <v>84</v>
          </cell>
          <cell r="I1108" t="str">
            <v>רווחה</v>
          </cell>
          <cell r="J1108">
            <v>0</v>
          </cell>
          <cell r="K1108">
            <v>0</v>
          </cell>
          <cell r="L1108">
            <v>1844400410</v>
          </cell>
        </row>
        <row r="1109">
          <cell r="C1109">
            <v>172</v>
          </cell>
          <cell r="G1109">
            <v>84</v>
          </cell>
          <cell r="I1109" t="str">
            <v>רווחה</v>
          </cell>
          <cell r="J1109">
            <v>0</v>
          </cell>
          <cell r="K1109">
            <v>0</v>
          </cell>
          <cell r="L1109">
            <v>1844400430</v>
          </cell>
        </row>
        <row r="1110">
          <cell r="C1110">
            <v>172</v>
          </cell>
          <cell r="G1110">
            <v>84</v>
          </cell>
          <cell r="I1110" t="str">
            <v>רווחה</v>
          </cell>
          <cell r="J1110">
            <v>0</v>
          </cell>
          <cell r="K1110">
            <v>0</v>
          </cell>
          <cell r="L1110">
            <v>1844400750</v>
          </cell>
        </row>
        <row r="1111">
          <cell r="C1111">
            <v>172</v>
          </cell>
          <cell r="G1111">
            <v>84</v>
          </cell>
          <cell r="I1111" t="str">
            <v>רווחה</v>
          </cell>
          <cell r="J1111">
            <v>0</v>
          </cell>
          <cell r="K1111">
            <v>0</v>
          </cell>
          <cell r="L1111">
            <v>1844400840</v>
          </cell>
        </row>
        <row r="1112">
          <cell r="C1112">
            <v>172</v>
          </cell>
          <cell r="G1112">
            <v>84</v>
          </cell>
          <cell r="I1112" t="str">
            <v>רווחה</v>
          </cell>
          <cell r="J1112">
            <v>0</v>
          </cell>
          <cell r="K1112">
            <v>0</v>
          </cell>
          <cell r="L1112">
            <v>1844410410</v>
          </cell>
        </row>
        <row r="1113">
          <cell r="C1113">
            <v>172</v>
          </cell>
          <cell r="G1113">
            <v>84</v>
          </cell>
          <cell r="I1113" t="str">
            <v>רווחה</v>
          </cell>
          <cell r="J1113">
            <v>0</v>
          </cell>
          <cell r="K1113">
            <v>0</v>
          </cell>
          <cell r="L1113">
            <v>1844410810</v>
          </cell>
        </row>
        <row r="1114">
          <cell r="C1114">
            <v>172</v>
          </cell>
          <cell r="G1114">
            <v>84</v>
          </cell>
          <cell r="I1114" t="str">
            <v>רווחה</v>
          </cell>
          <cell r="J1114">
            <v>0</v>
          </cell>
          <cell r="K1114">
            <v>0</v>
          </cell>
          <cell r="L1114">
            <v>1844410840</v>
          </cell>
        </row>
        <row r="1115">
          <cell r="C1115">
            <v>172</v>
          </cell>
          <cell r="G1115">
            <v>84</v>
          </cell>
          <cell r="I1115" t="str">
            <v>רווחה</v>
          </cell>
          <cell r="J1115">
            <v>0</v>
          </cell>
          <cell r="K1115">
            <v>0</v>
          </cell>
          <cell r="L1115">
            <v>1844420840</v>
          </cell>
        </row>
        <row r="1116">
          <cell r="C1116">
            <v>172</v>
          </cell>
          <cell r="G1116">
            <v>84</v>
          </cell>
          <cell r="I1116" t="str">
            <v>רווחה</v>
          </cell>
          <cell r="J1116">
            <v>0</v>
          </cell>
          <cell r="K1116">
            <v>0</v>
          </cell>
          <cell r="L1116">
            <v>1844430840</v>
          </cell>
        </row>
        <row r="1117">
          <cell r="C1117">
            <v>172</v>
          </cell>
          <cell r="G1117">
            <v>84</v>
          </cell>
          <cell r="I1117" t="str">
            <v>רווחה</v>
          </cell>
          <cell r="J1117">
            <v>0</v>
          </cell>
          <cell r="K1117">
            <v>0</v>
          </cell>
          <cell r="L1117">
            <v>1844500840</v>
          </cell>
        </row>
        <row r="1118">
          <cell r="C1118">
            <v>172</v>
          </cell>
          <cell r="G1118">
            <v>84</v>
          </cell>
          <cell r="I1118" t="str">
            <v>רווחה</v>
          </cell>
          <cell r="J1118">
            <v>0</v>
          </cell>
          <cell r="K1118">
            <v>0</v>
          </cell>
          <cell r="L1118">
            <v>1844510840</v>
          </cell>
        </row>
        <row r="1119">
          <cell r="C1119">
            <v>172</v>
          </cell>
          <cell r="G1119">
            <v>84</v>
          </cell>
          <cell r="I1119" t="str">
            <v>רווחה</v>
          </cell>
          <cell r="J1119">
            <v>0</v>
          </cell>
          <cell r="K1119">
            <v>0</v>
          </cell>
          <cell r="L1119">
            <v>1844520840</v>
          </cell>
        </row>
        <row r="1120">
          <cell r="C1120">
            <v>172</v>
          </cell>
          <cell r="G1120">
            <v>84</v>
          </cell>
          <cell r="I1120" t="str">
            <v>רווחה</v>
          </cell>
          <cell r="J1120">
            <v>0</v>
          </cell>
          <cell r="K1120">
            <v>0</v>
          </cell>
          <cell r="L1120">
            <v>1845100810</v>
          </cell>
        </row>
        <row r="1121">
          <cell r="C1121">
            <v>172</v>
          </cell>
          <cell r="G1121">
            <v>84</v>
          </cell>
          <cell r="I1121" t="str">
            <v>רווחה</v>
          </cell>
          <cell r="J1121">
            <v>0</v>
          </cell>
          <cell r="K1121">
            <v>0</v>
          </cell>
          <cell r="L1121">
            <v>1845100840</v>
          </cell>
        </row>
        <row r="1122">
          <cell r="C1122">
            <v>172</v>
          </cell>
          <cell r="G1122">
            <v>84</v>
          </cell>
          <cell r="I1122" t="str">
            <v>רווחה</v>
          </cell>
          <cell r="J1122">
            <v>0</v>
          </cell>
          <cell r="K1122">
            <v>0</v>
          </cell>
          <cell r="L1122">
            <v>1845110710</v>
          </cell>
        </row>
        <row r="1123">
          <cell r="C1123">
            <v>172</v>
          </cell>
          <cell r="G1123">
            <v>84</v>
          </cell>
          <cell r="I1123" t="str">
            <v>רווחה</v>
          </cell>
          <cell r="J1123">
            <v>0</v>
          </cell>
          <cell r="K1123">
            <v>0</v>
          </cell>
          <cell r="L1123">
            <v>1845120840</v>
          </cell>
        </row>
        <row r="1124">
          <cell r="C1124">
            <v>171</v>
          </cell>
          <cell r="G1124">
            <v>84</v>
          </cell>
          <cell r="I1124" t="str">
            <v>רווחה</v>
          </cell>
          <cell r="J1124">
            <v>0</v>
          </cell>
          <cell r="K1124">
            <v>0</v>
          </cell>
          <cell r="L1124">
            <v>1845130810</v>
          </cell>
        </row>
        <row r="1125">
          <cell r="C1125">
            <v>171</v>
          </cell>
          <cell r="G1125">
            <v>84</v>
          </cell>
          <cell r="I1125" t="str">
            <v>רווחה</v>
          </cell>
          <cell r="J1125">
            <v>0</v>
          </cell>
          <cell r="K1125">
            <v>0</v>
          </cell>
          <cell r="L1125">
            <v>1845130840</v>
          </cell>
        </row>
        <row r="1126">
          <cell r="C1126">
            <v>171</v>
          </cell>
          <cell r="G1126">
            <v>84</v>
          </cell>
          <cell r="I1126" t="str">
            <v>רווחה</v>
          </cell>
          <cell r="J1126">
            <v>0</v>
          </cell>
          <cell r="K1126">
            <v>0</v>
          </cell>
          <cell r="L1126">
            <v>1845132840</v>
          </cell>
        </row>
        <row r="1127">
          <cell r="C1127">
            <v>172</v>
          </cell>
          <cell r="G1127">
            <v>84</v>
          </cell>
          <cell r="I1127" t="str">
            <v>רווחה</v>
          </cell>
          <cell r="J1127">
            <v>0</v>
          </cell>
          <cell r="K1127">
            <v>0</v>
          </cell>
          <cell r="L1127">
            <v>1845140840</v>
          </cell>
        </row>
        <row r="1128">
          <cell r="C1128">
            <v>172</v>
          </cell>
          <cell r="G1128">
            <v>84</v>
          </cell>
          <cell r="I1128" t="str">
            <v>רווחה</v>
          </cell>
          <cell r="J1128">
            <v>0</v>
          </cell>
          <cell r="K1128">
            <v>0</v>
          </cell>
          <cell r="L1128">
            <v>1845150840</v>
          </cell>
        </row>
        <row r="1129">
          <cell r="C1129">
            <v>172</v>
          </cell>
          <cell r="G1129">
            <v>84</v>
          </cell>
          <cell r="I1129" t="str">
            <v>רווחה</v>
          </cell>
          <cell r="J1129">
            <v>0</v>
          </cell>
          <cell r="K1129">
            <v>0</v>
          </cell>
          <cell r="L1129">
            <v>1845200430</v>
          </cell>
        </row>
        <row r="1130">
          <cell r="C1130">
            <v>171</v>
          </cell>
          <cell r="G1130">
            <v>84</v>
          </cell>
          <cell r="I1130" t="str">
            <v>רווחה</v>
          </cell>
          <cell r="J1130">
            <v>0</v>
          </cell>
          <cell r="K1130">
            <v>0</v>
          </cell>
          <cell r="L1130">
            <v>1845200710</v>
          </cell>
        </row>
        <row r="1131">
          <cell r="C1131">
            <v>172</v>
          </cell>
          <cell r="G1131">
            <v>84</v>
          </cell>
          <cell r="I1131" t="str">
            <v>רווחה</v>
          </cell>
          <cell r="J1131">
            <v>0</v>
          </cell>
          <cell r="K1131">
            <v>0</v>
          </cell>
          <cell r="L1131">
            <v>1845200780</v>
          </cell>
        </row>
        <row r="1132">
          <cell r="C1132">
            <v>171</v>
          </cell>
          <cell r="G1132">
            <v>84</v>
          </cell>
          <cell r="I1132" t="str">
            <v>רווחה</v>
          </cell>
          <cell r="J1132">
            <v>0</v>
          </cell>
          <cell r="K1132">
            <v>0</v>
          </cell>
          <cell r="L1132">
            <v>1845200810</v>
          </cell>
        </row>
        <row r="1133">
          <cell r="C1133">
            <v>172</v>
          </cell>
          <cell r="G1133">
            <v>84</v>
          </cell>
          <cell r="I1133" t="str">
            <v>רווחה</v>
          </cell>
          <cell r="J1133">
            <v>0</v>
          </cell>
          <cell r="K1133">
            <v>0</v>
          </cell>
          <cell r="L1133">
            <v>1845200840</v>
          </cell>
        </row>
        <row r="1134">
          <cell r="C1134">
            <v>172</v>
          </cell>
          <cell r="G1134">
            <v>84</v>
          </cell>
          <cell r="I1134" t="str">
            <v>רווחה</v>
          </cell>
          <cell r="J1134">
            <v>0</v>
          </cell>
          <cell r="K1134">
            <v>0</v>
          </cell>
          <cell r="L1134">
            <v>1845210840</v>
          </cell>
        </row>
        <row r="1135">
          <cell r="C1135">
            <v>171</v>
          </cell>
          <cell r="G1135">
            <v>84</v>
          </cell>
          <cell r="I1135" t="str">
            <v>רווחה</v>
          </cell>
          <cell r="J1135">
            <v>0</v>
          </cell>
          <cell r="K1135">
            <v>0</v>
          </cell>
          <cell r="L1135">
            <v>1845220840</v>
          </cell>
        </row>
        <row r="1136">
          <cell r="C1136">
            <v>172</v>
          </cell>
          <cell r="G1136">
            <v>84</v>
          </cell>
          <cell r="I1136" t="str">
            <v>רווחה</v>
          </cell>
          <cell r="J1136">
            <v>0</v>
          </cell>
          <cell r="K1136">
            <v>0</v>
          </cell>
          <cell r="L1136">
            <v>1845230810</v>
          </cell>
        </row>
        <row r="1137">
          <cell r="C1137">
            <v>172</v>
          </cell>
          <cell r="G1137">
            <v>84</v>
          </cell>
          <cell r="I1137" t="str">
            <v>רווחה</v>
          </cell>
          <cell r="J1137">
            <v>0</v>
          </cell>
          <cell r="K1137">
            <v>0</v>
          </cell>
          <cell r="L1137">
            <v>1845240410</v>
          </cell>
        </row>
        <row r="1138">
          <cell r="C1138">
            <v>171</v>
          </cell>
          <cell r="G1138">
            <v>84</v>
          </cell>
          <cell r="I1138" t="str">
            <v>רווחה</v>
          </cell>
          <cell r="J1138">
            <v>0</v>
          </cell>
          <cell r="K1138">
            <v>0</v>
          </cell>
          <cell r="L1138">
            <v>1845240810</v>
          </cell>
        </row>
        <row r="1139">
          <cell r="C1139">
            <v>172</v>
          </cell>
          <cell r="G1139">
            <v>84</v>
          </cell>
          <cell r="I1139" t="str">
            <v>רווחה</v>
          </cell>
          <cell r="J1139">
            <v>0</v>
          </cell>
          <cell r="K1139">
            <v>0</v>
          </cell>
          <cell r="L1139">
            <v>1845240840</v>
          </cell>
        </row>
        <row r="1140">
          <cell r="C1140">
            <v>172</v>
          </cell>
          <cell r="G1140">
            <v>84</v>
          </cell>
          <cell r="I1140" t="str">
            <v>רווחה</v>
          </cell>
          <cell r="J1140">
            <v>0</v>
          </cell>
          <cell r="K1140">
            <v>0</v>
          </cell>
          <cell r="L1140">
            <v>1845300810</v>
          </cell>
        </row>
        <row r="1141">
          <cell r="C1141">
            <v>171</v>
          </cell>
          <cell r="G1141">
            <v>84</v>
          </cell>
          <cell r="I1141" t="str">
            <v>רווחה</v>
          </cell>
          <cell r="J1141">
            <v>0</v>
          </cell>
          <cell r="K1141">
            <v>0</v>
          </cell>
          <cell r="L1141">
            <v>1845300840</v>
          </cell>
        </row>
        <row r="1142">
          <cell r="C1142">
            <v>172</v>
          </cell>
          <cell r="G1142">
            <v>84</v>
          </cell>
          <cell r="I1142" t="str">
            <v>רווחה</v>
          </cell>
          <cell r="J1142">
            <v>0</v>
          </cell>
          <cell r="K1142">
            <v>0</v>
          </cell>
          <cell r="L1142">
            <v>1845305840</v>
          </cell>
        </row>
        <row r="1143">
          <cell r="C1143">
            <v>172</v>
          </cell>
          <cell r="G1143">
            <v>84</v>
          </cell>
          <cell r="I1143" t="str">
            <v>רווחה</v>
          </cell>
          <cell r="J1143">
            <v>0</v>
          </cell>
          <cell r="K1143">
            <v>0</v>
          </cell>
          <cell r="L1143">
            <v>1845310840</v>
          </cell>
        </row>
        <row r="1144">
          <cell r="C1144">
            <v>172</v>
          </cell>
          <cell r="G1144">
            <v>84</v>
          </cell>
          <cell r="I1144" t="str">
            <v>רווחה</v>
          </cell>
          <cell r="J1144">
            <v>0</v>
          </cell>
          <cell r="K1144">
            <v>0</v>
          </cell>
          <cell r="L1144">
            <v>1845311840</v>
          </cell>
        </row>
        <row r="1145">
          <cell r="C1145">
            <v>172</v>
          </cell>
          <cell r="G1145">
            <v>84</v>
          </cell>
          <cell r="I1145" t="str">
            <v>רווחה</v>
          </cell>
          <cell r="J1145">
            <v>0</v>
          </cell>
          <cell r="K1145">
            <v>0</v>
          </cell>
          <cell r="L1145">
            <v>1845320710</v>
          </cell>
        </row>
        <row r="1146">
          <cell r="C1146">
            <v>172</v>
          </cell>
          <cell r="G1146">
            <v>84</v>
          </cell>
          <cell r="I1146" t="str">
            <v>רווחה</v>
          </cell>
          <cell r="J1146">
            <v>0</v>
          </cell>
          <cell r="K1146">
            <v>0</v>
          </cell>
          <cell r="L1146">
            <v>1845320840</v>
          </cell>
        </row>
        <row r="1147">
          <cell r="C1147">
            <v>172</v>
          </cell>
          <cell r="G1147">
            <v>84</v>
          </cell>
          <cell r="I1147" t="str">
            <v>רווחה</v>
          </cell>
          <cell r="J1147">
            <v>0</v>
          </cell>
          <cell r="K1147">
            <v>0</v>
          </cell>
          <cell r="L1147">
            <v>1845400110</v>
          </cell>
        </row>
        <row r="1148">
          <cell r="C1148">
            <v>172</v>
          </cell>
          <cell r="G1148">
            <v>84</v>
          </cell>
          <cell r="I1148" t="str">
            <v>רווחה</v>
          </cell>
          <cell r="J1148">
            <v>0</v>
          </cell>
          <cell r="K1148">
            <v>0</v>
          </cell>
          <cell r="L1148">
            <v>1845400210</v>
          </cell>
        </row>
        <row r="1149">
          <cell r="C1149">
            <v>172</v>
          </cell>
          <cell r="G1149">
            <v>84</v>
          </cell>
          <cell r="I1149" t="str">
            <v>רווחה</v>
          </cell>
          <cell r="J1149">
            <v>0</v>
          </cell>
          <cell r="K1149">
            <v>0</v>
          </cell>
          <cell r="L1149">
            <v>1845400350</v>
          </cell>
        </row>
        <row r="1150">
          <cell r="C1150">
            <v>172</v>
          </cell>
          <cell r="G1150">
            <v>84</v>
          </cell>
          <cell r="I1150" t="str">
            <v>רווחה</v>
          </cell>
          <cell r="J1150">
            <v>0</v>
          </cell>
          <cell r="K1150">
            <v>0</v>
          </cell>
          <cell r="L1150">
            <v>1845500840</v>
          </cell>
        </row>
        <row r="1151">
          <cell r="C1151">
            <v>172</v>
          </cell>
          <cell r="G1151">
            <v>84</v>
          </cell>
          <cell r="I1151" t="str">
            <v>רווחה</v>
          </cell>
          <cell r="J1151">
            <v>0</v>
          </cell>
          <cell r="K1151">
            <v>0</v>
          </cell>
          <cell r="L1151">
            <v>1846290840</v>
          </cell>
        </row>
        <row r="1152">
          <cell r="C1152">
            <v>171</v>
          </cell>
          <cell r="G1152">
            <v>84</v>
          </cell>
          <cell r="I1152" t="str">
            <v>רווחה</v>
          </cell>
          <cell r="J1152">
            <v>0</v>
          </cell>
          <cell r="K1152">
            <v>0</v>
          </cell>
          <cell r="L1152">
            <v>1846300840</v>
          </cell>
        </row>
        <row r="1153">
          <cell r="C1153">
            <v>171</v>
          </cell>
          <cell r="G1153">
            <v>84</v>
          </cell>
          <cell r="I1153" t="str">
            <v>רווחה</v>
          </cell>
          <cell r="J1153">
            <v>0</v>
          </cell>
          <cell r="K1153">
            <v>0</v>
          </cell>
          <cell r="L1153">
            <v>1846310840</v>
          </cell>
        </row>
        <row r="1154">
          <cell r="C1154">
            <v>172</v>
          </cell>
          <cell r="G1154">
            <v>84</v>
          </cell>
          <cell r="I1154" t="str">
            <v>רווחה</v>
          </cell>
          <cell r="J1154">
            <v>0</v>
          </cell>
          <cell r="K1154">
            <v>0</v>
          </cell>
          <cell r="L1154">
            <v>1846400840</v>
          </cell>
        </row>
        <row r="1155">
          <cell r="C1155">
            <v>172</v>
          </cell>
          <cell r="G1155">
            <v>84</v>
          </cell>
          <cell r="I1155" t="str">
            <v>רווחה</v>
          </cell>
          <cell r="J1155">
            <v>0</v>
          </cell>
          <cell r="K1155">
            <v>0</v>
          </cell>
          <cell r="L1155">
            <v>1846500810</v>
          </cell>
        </row>
        <row r="1156">
          <cell r="C1156">
            <v>172</v>
          </cell>
          <cell r="G1156">
            <v>84</v>
          </cell>
          <cell r="I1156" t="str">
            <v>רווחה</v>
          </cell>
          <cell r="J1156">
            <v>0</v>
          </cell>
          <cell r="K1156">
            <v>0</v>
          </cell>
          <cell r="L1156">
            <v>1846500840</v>
          </cell>
        </row>
        <row r="1157">
          <cell r="C1157">
            <v>172</v>
          </cell>
          <cell r="G1157">
            <v>84</v>
          </cell>
          <cell r="I1157" t="str">
            <v>רווחה</v>
          </cell>
          <cell r="J1157">
            <v>0</v>
          </cell>
          <cell r="K1157">
            <v>0</v>
          </cell>
          <cell r="L1157">
            <v>1846600840</v>
          </cell>
        </row>
        <row r="1158">
          <cell r="C1158">
            <v>172</v>
          </cell>
          <cell r="G1158">
            <v>84</v>
          </cell>
          <cell r="I1158" t="str">
            <v>רווחה</v>
          </cell>
          <cell r="J1158">
            <v>0</v>
          </cell>
          <cell r="K1158">
            <v>0</v>
          </cell>
          <cell r="L1158">
            <v>1846610810</v>
          </cell>
        </row>
        <row r="1159">
          <cell r="C1159">
            <v>172</v>
          </cell>
          <cell r="G1159">
            <v>84</v>
          </cell>
          <cell r="I1159" t="str">
            <v>רווחה</v>
          </cell>
          <cell r="J1159">
            <v>0</v>
          </cell>
          <cell r="K1159">
            <v>0</v>
          </cell>
          <cell r="L1159">
            <v>1846620840</v>
          </cell>
        </row>
        <row r="1160">
          <cell r="C1160">
            <v>172</v>
          </cell>
          <cell r="G1160">
            <v>84</v>
          </cell>
          <cell r="I1160" t="str">
            <v>רווחה</v>
          </cell>
          <cell r="J1160">
            <v>0</v>
          </cell>
          <cell r="K1160">
            <v>0</v>
          </cell>
          <cell r="L1160">
            <v>1846700840</v>
          </cell>
        </row>
        <row r="1161">
          <cell r="C1161">
            <v>172</v>
          </cell>
          <cell r="G1161">
            <v>84</v>
          </cell>
          <cell r="I1161" t="str">
            <v>רווחה</v>
          </cell>
          <cell r="J1161">
            <v>0</v>
          </cell>
          <cell r="K1161">
            <v>0</v>
          </cell>
          <cell r="L1161">
            <v>1846710410</v>
          </cell>
        </row>
        <row r="1162">
          <cell r="C1162">
            <v>171</v>
          </cell>
          <cell r="G1162">
            <v>84</v>
          </cell>
          <cell r="I1162" t="str">
            <v>רווחה</v>
          </cell>
          <cell r="J1162">
            <v>0</v>
          </cell>
          <cell r="K1162">
            <v>0</v>
          </cell>
          <cell r="L1162">
            <v>1846710840</v>
          </cell>
        </row>
        <row r="1163">
          <cell r="C1163">
            <v>171</v>
          </cell>
          <cell r="G1163">
            <v>84</v>
          </cell>
          <cell r="I1163" t="str">
            <v>רווחה</v>
          </cell>
          <cell r="J1163">
            <v>0</v>
          </cell>
          <cell r="K1163">
            <v>0</v>
          </cell>
          <cell r="L1163">
            <v>1846720840</v>
          </cell>
        </row>
        <row r="1164">
          <cell r="C1164">
            <v>172</v>
          </cell>
          <cell r="G1164">
            <v>84</v>
          </cell>
          <cell r="I1164" t="str">
            <v>רווחה</v>
          </cell>
          <cell r="J1164">
            <v>0</v>
          </cell>
          <cell r="K1164">
            <v>0</v>
          </cell>
          <cell r="L1164">
            <v>1846730840</v>
          </cell>
        </row>
        <row r="1165">
          <cell r="C1165">
            <v>172</v>
          </cell>
          <cell r="G1165">
            <v>84</v>
          </cell>
          <cell r="I1165" t="str">
            <v>רווחה</v>
          </cell>
          <cell r="J1165">
            <v>0</v>
          </cell>
          <cell r="K1165">
            <v>0</v>
          </cell>
          <cell r="L1165">
            <v>1846740840</v>
          </cell>
        </row>
        <row r="1166">
          <cell r="C1166">
            <v>172</v>
          </cell>
          <cell r="G1166">
            <v>84</v>
          </cell>
          <cell r="I1166" t="str">
            <v>רווחה</v>
          </cell>
          <cell r="J1166">
            <v>0</v>
          </cell>
          <cell r="K1166">
            <v>0</v>
          </cell>
          <cell r="L1166">
            <v>1846750840</v>
          </cell>
        </row>
        <row r="1167">
          <cell r="C1167">
            <v>172</v>
          </cell>
          <cell r="G1167">
            <v>84</v>
          </cell>
          <cell r="I1167" t="str">
            <v>רווחה</v>
          </cell>
          <cell r="J1167">
            <v>0</v>
          </cell>
          <cell r="K1167">
            <v>0</v>
          </cell>
          <cell r="L1167">
            <v>1846760840</v>
          </cell>
        </row>
        <row r="1168">
          <cell r="C1168">
            <v>172</v>
          </cell>
          <cell r="G1168">
            <v>84</v>
          </cell>
          <cell r="I1168" t="str">
            <v>רווחה</v>
          </cell>
          <cell r="J1168">
            <v>0</v>
          </cell>
          <cell r="K1168">
            <v>0</v>
          </cell>
          <cell r="L1168">
            <v>1846770840</v>
          </cell>
        </row>
        <row r="1169">
          <cell r="C1169">
            <v>172</v>
          </cell>
          <cell r="G1169">
            <v>84</v>
          </cell>
          <cell r="I1169" t="str">
            <v>רווחה</v>
          </cell>
          <cell r="J1169">
            <v>0</v>
          </cell>
          <cell r="K1169">
            <v>0</v>
          </cell>
          <cell r="L1169">
            <v>1846800810</v>
          </cell>
        </row>
        <row r="1170">
          <cell r="C1170">
            <v>172</v>
          </cell>
          <cell r="G1170">
            <v>84</v>
          </cell>
          <cell r="I1170" t="str">
            <v>רווחה</v>
          </cell>
          <cell r="J1170">
            <v>0</v>
          </cell>
          <cell r="K1170">
            <v>0</v>
          </cell>
          <cell r="L1170">
            <v>1846800840</v>
          </cell>
        </row>
        <row r="1171">
          <cell r="C1171">
            <v>172</v>
          </cell>
          <cell r="G1171">
            <v>84</v>
          </cell>
          <cell r="I1171" t="str">
            <v>רווחה</v>
          </cell>
          <cell r="J1171">
            <v>0</v>
          </cell>
          <cell r="K1171">
            <v>0</v>
          </cell>
          <cell r="L1171">
            <v>1846805840</v>
          </cell>
        </row>
        <row r="1172">
          <cell r="C1172">
            <v>172</v>
          </cell>
          <cell r="G1172">
            <v>84</v>
          </cell>
          <cell r="I1172" t="str">
            <v>רווחה</v>
          </cell>
          <cell r="J1172">
            <v>0</v>
          </cell>
          <cell r="K1172">
            <v>0</v>
          </cell>
          <cell r="L1172">
            <v>1846810840</v>
          </cell>
        </row>
        <row r="1173">
          <cell r="C1173">
            <v>172</v>
          </cell>
          <cell r="G1173">
            <v>84</v>
          </cell>
          <cell r="I1173" t="str">
            <v>רווחה</v>
          </cell>
          <cell r="J1173">
            <v>0</v>
          </cell>
          <cell r="K1173">
            <v>0</v>
          </cell>
          <cell r="L1173">
            <v>1846820840</v>
          </cell>
        </row>
        <row r="1174">
          <cell r="C1174">
            <v>172</v>
          </cell>
          <cell r="G1174">
            <v>84</v>
          </cell>
          <cell r="I1174" t="str">
            <v>רווחה</v>
          </cell>
          <cell r="J1174">
            <v>0</v>
          </cell>
          <cell r="K1174">
            <v>0</v>
          </cell>
          <cell r="L1174">
            <v>1846825840</v>
          </cell>
        </row>
        <row r="1175">
          <cell r="C1175">
            <v>172</v>
          </cell>
          <cell r="G1175">
            <v>84</v>
          </cell>
          <cell r="I1175" t="str">
            <v>רווחה</v>
          </cell>
          <cell r="J1175">
            <v>0</v>
          </cell>
          <cell r="K1175">
            <v>0</v>
          </cell>
          <cell r="L1175">
            <v>1846830840</v>
          </cell>
        </row>
        <row r="1176">
          <cell r="C1176">
            <v>172</v>
          </cell>
          <cell r="G1176">
            <v>84</v>
          </cell>
          <cell r="I1176" t="str">
            <v>רווחה</v>
          </cell>
          <cell r="J1176">
            <v>0</v>
          </cell>
          <cell r="K1176">
            <v>0</v>
          </cell>
          <cell r="L1176">
            <v>1846900840</v>
          </cell>
        </row>
        <row r="1177">
          <cell r="C1177">
            <v>172</v>
          </cell>
          <cell r="G1177">
            <v>84</v>
          </cell>
          <cell r="I1177" t="str">
            <v>רווחה</v>
          </cell>
          <cell r="J1177">
            <v>0</v>
          </cell>
          <cell r="K1177">
            <v>0</v>
          </cell>
          <cell r="L1177">
            <v>1847100110</v>
          </cell>
        </row>
        <row r="1178">
          <cell r="C1178">
            <v>172</v>
          </cell>
          <cell r="G1178">
            <v>84</v>
          </cell>
          <cell r="I1178" t="str">
            <v>רווחה</v>
          </cell>
          <cell r="J1178">
            <v>0</v>
          </cell>
          <cell r="K1178">
            <v>0</v>
          </cell>
          <cell r="L1178">
            <v>1847100350</v>
          </cell>
        </row>
        <row r="1179">
          <cell r="C1179">
            <v>172</v>
          </cell>
          <cell r="G1179">
            <v>84</v>
          </cell>
          <cell r="I1179" t="str">
            <v>רווחה</v>
          </cell>
          <cell r="J1179">
            <v>0</v>
          </cell>
          <cell r="K1179">
            <v>0</v>
          </cell>
          <cell r="L1179">
            <v>1847100810</v>
          </cell>
        </row>
        <row r="1180">
          <cell r="C1180">
            <v>172</v>
          </cell>
          <cell r="G1180">
            <v>84</v>
          </cell>
          <cell r="I1180" t="str">
            <v>רווחה</v>
          </cell>
          <cell r="J1180">
            <v>0</v>
          </cell>
          <cell r="K1180">
            <v>0</v>
          </cell>
          <cell r="L1180">
            <v>1847100840</v>
          </cell>
        </row>
        <row r="1181">
          <cell r="C1181">
            <v>172</v>
          </cell>
          <cell r="G1181">
            <v>84</v>
          </cell>
          <cell r="I1181" t="str">
            <v>רווחה</v>
          </cell>
          <cell r="J1181">
            <v>0</v>
          </cell>
          <cell r="K1181">
            <v>0</v>
          </cell>
          <cell r="L1181">
            <v>1847110840</v>
          </cell>
        </row>
        <row r="1182">
          <cell r="C1182">
            <v>172</v>
          </cell>
          <cell r="G1182">
            <v>84</v>
          </cell>
          <cell r="I1182" t="str">
            <v>רווחה</v>
          </cell>
          <cell r="J1182">
            <v>0</v>
          </cell>
          <cell r="K1182">
            <v>0</v>
          </cell>
          <cell r="L1182">
            <v>1847130840</v>
          </cell>
        </row>
        <row r="1183">
          <cell r="C1183">
            <v>172</v>
          </cell>
          <cell r="G1183">
            <v>84</v>
          </cell>
          <cell r="I1183" t="str">
            <v>רווחה</v>
          </cell>
          <cell r="J1183">
            <v>0</v>
          </cell>
          <cell r="K1183">
            <v>0</v>
          </cell>
          <cell r="L1183">
            <v>1847140840</v>
          </cell>
        </row>
        <row r="1184">
          <cell r="C1184">
            <v>172</v>
          </cell>
          <cell r="G1184">
            <v>84</v>
          </cell>
          <cell r="I1184" t="str">
            <v>רווחה</v>
          </cell>
          <cell r="J1184">
            <v>0</v>
          </cell>
          <cell r="K1184">
            <v>0</v>
          </cell>
          <cell r="L1184">
            <v>1847200840</v>
          </cell>
        </row>
        <row r="1185">
          <cell r="C1185">
            <v>172</v>
          </cell>
          <cell r="G1185">
            <v>84</v>
          </cell>
          <cell r="I1185" t="str">
            <v>רווחה</v>
          </cell>
          <cell r="J1185">
            <v>0</v>
          </cell>
          <cell r="K1185">
            <v>0</v>
          </cell>
          <cell r="L1185">
            <v>1847300110</v>
          </cell>
        </row>
        <row r="1186">
          <cell r="C1186">
            <v>172</v>
          </cell>
          <cell r="G1186">
            <v>84</v>
          </cell>
          <cell r="I1186" t="str">
            <v>רווחה</v>
          </cell>
          <cell r="J1186">
            <v>0</v>
          </cell>
          <cell r="K1186">
            <v>0</v>
          </cell>
          <cell r="L1186">
            <v>1847300750</v>
          </cell>
        </row>
        <row r="1187">
          <cell r="C1187">
            <v>172</v>
          </cell>
          <cell r="G1187">
            <v>84</v>
          </cell>
          <cell r="I1187" t="str">
            <v>רווחה</v>
          </cell>
          <cell r="J1187">
            <v>0</v>
          </cell>
          <cell r="K1187">
            <v>0</v>
          </cell>
          <cell r="L1187">
            <v>1847300780</v>
          </cell>
        </row>
        <row r="1188">
          <cell r="C1188">
            <v>172</v>
          </cell>
          <cell r="G1188">
            <v>84</v>
          </cell>
          <cell r="I1188" t="str">
            <v>רווחה</v>
          </cell>
          <cell r="J1188">
            <v>0</v>
          </cell>
          <cell r="K1188">
            <v>0</v>
          </cell>
          <cell r="L1188">
            <v>1847300840</v>
          </cell>
        </row>
        <row r="1189">
          <cell r="C1189">
            <v>172</v>
          </cell>
          <cell r="G1189">
            <v>84</v>
          </cell>
          <cell r="I1189" t="str">
            <v>רווחה</v>
          </cell>
          <cell r="J1189">
            <v>0</v>
          </cell>
          <cell r="K1189">
            <v>0</v>
          </cell>
          <cell r="L1189">
            <v>1847310840</v>
          </cell>
        </row>
        <row r="1190">
          <cell r="C1190">
            <v>172</v>
          </cell>
          <cell r="G1190">
            <v>84</v>
          </cell>
          <cell r="I1190" t="str">
            <v>רווחה</v>
          </cell>
          <cell r="J1190">
            <v>0</v>
          </cell>
          <cell r="K1190">
            <v>0</v>
          </cell>
          <cell r="L1190">
            <v>1847320840</v>
          </cell>
        </row>
        <row r="1191">
          <cell r="C1191">
            <v>172</v>
          </cell>
          <cell r="G1191">
            <v>84</v>
          </cell>
          <cell r="I1191" t="str">
            <v>רווחה</v>
          </cell>
          <cell r="J1191">
            <v>0</v>
          </cell>
          <cell r="K1191">
            <v>0</v>
          </cell>
          <cell r="L1191">
            <v>1847330840</v>
          </cell>
        </row>
        <row r="1192">
          <cell r="C1192">
            <v>172</v>
          </cell>
          <cell r="G1192">
            <v>84</v>
          </cell>
          <cell r="I1192" t="str">
            <v>רווחה</v>
          </cell>
          <cell r="J1192">
            <v>0</v>
          </cell>
          <cell r="K1192">
            <v>0</v>
          </cell>
          <cell r="L1192">
            <v>1847340840</v>
          </cell>
        </row>
        <row r="1193">
          <cell r="C1193">
            <v>172</v>
          </cell>
          <cell r="G1193">
            <v>84</v>
          </cell>
          <cell r="I1193" t="str">
            <v>רווחה</v>
          </cell>
          <cell r="J1193">
            <v>0</v>
          </cell>
          <cell r="K1193">
            <v>0</v>
          </cell>
          <cell r="L1193">
            <v>1847400110</v>
          </cell>
        </row>
        <row r="1194">
          <cell r="C1194">
            <v>172</v>
          </cell>
          <cell r="G1194">
            <v>84</v>
          </cell>
          <cell r="I1194" t="str">
            <v>רווחה</v>
          </cell>
          <cell r="J1194">
            <v>0</v>
          </cell>
          <cell r="K1194">
            <v>0</v>
          </cell>
          <cell r="L1194">
            <v>1847400210</v>
          </cell>
        </row>
        <row r="1195">
          <cell r="C1195">
            <v>172</v>
          </cell>
          <cell r="G1195">
            <v>84</v>
          </cell>
          <cell r="I1195" t="str">
            <v>רווחה</v>
          </cell>
          <cell r="J1195">
            <v>0</v>
          </cell>
          <cell r="K1195">
            <v>0</v>
          </cell>
          <cell r="L1195">
            <v>1847400350</v>
          </cell>
        </row>
        <row r="1196">
          <cell r="C1196">
            <v>172</v>
          </cell>
          <cell r="G1196">
            <v>84</v>
          </cell>
          <cell r="I1196" t="str">
            <v>רווחה</v>
          </cell>
          <cell r="J1196">
            <v>0</v>
          </cell>
          <cell r="K1196">
            <v>0</v>
          </cell>
          <cell r="L1196">
            <v>1847400430</v>
          </cell>
        </row>
        <row r="1197">
          <cell r="C1197">
            <v>172</v>
          </cell>
          <cell r="G1197">
            <v>84</v>
          </cell>
          <cell r="I1197" t="str">
            <v>רווחה</v>
          </cell>
          <cell r="J1197">
            <v>0</v>
          </cell>
          <cell r="K1197">
            <v>0</v>
          </cell>
          <cell r="L1197">
            <v>1847400470</v>
          </cell>
        </row>
        <row r="1198">
          <cell r="C1198">
            <v>172</v>
          </cell>
          <cell r="G1198">
            <v>84</v>
          </cell>
          <cell r="I1198" t="str">
            <v>רווחה</v>
          </cell>
          <cell r="J1198">
            <v>0</v>
          </cell>
          <cell r="K1198">
            <v>0</v>
          </cell>
          <cell r="L1198">
            <v>1847400540</v>
          </cell>
        </row>
        <row r="1199">
          <cell r="C1199">
            <v>172</v>
          </cell>
          <cell r="G1199">
            <v>84</v>
          </cell>
          <cell r="I1199" t="str">
            <v>רווחה</v>
          </cell>
          <cell r="J1199">
            <v>0</v>
          </cell>
          <cell r="K1199">
            <v>0</v>
          </cell>
          <cell r="L1199">
            <v>1847400541</v>
          </cell>
        </row>
        <row r="1200">
          <cell r="C1200">
            <v>172</v>
          </cell>
          <cell r="G1200">
            <v>84</v>
          </cell>
          <cell r="I1200" t="str">
            <v>רווחה</v>
          </cell>
          <cell r="J1200">
            <v>0</v>
          </cell>
          <cell r="K1200">
            <v>0</v>
          </cell>
          <cell r="L1200">
            <v>1847400720</v>
          </cell>
        </row>
        <row r="1201">
          <cell r="C1201">
            <v>172</v>
          </cell>
          <cell r="G1201">
            <v>84</v>
          </cell>
          <cell r="I1201" t="str">
            <v>רווחה</v>
          </cell>
          <cell r="J1201">
            <v>0</v>
          </cell>
          <cell r="K1201">
            <v>0</v>
          </cell>
          <cell r="L1201">
            <v>1847400750</v>
          </cell>
        </row>
        <row r="1202">
          <cell r="C1202">
            <v>172</v>
          </cell>
          <cell r="G1202">
            <v>84</v>
          </cell>
          <cell r="I1202" t="str">
            <v>רווחה</v>
          </cell>
          <cell r="J1202">
            <v>0</v>
          </cell>
          <cell r="K1202">
            <v>0</v>
          </cell>
          <cell r="L1202">
            <v>1847400780</v>
          </cell>
        </row>
        <row r="1203">
          <cell r="C1203">
            <v>172</v>
          </cell>
          <cell r="G1203">
            <v>84</v>
          </cell>
          <cell r="I1203" t="str">
            <v>רווחה</v>
          </cell>
          <cell r="J1203">
            <v>0</v>
          </cell>
          <cell r="K1203">
            <v>0</v>
          </cell>
          <cell r="L1203">
            <v>1847400810</v>
          </cell>
        </row>
        <row r="1204">
          <cell r="C1204">
            <v>172</v>
          </cell>
          <cell r="G1204">
            <v>84</v>
          </cell>
          <cell r="I1204" t="str">
            <v>רווחה</v>
          </cell>
          <cell r="J1204">
            <v>0</v>
          </cell>
          <cell r="K1204">
            <v>0</v>
          </cell>
          <cell r="L1204">
            <v>1847400840</v>
          </cell>
        </row>
        <row r="1205">
          <cell r="C1205">
            <v>172</v>
          </cell>
          <cell r="G1205">
            <v>84</v>
          </cell>
          <cell r="I1205" t="str">
            <v>רווחה</v>
          </cell>
          <cell r="J1205">
            <v>0</v>
          </cell>
          <cell r="K1205">
            <v>0</v>
          </cell>
          <cell r="L1205">
            <v>1847400930</v>
          </cell>
        </row>
        <row r="1206">
          <cell r="C1206">
            <v>172</v>
          </cell>
          <cell r="G1206">
            <v>84</v>
          </cell>
          <cell r="I1206" t="str">
            <v>רווחה</v>
          </cell>
          <cell r="J1206">
            <v>0</v>
          </cell>
          <cell r="K1206">
            <v>0</v>
          </cell>
          <cell r="L1206">
            <v>1847410750</v>
          </cell>
        </row>
        <row r="1207">
          <cell r="C1207">
            <v>172</v>
          </cell>
          <cell r="G1207">
            <v>84</v>
          </cell>
          <cell r="I1207" t="str">
            <v>רווחה</v>
          </cell>
          <cell r="J1207">
            <v>0</v>
          </cell>
          <cell r="K1207">
            <v>0</v>
          </cell>
          <cell r="L1207">
            <v>1847410840</v>
          </cell>
        </row>
        <row r="1208">
          <cell r="C1208">
            <v>172</v>
          </cell>
          <cell r="G1208">
            <v>84</v>
          </cell>
          <cell r="I1208" t="str">
            <v>רווחה</v>
          </cell>
          <cell r="J1208">
            <v>0</v>
          </cell>
          <cell r="K1208">
            <v>0</v>
          </cell>
          <cell r="L1208">
            <v>1847420840</v>
          </cell>
        </row>
        <row r="1209">
          <cell r="C1209">
            <v>172</v>
          </cell>
          <cell r="G1209">
            <v>84</v>
          </cell>
          <cell r="I1209" t="str">
            <v>רווחה</v>
          </cell>
          <cell r="J1209">
            <v>0</v>
          </cell>
          <cell r="K1209">
            <v>0</v>
          </cell>
          <cell r="L1209">
            <v>1847500540</v>
          </cell>
        </row>
        <row r="1210">
          <cell r="C1210">
            <v>172</v>
          </cell>
          <cell r="G1210">
            <v>84</v>
          </cell>
          <cell r="I1210" t="str">
            <v>רווחה</v>
          </cell>
          <cell r="J1210">
            <v>0</v>
          </cell>
          <cell r="K1210">
            <v>0</v>
          </cell>
          <cell r="L1210">
            <v>1847500541</v>
          </cell>
        </row>
        <row r="1211">
          <cell r="C1211">
            <v>172</v>
          </cell>
          <cell r="G1211">
            <v>84</v>
          </cell>
          <cell r="I1211" t="str">
            <v>רווחה</v>
          </cell>
          <cell r="J1211">
            <v>0</v>
          </cell>
          <cell r="K1211">
            <v>0</v>
          </cell>
          <cell r="L1211">
            <v>1847500930</v>
          </cell>
        </row>
        <row r="1212">
          <cell r="C1212">
            <v>172</v>
          </cell>
          <cell r="G1212">
            <v>84</v>
          </cell>
          <cell r="I1212" t="str">
            <v>רווחה</v>
          </cell>
          <cell r="J1212">
            <v>0</v>
          </cell>
          <cell r="K1212">
            <v>0</v>
          </cell>
          <cell r="L1212">
            <v>1847570840</v>
          </cell>
        </row>
        <row r="1213">
          <cell r="C1213">
            <v>172</v>
          </cell>
          <cell r="G1213">
            <v>84</v>
          </cell>
          <cell r="I1213" t="str">
            <v>רווחה</v>
          </cell>
          <cell r="J1213">
            <v>0</v>
          </cell>
          <cell r="K1213">
            <v>0</v>
          </cell>
          <cell r="L1213">
            <v>1847710840</v>
          </cell>
        </row>
        <row r="1214">
          <cell r="C1214">
            <v>172</v>
          </cell>
          <cell r="G1214">
            <v>84</v>
          </cell>
          <cell r="I1214" t="str">
            <v>רווחה</v>
          </cell>
          <cell r="J1214">
            <v>0</v>
          </cell>
          <cell r="K1214">
            <v>0</v>
          </cell>
          <cell r="L1214">
            <v>1847800710</v>
          </cell>
        </row>
        <row r="1215">
          <cell r="C1215">
            <v>172</v>
          </cell>
          <cell r="G1215">
            <v>84</v>
          </cell>
          <cell r="I1215" t="str">
            <v>רווחה</v>
          </cell>
          <cell r="J1215">
            <v>0</v>
          </cell>
          <cell r="K1215">
            <v>0</v>
          </cell>
          <cell r="L1215">
            <v>1848000110</v>
          </cell>
        </row>
        <row r="1216">
          <cell r="C1216">
            <v>172</v>
          </cell>
          <cell r="G1216">
            <v>84</v>
          </cell>
          <cell r="I1216" t="str">
            <v>רווחה</v>
          </cell>
          <cell r="J1216">
            <v>0</v>
          </cell>
          <cell r="K1216">
            <v>0</v>
          </cell>
          <cell r="L1216">
            <v>1848000350</v>
          </cell>
        </row>
        <row r="1217">
          <cell r="C1217">
            <v>172</v>
          </cell>
          <cell r="G1217">
            <v>84</v>
          </cell>
          <cell r="I1217" t="str">
            <v>רווחה</v>
          </cell>
          <cell r="J1217">
            <v>0</v>
          </cell>
          <cell r="K1217">
            <v>0</v>
          </cell>
          <cell r="L1217">
            <v>1848200840</v>
          </cell>
        </row>
        <row r="1218">
          <cell r="C1218">
            <v>171</v>
          </cell>
          <cell r="G1218">
            <v>84</v>
          </cell>
          <cell r="I1218" t="str">
            <v>רווחה</v>
          </cell>
          <cell r="J1218">
            <v>0</v>
          </cell>
          <cell r="K1218">
            <v>0</v>
          </cell>
          <cell r="L1218">
            <v>1848205840</v>
          </cell>
        </row>
        <row r="1219">
          <cell r="C1219">
            <v>171</v>
          </cell>
          <cell r="G1219">
            <v>84</v>
          </cell>
          <cell r="I1219" t="str">
            <v>רווחה</v>
          </cell>
          <cell r="J1219">
            <v>0</v>
          </cell>
          <cell r="K1219">
            <v>0</v>
          </cell>
          <cell r="L1219">
            <v>1848210840</v>
          </cell>
        </row>
        <row r="1220">
          <cell r="C1220">
            <v>171</v>
          </cell>
          <cell r="G1220">
            <v>84</v>
          </cell>
          <cell r="I1220" t="str">
            <v>רווחה</v>
          </cell>
          <cell r="J1220">
            <v>0</v>
          </cell>
          <cell r="K1220">
            <v>0</v>
          </cell>
          <cell r="L1220">
            <v>1848220840</v>
          </cell>
        </row>
        <row r="1221">
          <cell r="C1221">
            <v>172</v>
          </cell>
          <cell r="G1221">
            <v>84</v>
          </cell>
          <cell r="I1221" t="str">
            <v>רווחה</v>
          </cell>
          <cell r="J1221">
            <v>0</v>
          </cell>
          <cell r="K1221">
            <v>0</v>
          </cell>
          <cell r="L1221">
            <v>1848230840</v>
          </cell>
        </row>
        <row r="1222">
          <cell r="C1222">
            <v>172</v>
          </cell>
          <cell r="G1222">
            <v>84</v>
          </cell>
          <cell r="I1222" t="str">
            <v>רווחה</v>
          </cell>
          <cell r="J1222">
            <v>0</v>
          </cell>
          <cell r="K1222">
            <v>0</v>
          </cell>
          <cell r="L1222">
            <v>1848300840</v>
          </cell>
        </row>
        <row r="1223">
          <cell r="C1223">
            <v>172</v>
          </cell>
          <cell r="G1223">
            <v>84</v>
          </cell>
          <cell r="I1223" t="str">
            <v>רווחה</v>
          </cell>
          <cell r="J1223">
            <v>0</v>
          </cell>
          <cell r="K1223">
            <v>0</v>
          </cell>
          <cell r="L1223">
            <v>1849000840</v>
          </cell>
        </row>
        <row r="1224">
          <cell r="C1224">
            <v>172</v>
          </cell>
          <cell r="G1224">
            <v>84</v>
          </cell>
          <cell r="I1224" t="str">
            <v>רווחה</v>
          </cell>
          <cell r="J1224">
            <v>0</v>
          </cell>
          <cell r="K1224">
            <v>0</v>
          </cell>
          <cell r="L1224">
            <v>1849100110</v>
          </cell>
        </row>
        <row r="1225">
          <cell r="C1225">
            <v>172</v>
          </cell>
          <cell r="G1225">
            <v>84</v>
          </cell>
          <cell r="I1225" t="str">
            <v>רווחה</v>
          </cell>
          <cell r="J1225">
            <v>0</v>
          </cell>
          <cell r="K1225">
            <v>0</v>
          </cell>
          <cell r="L1225">
            <v>1849100410</v>
          </cell>
        </row>
        <row r="1226">
          <cell r="C1226">
            <v>172</v>
          </cell>
          <cell r="G1226">
            <v>84</v>
          </cell>
          <cell r="I1226" t="str">
            <v>רווחה</v>
          </cell>
          <cell r="J1226">
            <v>0</v>
          </cell>
          <cell r="K1226">
            <v>0</v>
          </cell>
          <cell r="L1226">
            <v>1849100470</v>
          </cell>
        </row>
        <row r="1227">
          <cell r="C1227">
            <v>172</v>
          </cell>
          <cell r="G1227">
            <v>84</v>
          </cell>
          <cell r="I1227" t="str">
            <v>רווחה</v>
          </cell>
          <cell r="J1227">
            <v>0</v>
          </cell>
          <cell r="K1227">
            <v>0</v>
          </cell>
          <cell r="L1227">
            <v>1849100510</v>
          </cell>
        </row>
        <row r="1228">
          <cell r="C1228">
            <v>172</v>
          </cell>
          <cell r="G1228">
            <v>84</v>
          </cell>
          <cell r="I1228" t="str">
            <v>רווחה</v>
          </cell>
          <cell r="J1228">
            <v>0</v>
          </cell>
          <cell r="K1228">
            <v>0</v>
          </cell>
          <cell r="L1228">
            <v>1849100750</v>
          </cell>
        </row>
        <row r="1229">
          <cell r="C1229">
            <v>172</v>
          </cell>
          <cell r="G1229">
            <v>84</v>
          </cell>
          <cell r="I1229" t="str">
            <v>רווחה</v>
          </cell>
          <cell r="J1229">
            <v>0</v>
          </cell>
          <cell r="K1229">
            <v>0</v>
          </cell>
          <cell r="L1229">
            <v>1849100840</v>
          </cell>
        </row>
        <row r="1230">
          <cell r="C1230">
            <v>172</v>
          </cell>
          <cell r="G1230">
            <v>84</v>
          </cell>
          <cell r="I1230" t="str">
            <v>רווחה</v>
          </cell>
          <cell r="J1230">
            <v>0</v>
          </cell>
          <cell r="K1230">
            <v>0</v>
          </cell>
          <cell r="L1230">
            <v>1849101840</v>
          </cell>
        </row>
        <row r="1231">
          <cell r="C1231">
            <v>172</v>
          </cell>
          <cell r="G1231">
            <v>84</v>
          </cell>
          <cell r="I1231" t="str">
            <v>רווחה</v>
          </cell>
          <cell r="J1231">
            <v>0</v>
          </cell>
          <cell r="K1231">
            <v>0</v>
          </cell>
          <cell r="L1231">
            <v>1849102840</v>
          </cell>
        </row>
        <row r="1232">
          <cell r="C1232">
            <v>172</v>
          </cell>
          <cell r="G1232">
            <v>84</v>
          </cell>
          <cell r="I1232" t="str">
            <v>רווחה</v>
          </cell>
          <cell r="J1232">
            <v>0</v>
          </cell>
          <cell r="K1232">
            <v>0</v>
          </cell>
          <cell r="L1232">
            <v>1849103840</v>
          </cell>
        </row>
        <row r="1233">
          <cell r="C1233">
            <v>172</v>
          </cell>
          <cell r="G1233">
            <v>84</v>
          </cell>
          <cell r="I1233" t="str">
            <v>רווחה</v>
          </cell>
          <cell r="J1233">
            <v>0</v>
          </cell>
          <cell r="K1233">
            <v>0</v>
          </cell>
          <cell r="L1233">
            <v>1849104840</v>
          </cell>
        </row>
        <row r="1234">
          <cell r="C1234">
            <v>172</v>
          </cell>
          <cell r="G1234">
            <v>84</v>
          </cell>
          <cell r="I1234" t="str">
            <v>רווחה</v>
          </cell>
          <cell r="J1234">
            <v>0</v>
          </cell>
          <cell r="K1234">
            <v>0</v>
          </cell>
          <cell r="L1234">
            <v>1849105840</v>
          </cell>
        </row>
        <row r="1235">
          <cell r="C1235">
            <v>172</v>
          </cell>
          <cell r="G1235">
            <v>84</v>
          </cell>
          <cell r="I1235" t="str">
            <v>רווחה</v>
          </cell>
          <cell r="J1235">
            <v>0</v>
          </cell>
          <cell r="K1235">
            <v>0</v>
          </cell>
          <cell r="L1235">
            <v>1849106840</v>
          </cell>
        </row>
        <row r="1236">
          <cell r="C1236">
            <v>172</v>
          </cell>
          <cell r="G1236">
            <v>84</v>
          </cell>
          <cell r="I1236" t="str">
            <v>רווחה</v>
          </cell>
          <cell r="J1236">
            <v>0</v>
          </cell>
          <cell r="K1236">
            <v>0</v>
          </cell>
          <cell r="L1236">
            <v>1849107840</v>
          </cell>
        </row>
        <row r="1237">
          <cell r="C1237">
            <v>172</v>
          </cell>
          <cell r="G1237">
            <v>84</v>
          </cell>
          <cell r="I1237" t="str">
            <v>רווחה</v>
          </cell>
          <cell r="J1237">
            <v>0</v>
          </cell>
          <cell r="K1237">
            <v>0</v>
          </cell>
          <cell r="L1237">
            <v>1849108840</v>
          </cell>
        </row>
        <row r="1238">
          <cell r="C1238">
            <v>172</v>
          </cell>
          <cell r="G1238">
            <v>84</v>
          </cell>
          <cell r="I1238" t="str">
            <v>רווחה</v>
          </cell>
          <cell r="J1238">
            <v>0</v>
          </cell>
          <cell r="K1238">
            <v>0</v>
          </cell>
          <cell r="L1238">
            <v>1849110840</v>
          </cell>
        </row>
        <row r="1239">
          <cell r="C1239">
            <v>172</v>
          </cell>
          <cell r="G1239">
            <v>84</v>
          </cell>
          <cell r="I1239" t="str">
            <v>רווחה</v>
          </cell>
          <cell r="J1239">
            <v>0</v>
          </cell>
          <cell r="K1239">
            <v>0</v>
          </cell>
          <cell r="L1239">
            <v>1849120110</v>
          </cell>
        </row>
        <row r="1240">
          <cell r="C1240">
            <v>172</v>
          </cell>
          <cell r="G1240">
            <v>84</v>
          </cell>
          <cell r="I1240" t="str">
            <v>רווחה</v>
          </cell>
          <cell r="J1240">
            <v>0</v>
          </cell>
          <cell r="K1240">
            <v>0</v>
          </cell>
          <cell r="L1240">
            <v>1849120750</v>
          </cell>
        </row>
        <row r="1241">
          <cell r="C1241">
            <v>172</v>
          </cell>
          <cell r="G1241">
            <v>84</v>
          </cell>
          <cell r="I1241" t="str">
            <v>רווחה</v>
          </cell>
          <cell r="J1241">
            <v>0</v>
          </cell>
          <cell r="K1241">
            <v>0</v>
          </cell>
          <cell r="L1241">
            <v>1849120840</v>
          </cell>
        </row>
        <row r="1242">
          <cell r="C1242">
            <v>172</v>
          </cell>
          <cell r="G1242">
            <v>84</v>
          </cell>
          <cell r="I1242" t="str">
            <v>רווחה</v>
          </cell>
          <cell r="J1242">
            <v>0</v>
          </cell>
          <cell r="K1242">
            <v>0</v>
          </cell>
          <cell r="L1242">
            <v>1849130110</v>
          </cell>
        </row>
        <row r="1243">
          <cell r="C1243">
            <v>172</v>
          </cell>
          <cell r="G1243">
            <v>84</v>
          </cell>
          <cell r="I1243" t="str">
            <v>רווחה</v>
          </cell>
          <cell r="J1243">
            <v>0</v>
          </cell>
          <cell r="K1243">
            <v>0</v>
          </cell>
          <cell r="L1243">
            <v>1849130750</v>
          </cell>
        </row>
        <row r="1244">
          <cell r="C1244">
            <v>172</v>
          </cell>
          <cell r="G1244">
            <v>84</v>
          </cell>
          <cell r="I1244" t="str">
            <v>רווחה</v>
          </cell>
          <cell r="J1244">
            <v>0</v>
          </cell>
          <cell r="K1244">
            <v>0</v>
          </cell>
          <cell r="L1244">
            <v>1849130840</v>
          </cell>
        </row>
        <row r="1245">
          <cell r="C1245">
            <v>172</v>
          </cell>
          <cell r="G1245">
            <v>84</v>
          </cell>
          <cell r="I1245" t="str">
            <v>רווחה</v>
          </cell>
          <cell r="J1245">
            <v>0</v>
          </cell>
          <cell r="K1245">
            <v>0</v>
          </cell>
          <cell r="L1245">
            <v>1849140840</v>
          </cell>
        </row>
        <row r="1246">
          <cell r="C1246">
            <v>172</v>
          </cell>
          <cell r="G1246">
            <v>84</v>
          </cell>
          <cell r="I1246" t="str">
            <v>רווחה</v>
          </cell>
          <cell r="J1246">
            <v>0</v>
          </cell>
          <cell r="K1246">
            <v>0</v>
          </cell>
          <cell r="L1246">
            <v>1849150840</v>
          </cell>
        </row>
        <row r="1247">
          <cell r="C1247">
            <v>172</v>
          </cell>
          <cell r="G1247">
            <v>84</v>
          </cell>
          <cell r="I1247" t="str">
            <v>רווחה</v>
          </cell>
          <cell r="J1247">
            <v>0</v>
          </cell>
          <cell r="K1247">
            <v>0</v>
          </cell>
          <cell r="L1247">
            <v>1849160840</v>
          </cell>
        </row>
        <row r="1248">
          <cell r="C1248">
            <v>172</v>
          </cell>
          <cell r="G1248">
            <v>84</v>
          </cell>
          <cell r="I1248" t="str">
            <v>דת</v>
          </cell>
          <cell r="J1248">
            <v>0</v>
          </cell>
          <cell r="K1248">
            <v>0</v>
          </cell>
          <cell r="L1248">
            <v>1851000110</v>
          </cell>
        </row>
        <row r="1249">
          <cell r="C1249">
            <v>172</v>
          </cell>
          <cell r="G1249">
            <v>84</v>
          </cell>
          <cell r="I1249" t="str">
            <v>דת</v>
          </cell>
          <cell r="J1249">
            <v>0</v>
          </cell>
          <cell r="K1249">
            <v>0</v>
          </cell>
          <cell r="L1249">
            <v>1851000210</v>
          </cell>
        </row>
        <row r="1250">
          <cell r="C1250">
            <v>171</v>
          </cell>
          <cell r="G1250">
            <v>84</v>
          </cell>
          <cell r="I1250" t="str">
            <v>דת</v>
          </cell>
          <cell r="J1250">
            <v>0</v>
          </cell>
          <cell r="K1250">
            <v>0</v>
          </cell>
          <cell r="L1250">
            <v>1851000430</v>
          </cell>
        </row>
        <row r="1251">
          <cell r="C1251">
            <v>171</v>
          </cell>
          <cell r="G1251">
            <v>84</v>
          </cell>
          <cell r="I1251" t="str">
            <v>דת</v>
          </cell>
          <cell r="J1251">
            <v>0</v>
          </cell>
          <cell r="K1251">
            <v>0</v>
          </cell>
          <cell r="L1251">
            <v>1851000431</v>
          </cell>
        </row>
        <row r="1252">
          <cell r="C1252">
            <v>172</v>
          </cell>
          <cell r="G1252">
            <v>84</v>
          </cell>
          <cell r="I1252" t="str">
            <v>דת</v>
          </cell>
          <cell r="J1252">
            <v>0</v>
          </cell>
          <cell r="K1252">
            <v>0</v>
          </cell>
          <cell r="L1252">
            <v>1851000432</v>
          </cell>
        </row>
        <row r="1253">
          <cell r="C1253">
            <v>172</v>
          </cell>
          <cell r="G1253">
            <v>84</v>
          </cell>
          <cell r="I1253" t="str">
            <v>דת</v>
          </cell>
          <cell r="J1253">
            <v>0</v>
          </cell>
          <cell r="K1253">
            <v>0</v>
          </cell>
          <cell r="L1253">
            <v>1851000810</v>
          </cell>
        </row>
        <row r="1254">
          <cell r="C1254">
            <v>172</v>
          </cell>
          <cell r="G1254">
            <v>84</v>
          </cell>
          <cell r="I1254" t="str">
            <v>דת</v>
          </cell>
          <cell r="J1254">
            <v>0</v>
          </cell>
          <cell r="K1254">
            <v>0</v>
          </cell>
          <cell r="L1254">
            <v>1855100110</v>
          </cell>
        </row>
        <row r="1255">
          <cell r="C1255">
            <v>172</v>
          </cell>
          <cell r="G1255">
            <v>84</v>
          </cell>
          <cell r="I1255" t="str">
            <v>איכות סביבה</v>
          </cell>
          <cell r="J1255">
            <v>0</v>
          </cell>
          <cell r="K1255">
            <v>0</v>
          </cell>
          <cell r="L1255">
            <v>1870000750</v>
          </cell>
        </row>
        <row r="1256">
          <cell r="C1256">
            <v>172</v>
          </cell>
          <cell r="G1256">
            <v>84</v>
          </cell>
          <cell r="I1256" t="str">
            <v>איכות סביבה</v>
          </cell>
          <cell r="J1256">
            <v>0</v>
          </cell>
          <cell r="K1256">
            <v>0</v>
          </cell>
          <cell r="L1256">
            <v>1879000780</v>
          </cell>
        </row>
        <row r="1257">
          <cell r="C1257">
            <v>172</v>
          </cell>
          <cell r="G1257">
            <v>84</v>
          </cell>
          <cell r="I1257" t="str">
            <v>מים</v>
          </cell>
          <cell r="J1257">
            <v>0</v>
          </cell>
          <cell r="K1257">
            <v>0</v>
          </cell>
          <cell r="L1257">
            <v>1913000110</v>
          </cell>
        </row>
        <row r="1258">
          <cell r="C1258">
            <v>172</v>
          </cell>
          <cell r="G1258">
            <v>84</v>
          </cell>
          <cell r="I1258" t="str">
            <v>מים</v>
          </cell>
          <cell r="J1258">
            <v>0</v>
          </cell>
          <cell r="K1258">
            <v>0</v>
          </cell>
          <cell r="L1258">
            <v>1913000210</v>
          </cell>
        </row>
        <row r="1259">
          <cell r="C1259">
            <v>172</v>
          </cell>
          <cell r="G1259">
            <v>84</v>
          </cell>
          <cell r="I1259" t="str">
            <v>מים</v>
          </cell>
          <cell r="J1259">
            <v>0</v>
          </cell>
          <cell r="K1259">
            <v>0</v>
          </cell>
          <cell r="L1259">
            <v>1913000310</v>
          </cell>
        </row>
        <row r="1260">
          <cell r="C1260">
            <v>172</v>
          </cell>
          <cell r="G1260">
            <v>84</v>
          </cell>
          <cell r="I1260" t="str">
            <v>מים</v>
          </cell>
          <cell r="J1260">
            <v>0</v>
          </cell>
          <cell r="K1260">
            <v>0</v>
          </cell>
          <cell r="L1260">
            <v>1913000350</v>
          </cell>
        </row>
        <row r="1261">
          <cell r="C1261">
            <v>172</v>
          </cell>
          <cell r="G1261">
            <v>84</v>
          </cell>
          <cell r="I1261" t="str">
            <v>מים</v>
          </cell>
          <cell r="J1261">
            <v>0</v>
          </cell>
          <cell r="K1261">
            <v>0</v>
          </cell>
          <cell r="L1261">
            <v>1913000420</v>
          </cell>
        </row>
        <row r="1262">
          <cell r="C1262">
            <v>172</v>
          </cell>
          <cell r="G1262">
            <v>84</v>
          </cell>
          <cell r="I1262" t="str">
            <v>מים</v>
          </cell>
          <cell r="J1262">
            <v>0</v>
          </cell>
          <cell r="K1262">
            <v>0</v>
          </cell>
          <cell r="L1262">
            <v>1913000430</v>
          </cell>
        </row>
        <row r="1263">
          <cell r="C1263">
            <v>172</v>
          </cell>
          <cell r="G1263">
            <v>84</v>
          </cell>
          <cell r="I1263" t="str">
            <v>מים</v>
          </cell>
          <cell r="J1263">
            <v>0</v>
          </cell>
          <cell r="K1263">
            <v>0</v>
          </cell>
          <cell r="L1263">
            <v>1913000431</v>
          </cell>
        </row>
        <row r="1264">
          <cell r="C1264">
            <v>172</v>
          </cell>
          <cell r="G1264">
            <v>84</v>
          </cell>
          <cell r="I1264" t="str">
            <v>מים</v>
          </cell>
          <cell r="J1264">
            <v>0</v>
          </cell>
          <cell r="K1264">
            <v>0</v>
          </cell>
          <cell r="L1264">
            <v>1913000541</v>
          </cell>
        </row>
        <row r="1265">
          <cell r="C1265">
            <v>171</v>
          </cell>
          <cell r="G1265">
            <v>84</v>
          </cell>
          <cell r="I1265" t="str">
            <v>מים</v>
          </cell>
          <cell r="J1265">
            <v>0</v>
          </cell>
          <cell r="K1265">
            <v>0</v>
          </cell>
          <cell r="L1265">
            <v>1913000719</v>
          </cell>
        </row>
        <row r="1266">
          <cell r="C1266">
            <v>172</v>
          </cell>
          <cell r="G1266">
            <v>84</v>
          </cell>
          <cell r="I1266" t="str">
            <v>מים</v>
          </cell>
          <cell r="J1266">
            <v>0</v>
          </cell>
          <cell r="K1266">
            <v>0</v>
          </cell>
          <cell r="L1266">
            <v>1913000720</v>
          </cell>
        </row>
        <row r="1267">
          <cell r="C1267">
            <v>172</v>
          </cell>
          <cell r="G1267">
            <v>84</v>
          </cell>
          <cell r="I1267" t="str">
            <v>מים</v>
          </cell>
          <cell r="J1267">
            <v>0</v>
          </cell>
          <cell r="K1267">
            <v>0</v>
          </cell>
          <cell r="L1267">
            <v>1913000730</v>
          </cell>
        </row>
        <row r="1268">
          <cell r="C1268">
            <v>172</v>
          </cell>
          <cell r="G1268">
            <v>84</v>
          </cell>
          <cell r="I1268" t="str">
            <v>מים</v>
          </cell>
          <cell r="J1268">
            <v>0</v>
          </cell>
          <cell r="K1268">
            <v>0</v>
          </cell>
          <cell r="L1268">
            <v>1913000731</v>
          </cell>
        </row>
        <row r="1269">
          <cell r="C1269">
            <v>172</v>
          </cell>
          <cell r="G1269">
            <v>84</v>
          </cell>
          <cell r="I1269" t="str">
            <v>מים</v>
          </cell>
          <cell r="J1269">
            <v>0</v>
          </cell>
          <cell r="K1269">
            <v>0</v>
          </cell>
          <cell r="L1269">
            <v>1913000732</v>
          </cell>
        </row>
        <row r="1270">
          <cell r="C1270">
            <v>172</v>
          </cell>
          <cell r="G1270">
            <v>84</v>
          </cell>
          <cell r="I1270" t="str">
            <v>מים</v>
          </cell>
          <cell r="J1270">
            <v>0</v>
          </cell>
          <cell r="K1270">
            <v>0</v>
          </cell>
          <cell r="L1270">
            <v>1913000735</v>
          </cell>
        </row>
        <row r="1271">
          <cell r="C1271">
            <v>172</v>
          </cell>
          <cell r="G1271">
            <v>84</v>
          </cell>
          <cell r="I1271" t="str">
            <v>מים</v>
          </cell>
          <cell r="J1271">
            <v>0</v>
          </cell>
          <cell r="K1271">
            <v>0</v>
          </cell>
          <cell r="L1271">
            <v>1913000750</v>
          </cell>
        </row>
        <row r="1272">
          <cell r="C1272">
            <v>172</v>
          </cell>
          <cell r="G1272">
            <v>84</v>
          </cell>
          <cell r="I1272" t="str">
            <v>מים</v>
          </cell>
          <cell r="J1272">
            <v>0</v>
          </cell>
          <cell r="K1272">
            <v>0</v>
          </cell>
          <cell r="L1272">
            <v>1913000770</v>
          </cell>
        </row>
        <row r="1273">
          <cell r="C1273">
            <v>171</v>
          </cell>
          <cell r="G1273">
            <v>84</v>
          </cell>
          <cell r="I1273" t="str">
            <v>מים</v>
          </cell>
          <cell r="J1273">
            <v>0</v>
          </cell>
          <cell r="K1273">
            <v>0</v>
          </cell>
          <cell r="L1273">
            <v>1913000780</v>
          </cell>
        </row>
        <row r="1274">
          <cell r="C1274">
            <v>171</v>
          </cell>
          <cell r="G1274">
            <v>84</v>
          </cell>
          <cell r="I1274" t="str">
            <v>מים</v>
          </cell>
          <cell r="J1274">
            <v>0</v>
          </cell>
          <cell r="K1274">
            <v>0</v>
          </cell>
          <cell r="L1274">
            <v>1913100729</v>
          </cell>
        </row>
        <row r="1275">
          <cell r="C1275">
            <v>171</v>
          </cell>
          <cell r="G1275">
            <v>84</v>
          </cell>
          <cell r="I1275" t="str">
            <v>מים</v>
          </cell>
          <cell r="J1275">
            <v>0</v>
          </cell>
          <cell r="K1275">
            <v>0</v>
          </cell>
          <cell r="L1275">
            <v>1913100760</v>
          </cell>
        </row>
        <row r="1276">
          <cell r="C1276">
            <v>172</v>
          </cell>
          <cell r="G1276">
            <v>84</v>
          </cell>
          <cell r="I1276" t="str">
            <v>מים</v>
          </cell>
          <cell r="J1276">
            <v>0</v>
          </cell>
          <cell r="K1276">
            <v>0</v>
          </cell>
          <cell r="L1276">
            <v>1913200540</v>
          </cell>
        </row>
        <row r="1277">
          <cell r="C1277">
            <v>172</v>
          </cell>
          <cell r="G1277">
            <v>84</v>
          </cell>
          <cell r="I1277" t="str">
            <v>מים</v>
          </cell>
          <cell r="J1277">
            <v>0</v>
          </cell>
          <cell r="K1277">
            <v>0</v>
          </cell>
          <cell r="L1277">
            <v>1913200730</v>
          </cell>
        </row>
        <row r="1278">
          <cell r="C1278">
            <v>172</v>
          </cell>
          <cell r="G1278">
            <v>84</v>
          </cell>
          <cell r="I1278" t="str">
            <v>מים</v>
          </cell>
          <cell r="J1278">
            <v>0</v>
          </cell>
          <cell r="K1278">
            <v>0</v>
          </cell>
          <cell r="L1278">
            <v>1913200750</v>
          </cell>
        </row>
        <row r="1279">
          <cell r="C1279">
            <v>172</v>
          </cell>
          <cell r="G1279">
            <v>84</v>
          </cell>
          <cell r="I1279" t="str">
            <v>מים</v>
          </cell>
          <cell r="J1279">
            <v>0</v>
          </cell>
          <cell r="K1279">
            <v>0</v>
          </cell>
          <cell r="L1279">
            <v>1913200770</v>
          </cell>
        </row>
        <row r="1280">
          <cell r="C1280">
            <v>172</v>
          </cell>
          <cell r="G1280">
            <v>84</v>
          </cell>
          <cell r="I1280" t="str">
            <v>מים</v>
          </cell>
          <cell r="J1280">
            <v>0</v>
          </cell>
          <cell r="K1280">
            <v>0</v>
          </cell>
          <cell r="L1280">
            <v>1913300980</v>
          </cell>
        </row>
        <row r="1281">
          <cell r="C1281">
            <v>172</v>
          </cell>
          <cell r="G1281">
            <v>84</v>
          </cell>
          <cell r="I1281" t="str">
            <v>מים</v>
          </cell>
          <cell r="J1281">
            <v>0</v>
          </cell>
          <cell r="K1281">
            <v>0</v>
          </cell>
          <cell r="L1281">
            <v>1913400730</v>
          </cell>
        </row>
        <row r="1282">
          <cell r="C1282">
            <v>172</v>
          </cell>
          <cell r="G1282">
            <v>84</v>
          </cell>
          <cell r="I1282" t="str">
            <v>מים</v>
          </cell>
          <cell r="J1282">
            <v>0</v>
          </cell>
          <cell r="K1282">
            <v>0</v>
          </cell>
          <cell r="L1282">
            <v>1913500730</v>
          </cell>
        </row>
        <row r="1283">
          <cell r="C1283">
            <v>172</v>
          </cell>
          <cell r="G1283">
            <v>84</v>
          </cell>
          <cell r="I1283" t="str">
            <v>נכסים</v>
          </cell>
          <cell r="J1283">
            <v>0</v>
          </cell>
          <cell r="K1283">
            <v>0</v>
          </cell>
          <cell r="L1283">
            <v>1938000410</v>
          </cell>
        </row>
        <row r="1284">
          <cell r="C1284">
            <v>172</v>
          </cell>
          <cell r="G1284">
            <v>84</v>
          </cell>
          <cell r="I1284" t="str">
            <v>נכסים</v>
          </cell>
          <cell r="J1284">
            <v>0</v>
          </cell>
          <cell r="K1284">
            <v>0</v>
          </cell>
          <cell r="L1284">
            <v>1938000430</v>
          </cell>
        </row>
        <row r="1285">
          <cell r="C1285">
            <v>172</v>
          </cell>
          <cell r="G1285">
            <v>84</v>
          </cell>
          <cell r="I1285" t="str">
            <v>תחבורה</v>
          </cell>
          <cell r="J1285">
            <v>0</v>
          </cell>
          <cell r="K1285">
            <v>0</v>
          </cell>
          <cell r="L1285">
            <v>1943100410</v>
          </cell>
        </row>
        <row r="1286">
          <cell r="C1286">
            <v>172</v>
          </cell>
          <cell r="G1286">
            <v>84</v>
          </cell>
          <cell r="I1286" t="str">
            <v>תחבורה</v>
          </cell>
          <cell r="J1286">
            <v>0</v>
          </cell>
          <cell r="K1286">
            <v>0</v>
          </cell>
          <cell r="L1286">
            <v>1944000970</v>
          </cell>
        </row>
        <row r="1287">
          <cell r="C1287">
            <v>172</v>
          </cell>
          <cell r="G1287">
            <v>84</v>
          </cell>
          <cell r="I1287" t="str">
            <v>מפעל הביוב</v>
          </cell>
          <cell r="J1287">
            <v>0</v>
          </cell>
          <cell r="K1287">
            <v>0</v>
          </cell>
          <cell r="L1287">
            <v>1972000694</v>
          </cell>
        </row>
        <row r="1288">
          <cell r="C1288">
            <v>172</v>
          </cell>
          <cell r="G1288">
            <v>84</v>
          </cell>
          <cell r="I1288" t="str">
            <v>מפעל הביוב</v>
          </cell>
          <cell r="J1288">
            <v>0</v>
          </cell>
          <cell r="K1288">
            <v>0</v>
          </cell>
          <cell r="L1288">
            <v>1972000695</v>
          </cell>
        </row>
        <row r="1289">
          <cell r="C1289">
            <v>172</v>
          </cell>
          <cell r="G1289">
            <v>84</v>
          </cell>
          <cell r="I1289" t="str">
            <v>מפעל הביוב</v>
          </cell>
          <cell r="J1289">
            <v>0</v>
          </cell>
          <cell r="K1289">
            <v>0</v>
          </cell>
          <cell r="L1289">
            <v>1972000696</v>
          </cell>
        </row>
        <row r="1290">
          <cell r="C1290">
            <v>172</v>
          </cell>
          <cell r="G1290">
            <v>84</v>
          </cell>
          <cell r="I1290" t="str">
            <v>מפעל הביוב</v>
          </cell>
          <cell r="J1290">
            <v>0</v>
          </cell>
          <cell r="K1290">
            <v>0</v>
          </cell>
          <cell r="L1290">
            <v>1972000720</v>
          </cell>
        </row>
        <row r="1291">
          <cell r="C1291">
            <v>172</v>
          </cell>
          <cell r="G1291">
            <v>84</v>
          </cell>
          <cell r="I1291" t="str">
            <v>מפעל הביוב</v>
          </cell>
          <cell r="J1291">
            <v>0</v>
          </cell>
          <cell r="K1291">
            <v>0</v>
          </cell>
          <cell r="L1291">
            <v>1972000750</v>
          </cell>
        </row>
        <row r="1292">
          <cell r="C1292">
            <v>172</v>
          </cell>
          <cell r="G1292">
            <v>84</v>
          </cell>
          <cell r="I1292" t="str">
            <v>מפעל הביוב</v>
          </cell>
          <cell r="J1292">
            <v>0</v>
          </cell>
          <cell r="K1292">
            <v>0</v>
          </cell>
          <cell r="L1292">
            <v>1973000770</v>
          </cell>
        </row>
        <row r="1293">
          <cell r="C1293">
            <v>172</v>
          </cell>
          <cell r="G1293">
            <v>84</v>
          </cell>
          <cell r="I1293" t="str">
            <v>מפעל הביוב</v>
          </cell>
          <cell r="J1293">
            <v>0</v>
          </cell>
          <cell r="K1293">
            <v>0</v>
          </cell>
          <cell r="L1293">
            <v>1973100750</v>
          </cell>
        </row>
        <row r="1294">
          <cell r="C1294">
            <v>172</v>
          </cell>
          <cell r="G1294">
            <v>84</v>
          </cell>
          <cell r="I1294" t="str">
            <v>מפעלים אחרים</v>
          </cell>
          <cell r="J1294">
            <v>0</v>
          </cell>
          <cell r="K1294">
            <v>0</v>
          </cell>
          <cell r="L1294">
            <v>1980000110</v>
          </cell>
        </row>
        <row r="1295">
          <cell r="C1295">
            <v>172</v>
          </cell>
          <cell r="G1295">
            <v>84</v>
          </cell>
          <cell r="I1295" t="str">
            <v>מפעלים אחרים</v>
          </cell>
          <cell r="J1295">
            <v>0</v>
          </cell>
          <cell r="K1295">
            <v>0</v>
          </cell>
          <cell r="L1295">
            <v>1980000150</v>
          </cell>
        </row>
        <row r="1296">
          <cell r="C1296">
            <v>171</v>
          </cell>
          <cell r="G1296">
            <v>84</v>
          </cell>
          <cell r="I1296" t="str">
            <v>מפעלים אחרים</v>
          </cell>
          <cell r="J1296">
            <v>0</v>
          </cell>
          <cell r="K1296">
            <v>0</v>
          </cell>
          <cell r="L1296">
            <v>1980000210</v>
          </cell>
        </row>
        <row r="1297">
          <cell r="C1297">
            <v>171</v>
          </cell>
          <cell r="G1297">
            <v>84</v>
          </cell>
          <cell r="I1297" t="str">
            <v>מפעלים אחרים</v>
          </cell>
          <cell r="J1297">
            <v>0</v>
          </cell>
          <cell r="K1297">
            <v>0</v>
          </cell>
          <cell r="L1297">
            <v>1980000350</v>
          </cell>
        </row>
        <row r="1298">
          <cell r="C1298">
            <v>172</v>
          </cell>
          <cell r="G1298">
            <v>84</v>
          </cell>
          <cell r="I1298" t="str">
            <v>מפעלים אחרים</v>
          </cell>
          <cell r="J1298">
            <v>0</v>
          </cell>
          <cell r="K1298">
            <v>0</v>
          </cell>
          <cell r="L1298">
            <v>1989100980</v>
          </cell>
        </row>
        <row r="1299">
          <cell r="C1299">
            <v>172</v>
          </cell>
          <cell r="G1299">
            <v>84</v>
          </cell>
          <cell r="I1299" t="str">
            <v>תשלומים בלתי רגילים</v>
          </cell>
          <cell r="J1299">
            <v>0</v>
          </cell>
          <cell r="K1299">
            <v>0</v>
          </cell>
          <cell r="L1299">
            <v>1993000110</v>
          </cell>
        </row>
        <row r="1300">
          <cell r="C1300">
            <v>172</v>
          </cell>
          <cell r="G1300">
            <v>84</v>
          </cell>
          <cell r="I1300" t="str">
            <v>תשלומים בלתי רגילים</v>
          </cell>
          <cell r="J1300">
            <v>0</v>
          </cell>
          <cell r="K1300">
            <v>0</v>
          </cell>
          <cell r="L1300">
            <v>1993000780</v>
          </cell>
        </row>
        <row r="1301">
          <cell r="C1301">
            <v>172</v>
          </cell>
          <cell r="G1301">
            <v>84</v>
          </cell>
          <cell r="I1301" t="str">
            <v>תשלומים בלתי רגילים</v>
          </cell>
          <cell r="J1301">
            <v>0</v>
          </cell>
          <cell r="K1301">
            <v>0</v>
          </cell>
          <cell r="L1301">
            <v>1995000860</v>
          </cell>
        </row>
        <row r="1302">
          <cell r="C1302">
            <v>172</v>
          </cell>
          <cell r="G1302">
            <v>84</v>
          </cell>
          <cell r="I1302" t="str">
            <v>תשלומים בלתי רגילים</v>
          </cell>
          <cell r="J1302">
            <v>0</v>
          </cell>
          <cell r="K1302">
            <v>0</v>
          </cell>
          <cell r="L1302">
            <v>1996000110</v>
          </cell>
        </row>
        <row r="1303">
          <cell r="C1303">
            <v>172</v>
          </cell>
          <cell r="G1303">
            <v>84</v>
          </cell>
          <cell r="I1303" t="str">
            <v>תשלומים בלתי רגילים</v>
          </cell>
          <cell r="J1303">
            <v>0</v>
          </cell>
          <cell r="K1303">
            <v>0</v>
          </cell>
          <cell r="L1303">
            <v>1996000310</v>
          </cell>
        </row>
        <row r="1304">
          <cell r="C1304">
            <v>172</v>
          </cell>
          <cell r="G1304">
            <v>84</v>
          </cell>
          <cell r="I1304" t="str">
            <v>תשלומים בלתי רגילים</v>
          </cell>
          <cell r="J1304">
            <v>0</v>
          </cell>
          <cell r="K1304">
            <v>0</v>
          </cell>
          <cell r="L1304">
            <v>1996001110</v>
          </cell>
        </row>
        <row r="1305">
          <cell r="C1305">
            <v>171</v>
          </cell>
          <cell r="G1305">
            <v>84</v>
          </cell>
          <cell r="I1305" t="str">
            <v>תשלומים בלתי רגילים</v>
          </cell>
          <cell r="J1305">
            <v>0</v>
          </cell>
          <cell r="K1305">
            <v>0</v>
          </cell>
          <cell r="L1305">
            <v>1997000110</v>
          </cell>
        </row>
        <row r="1306">
          <cell r="C1306">
            <v>172</v>
          </cell>
          <cell r="G1306">
            <v>84</v>
          </cell>
          <cell r="I1306" t="str">
            <v>תשלומים בלתי רגילים</v>
          </cell>
          <cell r="J1306">
            <v>0</v>
          </cell>
          <cell r="K1306">
            <v>0</v>
          </cell>
          <cell r="L1306">
            <v>1997000350</v>
          </cell>
        </row>
        <row r="1307">
          <cell r="C1307">
            <v>172</v>
          </cell>
          <cell r="G1307">
            <v>84</v>
          </cell>
          <cell r="I1307" t="str">
            <v>תשלומים בלתי רגילים</v>
          </cell>
          <cell r="J1307">
            <v>0</v>
          </cell>
          <cell r="K1307">
            <v>0</v>
          </cell>
          <cell r="L1307">
            <v>1998000110</v>
          </cell>
        </row>
        <row r="1308">
          <cell r="C1308">
            <v>172</v>
          </cell>
          <cell r="G1308">
            <v>84</v>
          </cell>
          <cell r="I1308" t="str">
            <v>תשלומים בלתי רגילים</v>
          </cell>
          <cell r="J1308">
            <v>0</v>
          </cell>
          <cell r="K1308">
            <v>0</v>
          </cell>
          <cell r="L1308">
            <v>1998000310</v>
          </cell>
        </row>
        <row r="1309">
          <cell r="C1309">
            <v>172</v>
          </cell>
          <cell r="G1309">
            <v>84</v>
          </cell>
          <cell r="I1309" t="str">
            <v>תשלומים בלתי רגילים</v>
          </cell>
          <cell r="J1309">
            <v>0</v>
          </cell>
          <cell r="K1309">
            <v>0</v>
          </cell>
          <cell r="L1309">
            <v>1998001110</v>
          </cell>
        </row>
        <row r="1310">
          <cell r="C1310">
            <v>172</v>
          </cell>
          <cell r="G1310">
            <v>84</v>
          </cell>
          <cell r="I1310" t="str">
            <v>תשלומים בלתי רגילים</v>
          </cell>
          <cell r="J1310">
            <v>0</v>
          </cell>
          <cell r="K1310">
            <v>0</v>
          </cell>
          <cell r="L1310">
            <v>1998001310</v>
          </cell>
        </row>
        <row r="1311">
          <cell r="C1311">
            <v>172</v>
          </cell>
          <cell r="G1311">
            <v>84</v>
          </cell>
          <cell r="I1311" t="str">
            <v>תשלומים בלתי רגילים</v>
          </cell>
          <cell r="J1311">
            <v>0</v>
          </cell>
          <cell r="K1311">
            <v>0</v>
          </cell>
          <cell r="L1311">
            <v>1998100980</v>
          </cell>
        </row>
        <row r="1312">
          <cell r="C1312">
            <v>172</v>
          </cell>
          <cell r="G1312">
            <v>84</v>
          </cell>
          <cell r="I1312" t="str">
            <v>תשלומים בלתי רגילים</v>
          </cell>
          <cell r="J1312">
            <v>0</v>
          </cell>
          <cell r="K1312">
            <v>0</v>
          </cell>
          <cell r="L1312">
            <v>1999100980</v>
          </cell>
        </row>
        <row r="1313">
          <cell r="C1313">
            <v>172</v>
          </cell>
          <cell r="G1313">
            <v>84</v>
          </cell>
          <cell r="I1313" t="str">
            <v>רווחה</v>
          </cell>
          <cell r="J1313">
            <v>0</v>
          </cell>
          <cell r="K1313">
            <v>0</v>
          </cell>
          <cell r="L1313">
            <v>1342411930</v>
          </cell>
        </row>
        <row r="1314">
          <cell r="C1314">
            <v>172</v>
          </cell>
          <cell r="G1314">
            <v>84</v>
          </cell>
          <cell r="I1314" t="str">
            <v>רווחה</v>
          </cell>
          <cell r="J1314">
            <v>0</v>
          </cell>
          <cell r="K1314">
            <v>0</v>
          </cell>
          <cell r="L1314">
            <v>1343570930</v>
          </cell>
        </row>
        <row r="1315">
          <cell r="C1315">
            <v>172</v>
          </cell>
          <cell r="G1315">
            <v>84</v>
          </cell>
          <cell r="I1315" t="str">
            <v>שירותים עירוניים שונים</v>
          </cell>
          <cell r="J1315">
            <v>0</v>
          </cell>
          <cell r="K1315">
            <v>0</v>
          </cell>
          <cell r="L1315">
            <v>1269200690</v>
          </cell>
        </row>
        <row r="1316">
          <cell r="C1316">
            <v>172</v>
          </cell>
          <cell r="G1316">
            <v>84</v>
          </cell>
          <cell r="I1316" t="str">
            <v>תרבות</v>
          </cell>
          <cell r="J1316">
            <v>0</v>
          </cell>
          <cell r="K1316">
            <v>0</v>
          </cell>
          <cell r="L1316">
            <v>1329100940</v>
          </cell>
        </row>
        <row r="1317">
          <cell r="C1317">
            <v>172</v>
          </cell>
          <cell r="G1317">
            <v>84</v>
          </cell>
          <cell r="I1317" t="str">
            <v>רווחה</v>
          </cell>
          <cell r="J1317">
            <v>0</v>
          </cell>
          <cell r="K1317">
            <v>0</v>
          </cell>
          <cell r="L1317">
            <v>1341005930</v>
          </cell>
        </row>
        <row r="1318">
          <cell r="C1318">
            <v>172</v>
          </cell>
          <cell r="G1318">
            <v>84</v>
          </cell>
          <cell r="I1318" t="str">
            <v>רווחה</v>
          </cell>
          <cell r="J1318">
            <v>0</v>
          </cell>
          <cell r="K1318">
            <v>0</v>
          </cell>
          <cell r="L1318">
            <v>1341006930</v>
          </cell>
        </row>
        <row r="1319">
          <cell r="C1319">
            <v>172</v>
          </cell>
          <cell r="G1319">
            <v>84</v>
          </cell>
          <cell r="I1319" t="str">
            <v>רווחה</v>
          </cell>
          <cell r="J1319">
            <v>0</v>
          </cell>
          <cell r="K1319">
            <v>0</v>
          </cell>
          <cell r="L1319">
            <v>1341007930</v>
          </cell>
        </row>
        <row r="1320">
          <cell r="C1320">
            <v>171</v>
          </cell>
          <cell r="G1320">
            <v>84</v>
          </cell>
          <cell r="I1320" t="str">
            <v>רווחה</v>
          </cell>
          <cell r="J1320">
            <v>0</v>
          </cell>
          <cell r="K1320">
            <v>0</v>
          </cell>
          <cell r="L1320">
            <v>1342203930</v>
          </cell>
        </row>
        <row r="1321">
          <cell r="C1321">
            <v>172</v>
          </cell>
          <cell r="G1321">
            <v>84</v>
          </cell>
          <cell r="I1321" t="str">
            <v>רווחה</v>
          </cell>
          <cell r="J1321">
            <v>0</v>
          </cell>
          <cell r="K1321">
            <v>0</v>
          </cell>
          <cell r="L1321">
            <v>1342404830</v>
          </cell>
        </row>
        <row r="1322">
          <cell r="C1322">
            <v>172</v>
          </cell>
          <cell r="G1322">
            <v>84</v>
          </cell>
          <cell r="I1322" t="str">
            <v>רווחה</v>
          </cell>
          <cell r="J1322">
            <v>0</v>
          </cell>
          <cell r="K1322">
            <v>0</v>
          </cell>
          <cell r="L1322">
            <v>1343402930</v>
          </cell>
        </row>
        <row r="1323">
          <cell r="C1323">
            <v>171</v>
          </cell>
          <cell r="G1323">
            <v>84</v>
          </cell>
          <cell r="I1323" t="str">
            <v>רווחה</v>
          </cell>
          <cell r="J1323">
            <v>0</v>
          </cell>
          <cell r="K1323">
            <v>0</v>
          </cell>
          <cell r="L1323">
            <v>1343510930</v>
          </cell>
        </row>
        <row r="1324">
          <cell r="C1324">
            <v>172</v>
          </cell>
          <cell r="G1324">
            <v>84</v>
          </cell>
          <cell r="I1324" t="str">
            <v>רווחה</v>
          </cell>
          <cell r="J1324">
            <v>0</v>
          </cell>
          <cell r="K1324">
            <v>0</v>
          </cell>
          <cell r="L1324">
            <v>1344402930</v>
          </cell>
        </row>
        <row r="1325">
          <cell r="C1325">
            <v>172</v>
          </cell>
          <cell r="G1325">
            <v>84</v>
          </cell>
          <cell r="I1325" t="str">
            <v>רווחה</v>
          </cell>
          <cell r="J1325">
            <v>0</v>
          </cell>
          <cell r="K1325">
            <v>0</v>
          </cell>
          <cell r="L1325">
            <v>1344403930</v>
          </cell>
        </row>
        <row r="1326">
          <cell r="C1326">
            <v>172</v>
          </cell>
          <cell r="G1326">
            <v>84</v>
          </cell>
          <cell r="I1326" t="str">
            <v>רווחה</v>
          </cell>
          <cell r="J1326">
            <v>0</v>
          </cell>
          <cell r="K1326">
            <v>0</v>
          </cell>
          <cell r="L1326">
            <v>1344404930</v>
          </cell>
        </row>
        <row r="1327">
          <cell r="C1327">
            <v>172</v>
          </cell>
          <cell r="G1327">
            <v>84</v>
          </cell>
          <cell r="I1327" t="str">
            <v>רווחה</v>
          </cell>
          <cell r="J1327">
            <v>0</v>
          </cell>
          <cell r="K1327">
            <v>0</v>
          </cell>
          <cell r="L1327">
            <v>1344501930</v>
          </cell>
        </row>
        <row r="1328">
          <cell r="C1328">
            <v>172</v>
          </cell>
          <cell r="G1328">
            <v>84</v>
          </cell>
          <cell r="I1328" t="str">
            <v>רווחה</v>
          </cell>
          <cell r="J1328">
            <v>0</v>
          </cell>
          <cell r="K1328">
            <v>0</v>
          </cell>
          <cell r="L1328">
            <v>1344502930</v>
          </cell>
        </row>
        <row r="1329">
          <cell r="C1329">
            <v>151</v>
          </cell>
          <cell r="G1329">
            <v>85</v>
          </cell>
          <cell r="I1329" t="str">
            <v>רווחה</v>
          </cell>
          <cell r="J1329">
            <v>0</v>
          </cell>
          <cell r="K1329">
            <v>0</v>
          </cell>
          <cell r="L1329">
            <v>1345101930</v>
          </cell>
        </row>
        <row r="1330">
          <cell r="C1330">
            <v>151</v>
          </cell>
          <cell r="G1330">
            <v>85</v>
          </cell>
          <cell r="I1330" t="str">
            <v>רווחה</v>
          </cell>
          <cell r="J1330">
            <v>0</v>
          </cell>
          <cell r="K1330">
            <v>0</v>
          </cell>
          <cell r="L1330">
            <v>1345102930</v>
          </cell>
        </row>
        <row r="1331">
          <cell r="C1331">
            <v>152</v>
          </cell>
          <cell r="G1331">
            <v>85</v>
          </cell>
          <cell r="I1331" t="str">
            <v>רווחה</v>
          </cell>
          <cell r="J1331">
            <v>0</v>
          </cell>
          <cell r="K1331">
            <v>0</v>
          </cell>
          <cell r="L1331">
            <v>1345103930</v>
          </cell>
        </row>
        <row r="1332">
          <cell r="C1332">
            <v>152</v>
          </cell>
          <cell r="G1332">
            <v>85</v>
          </cell>
          <cell r="I1332" t="str">
            <v>רווחה</v>
          </cell>
          <cell r="J1332">
            <v>0</v>
          </cell>
          <cell r="K1332">
            <v>0</v>
          </cell>
          <cell r="L1332">
            <v>1345104930</v>
          </cell>
        </row>
        <row r="1333">
          <cell r="C1333">
            <v>152</v>
          </cell>
          <cell r="G1333">
            <v>85</v>
          </cell>
          <cell r="I1333" t="str">
            <v>רווחה</v>
          </cell>
          <cell r="J1333">
            <v>0</v>
          </cell>
          <cell r="K1333">
            <v>0</v>
          </cell>
          <cell r="L1333">
            <v>1345105930</v>
          </cell>
        </row>
        <row r="1334">
          <cell r="C1334">
            <v>152</v>
          </cell>
          <cell r="G1334">
            <v>85</v>
          </cell>
          <cell r="I1334" t="str">
            <v>רווחה</v>
          </cell>
          <cell r="J1334">
            <v>0</v>
          </cell>
          <cell r="K1334">
            <v>0</v>
          </cell>
          <cell r="L1334">
            <v>1345302330</v>
          </cell>
        </row>
        <row r="1335">
          <cell r="C1335">
            <v>151</v>
          </cell>
          <cell r="G1335">
            <v>85</v>
          </cell>
          <cell r="I1335" t="str">
            <v>רווחה</v>
          </cell>
          <cell r="J1335">
            <v>0</v>
          </cell>
          <cell r="K1335">
            <v>0</v>
          </cell>
          <cell r="L1335">
            <v>1345302930</v>
          </cell>
        </row>
        <row r="1336">
          <cell r="C1336">
            <v>152</v>
          </cell>
          <cell r="G1336">
            <v>87</v>
          </cell>
          <cell r="I1336" t="str">
            <v>רווחה</v>
          </cell>
          <cell r="J1336">
            <v>0</v>
          </cell>
          <cell r="K1336">
            <v>0</v>
          </cell>
          <cell r="L1336">
            <v>1346701930</v>
          </cell>
        </row>
        <row r="1337">
          <cell r="C1337">
            <v>152</v>
          </cell>
          <cell r="G1337">
            <v>87</v>
          </cell>
          <cell r="I1337" t="str">
            <v>רווחה</v>
          </cell>
          <cell r="J1337">
            <v>0</v>
          </cell>
          <cell r="K1337">
            <v>0</v>
          </cell>
          <cell r="L1337">
            <v>1347101930</v>
          </cell>
        </row>
        <row r="1338">
          <cell r="C1338">
            <v>151</v>
          </cell>
          <cell r="G1338">
            <v>91</v>
          </cell>
          <cell r="I1338" t="str">
            <v>רווחה</v>
          </cell>
          <cell r="J1338">
            <v>0</v>
          </cell>
          <cell r="K1338">
            <v>0</v>
          </cell>
          <cell r="L1338">
            <v>1347102930</v>
          </cell>
        </row>
        <row r="1339">
          <cell r="C1339">
            <v>151</v>
          </cell>
          <cell r="G1339">
            <v>91</v>
          </cell>
          <cell r="I1339" t="str">
            <v>רווחה</v>
          </cell>
          <cell r="J1339">
            <v>0</v>
          </cell>
          <cell r="K1339">
            <v>0</v>
          </cell>
          <cell r="L1339">
            <v>1347103930</v>
          </cell>
        </row>
        <row r="1340">
          <cell r="C1340">
            <v>151</v>
          </cell>
          <cell r="G1340">
            <v>91</v>
          </cell>
          <cell r="I1340" t="str">
            <v>רווחה</v>
          </cell>
          <cell r="J1340">
            <v>0</v>
          </cell>
          <cell r="K1340">
            <v>0</v>
          </cell>
          <cell r="L1340">
            <v>1347104930</v>
          </cell>
        </row>
        <row r="1341">
          <cell r="C1341">
            <v>151</v>
          </cell>
          <cell r="G1341">
            <v>91</v>
          </cell>
          <cell r="I1341" t="str">
            <v>רווחה</v>
          </cell>
          <cell r="J1341">
            <v>0</v>
          </cell>
          <cell r="K1341">
            <v>0</v>
          </cell>
          <cell r="L1341">
            <v>1347105930</v>
          </cell>
        </row>
        <row r="1342">
          <cell r="C1342">
            <v>152</v>
          </cell>
          <cell r="G1342">
            <v>91</v>
          </cell>
          <cell r="I1342" t="str">
            <v>רווחה</v>
          </cell>
          <cell r="J1342">
            <v>0</v>
          </cell>
          <cell r="K1342">
            <v>0</v>
          </cell>
          <cell r="L1342">
            <v>1347106930</v>
          </cell>
        </row>
        <row r="1343">
          <cell r="C1343">
            <v>154</v>
          </cell>
          <cell r="G1343">
            <v>91</v>
          </cell>
          <cell r="I1343" t="str">
            <v>רווחה</v>
          </cell>
          <cell r="J1343">
            <v>0</v>
          </cell>
          <cell r="K1343">
            <v>0</v>
          </cell>
          <cell r="L1343">
            <v>1347107930</v>
          </cell>
        </row>
        <row r="1344">
          <cell r="C1344">
            <v>152</v>
          </cell>
          <cell r="G1344">
            <v>91</v>
          </cell>
          <cell r="I1344" t="str">
            <v>רווחה</v>
          </cell>
          <cell r="J1344">
            <v>0</v>
          </cell>
          <cell r="K1344">
            <v>0</v>
          </cell>
          <cell r="L1344">
            <v>1347401930</v>
          </cell>
        </row>
        <row r="1345">
          <cell r="C1345">
            <v>152</v>
          </cell>
          <cell r="G1345">
            <v>91</v>
          </cell>
          <cell r="I1345" t="str">
            <v>החזר מקרנות והכנסות מיוחדות</v>
          </cell>
          <cell r="J1345">
            <v>0</v>
          </cell>
          <cell r="K1345">
            <v>0</v>
          </cell>
          <cell r="L1345">
            <v>1599100910</v>
          </cell>
        </row>
        <row r="1346">
          <cell r="C1346">
            <v>154</v>
          </cell>
          <cell r="G1346">
            <v>91</v>
          </cell>
          <cell r="I1346" t="str">
            <v>גביה</v>
          </cell>
          <cell r="J1346">
            <v>0</v>
          </cell>
          <cell r="K1346">
            <v>0</v>
          </cell>
          <cell r="L1346">
            <v>1623101750</v>
          </cell>
        </row>
        <row r="1347">
          <cell r="C1347">
            <v>152</v>
          </cell>
          <cell r="G1347">
            <v>91</v>
          </cell>
          <cell r="I1347" t="str">
            <v>תרבות</v>
          </cell>
          <cell r="J1347">
            <v>0</v>
          </cell>
          <cell r="K1347">
            <v>0</v>
          </cell>
          <cell r="L1347">
            <v>1822101780</v>
          </cell>
        </row>
        <row r="1348">
          <cell r="C1348">
            <v>152</v>
          </cell>
          <cell r="G1348">
            <v>91</v>
          </cell>
          <cell r="I1348" t="str">
            <v>תרבות</v>
          </cell>
          <cell r="J1348">
            <v>0</v>
          </cell>
          <cell r="K1348">
            <v>0</v>
          </cell>
          <cell r="L1348">
            <v>1829360110</v>
          </cell>
        </row>
        <row r="1349">
          <cell r="C1349">
            <v>154</v>
          </cell>
          <cell r="G1349">
            <v>91</v>
          </cell>
          <cell r="I1349" t="str">
            <v>רווחה</v>
          </cell>
          <cell r="J1349">
            <v>0</v>
          </cell>
          <cell r="K1349">
            <v>0</v>
          </cell>
          <cell r="L1349">
            <v>1841005840</v>
          </cell>
        </row>
        <row r="1350">
          <cell r="C1350">
            <v>154</v>
          </cell>
          <cell r="G1350">
            <v>91</v>
          </cell>
          <cell r="I1350" t="str">
            <v>רווחה</v>
          </cell>
          <cell r="J1350">
            <v>0</v>
          </cell>
          <cell r="K1350">
            <v>0</v>
          </cell>
          <cell r="L1350">
            <v>1841006840</v>
          </cell>
        </row>
        <row r="1351">
          <cell r="C1351">
            <v>154</v>
          </cell>
          <cell r="G1351">
            <v>91</v>
          </cell>
          <cell r="I1351" t="str">
            <v>רווחה</v>
          </cell>
          <cell r="J1351">
            <v>0</v>
          </cell>
          <cell r="K1351">
            <v>0</v>
          </cell>
          <cell r="L1351">
            <v>1841007840</v>
          </cell>
        </row>
        <row r="1352">
          <cell r="C1352">
            <v>154</v>
          </cell>
          <cell r="G1352">
            <v>91</v>
          </cell>
          <cell r="I1352" t="str">
            <v>רווחה</v>
          </cell>
          <cell r="J1352">
            <v>0</v>
          </cell>
          <cell r="K1352">
            <v>0</v>
          </cell>
          <cell r="L1352">
            <v>1842202840</v>
          </cell>
        </row>
        <row r="1353">
          <cell r="C1353">
            <v>152</v>
          </cell>
          <cell r="G1353">
            <v>91</v>
          </cell>
          <cell r="I1353" t="str">
            <v>רווחה</v>
          </cell>
          <cell r="J1353">
            <v>0</v>
          </cell>
          <cell r="K1353">
            <v>0</v>
          </cell>
          <cell r="L1353">
            <v>1842203840</v>
          </cell>
        </row>
        <row r="1354">
          <cell r="C1354">
            <v>154</v>
          </cell>
          <cell r="G1354">
            <v>91</v>
          </cell>
          <cell r="I1354" t="str">
            <v>רווחה</v>
          </cell>
          <cell r="J1354">
            <v>0</v>
          </cell>
          <cell r="K1354">
            <v>0</v>
          </cell>
          <cell r="L1354">
            <v>1842404840</v>
          </cell>
        </row>
        <row r="1355">
          <cell r="C1355">
            <v>154</v>
          </cell>
          <cell r="G1355">
            <v>91</v>
          </cell>
          <cell r="I1355" t="str">
            <v>רווחה</v>
          </cell>
          <cell r="J1355">
            <v>0</v>
          </cell>
          <cell r="K1355">
            <v>0</v>
          </cell>
          <cell r="L1355">
            <v>1844402840</v>
          </cell>
        </row>
        <row r="1356">
          <cell r="C1356">
            <v>152</v>
          </cell>
          <cell r="G1356">
            <v>91</v>
          </cell>
          <cell r="I1356" t="str">
            <v>רווחה</v>
          </cell>
          <cell r="J1356">
            <v>0</v>
          </cell>
          <cell r="K1356">
            <v>0</v>
          </cell>
          <cell r="L1356">
            <v>1844403840</v>
          </cell>
        </row>
        <row r="1357">
          <cell r="C1357">
            <v>152</v>
          </cell>
          <cell r="G1357">
            <v>91</v>
          </cell>
          <cell r="I1357" t="str">
            <v>רווחה</v>
          </cell>
          <cell r="J1357">
            <v>0</v>
          </cell>
          <cell r="K1357">
            <v>0</v>
          </cell>
          <cell r="L1357">
            <v>1844404840</v>
          </cell>
        </row>
        <row r="1358">
          <cell r="C1358">
            <v>152</v>
          </cell>
          <cell r="G1358">
            <v>91</v>
          </cell>
          <cell r="I1358" t="str">
            <v>רווחה</v>
          </cell>
          <cell r="J1358">
            <v>0</v>
          </cell>
          <cell r="K1358">
            <v>0</v>
          </cell>
          <cell r="L1358">
            <v>1844501840</v>
          </cell>
        </row>
        <row r="1359">
          <cell r="C1359">
            <v>154</v>
          </cell>
          <cell r="G1359">
            <v>91</v>
          </cell>
          <cell r="I1359" t="str">
            <v>רווחה</v>
          </cell>
          <cell r="J1359">
            <v>0</v>
          </cell>
          <cell r="K1359">
            <v>0</v>
          </cell>
          <cell r="L1359">
            <v>1844502840</v>
          </cell>
        </row>
        <row r="1360">
          <cell r="C1360">
            <v>154</v>
          </cell>
          <cell r="G1360">
            <v>91</v>
          </cell>
          <cell r="I1360" t="str">
            <v>רווחה</v>
          </cell>
          <cell r="J1360">
            <v>0</v>
          </cell>
          <cell r="K1360">
            <v>0</v>
          </cell>
          <cell r="L1360">
            <v>1845101840</v>
          </cell>
        </row>
        <row r="1361">
          <cell r="C1361">
            <v>152</v>
          </cell>
          <cell r="G1361">
            <v>91</v>
          </cell>
          <cell r="I1361" t="str">
            <v>רווחה</v>
          </cell>
          <cell r="J1361">
            <v>0</v>
          </cell>
          <cell r="K1361">
            <v>0</v>
          </cell>
          <cell r="L1361">
            <v>1845102840</v>
          </cell>
        </row>
        <row r="1362">
          <cell r="C1362">
            <v>152</v>
          </cell>
          <cell r="G1362">
            <v>91</v>
          </cell>
          <cell r="I1362" t="str">
            <v>רווחה</v>
          </cell>
          <cell r="J1362">
            <v>0</v>
          </cell>
          <cell r="K1362">
            <v>0</v>
          </cell>
          <cell r="L1362">
            <v>1845103840</v>
          </cell>
        </row>
        <row r="1363">
          <cell r="C1363">
            <v>152</v>
          </cell>
          <cell r="G1363">
            <v>91</v>
          </cell>
          <cell r="I1363" t="str">
            <v>רווחה</v>
          </cell>
          <cell r="J1363">
            <v>0</v>
          </cell>
          <cell r="K1363">
            <v>0</v>
          </cell>
          <cell r="L1363">
            <v>1845104840</v>
          </cell>
        </row>
        <row r="1364">
          <cell r="C1364">
            <v>152</v>
          </cell>
          <cell r="G1364">
            <v>93</v>
          </cell>
          <cell r="I1364" t="str">
            <v>רווחה</v>
          </cell>
          <cell r="J1364">
            <v>0</v>
          </cell>
          <cell r="K1364">
            <v>0</v>
          </cell>
          <cell r="L1364">
            <v>1845105840</v>
          </cell>
        </row>
        <row r="1365">
          <cell r="C1365">
            <v>152</v>
          </cell>
          <cell r="G1365">
            <v>93</v>
          </cell>
          <cell r="I1365" t="str">
            <v>רווחה</v>
          </cell>
          <cell r="J1365">
            <v>0</v>
          </cell>
          <cell r="K1365">
            <v>0</v>
          </cell>
          <cell r="L1365">
            <v>1845110840</v>
          </cell>
        </row>
        <row r="1366">
          <cell r="C1366">
            <v>152</v>
          </cell>
          <cell r="G1366">
            <v>94</v>
          </cell>
          <cell r="I1366" t="str">
            <v>רווחה</v>
          </cell>
          <cell r="J1366">
            <v>0</v>
          </cell>
          <cell r="K1366">
            <v>0</v>
          </cell>
          <cell r="L1366">
            <v>1845201840</v>
          </cell>
        </row>
        <row r="1367">
          <cell r="C1367">
            <v>152</v>
          </cell>
          <cell r="G1367">
            <v>94</v>
          </cell>
          <cell r="I1367" t="str">
            <v>רווחה</v>
          </cell>
          <cell r="J1367">
            <v>0</v>
          </cell>
          <cell r="K1367">
            <v>0</v>
          </cell>
          <cell r="L1367">
            <v>1845301840</v>
          </cell>
        </row>
        <row r="1368">
          <cell r="C1368">
            <v>181</v>
          </cell>
          <cell r="G1368">
            <v>97</v>
          </cell>
          <cell r="I1368" t="str">
            <v>רווחה</v>
          </cell>
          <cell r="J1368">
            <v>0</v>
          </cell>
          <cell r="K1368">
            <v>0</v>
          </cell>
          <cell r="L1368">
            <v>1845302840</v>
          </cell>
        </row>
        <row r="1369">
          <cell r="C1369">
            <v>181</v>
          </cell>
          <cell r="G1369">
            <v>97</v>
          </cell>
          <cell r="I1369" t="str">
            <v>רווחה</v>
          </cell>
          <cell r="J1369">
            <v>0</v>
          </cell>
          <cell r="K1369">
            <v>0</v>
          </cell>
          <cell r="L1369">
            <v>1845303840</v>
          </cell>
        </row>
        <row r="1370">
          <cell r="C1370">
            <v>181</v>
          </cell>
          <cell r="G1370">
            <v>97</v>
          </cell>
          <cell r="I1370" t="str">
            <v>רווחה</v>
          </cell>
          <cell r="J1370">
            <v>0</v>
          </cell>
          <cell r="K1370">
            <v>0</v>
          </cell>
          <cell r="L1370">
            <v>1845402840</v>
          </cell>
        </row>
        <row r="1371">
          <cell r="C1371">
            <v>152</v>
          </cell>
          <cell r="G1371">
            <v>97</v>
          </cell>
          <cell r="I1371" t="str">
            <v>רווחה</v>
          </cell>
          <cell r="J1371">
            <v>0</v>
          </cell>
          <cell r="K1371">
            <v>0</v>
          </cell>
          <cell r="L1371">
            <v>1846701840</v>
          </cell>
        </row>
        <row r="1372">
          <cell r="C1372">
            <v>152</v>
          </cell>
          <cell r="G1372">
            <v>97</v>
          </cell>
          <cell r="I1372" t="str">
            <v>רווחה</v>
          </cell>
          <cell r="J1372">
            <v>0</v>
          </cell>
          <cell r="K1372">
            <v>0</v>
          </cell>
          <cell r="L1372">
            <v>1847101840</v>
          </cell>
        </row>
        <row r="1373">
          <cell r="C1373">
            <v>152</v>
          </cell>
          <cell r="G1373">
            <v>97</v>
          </cell>
          <cell r="I1373" t="str">
            <v>רווחה</v>
          </cell>
          <cell r="J1373">
            <v>0</v>
          </cell>
          <cell r="K1373">
            <v>0</v>
          </cell>
          <cell r="L1373">
            <v>1847102840</v>
          </cell>
        </row>
        <row r="1374">
          <cell r="C1374">
            <v>152</v>
          </cell>
          <cell r="G1374">
            <v>97</v>
          </cell>
          <cell r="I1374" t="str">
            <v>רווחה</v>
          </cell>
          <cell r="J1374">
            <v>0</v>
          </cell>
          <cell r="K1374">
            <v>0</v>
          </cell>
          <cell r="L1374">
            <v>1847103840</v>
          </cell>
        </row>
        <row r="1375">
          <cell r="C1375">
            <v>151</v>
          </cell>
          <cell r="G1375">
            <v>98</v>
          </cell>
          <cell r="I1375" t="str">
            <v>רווחה</v>
          </cell>
          <cell r="J1375">
            <v>0</v>
          </cell>
          <cell r="K1375">
            <v>0</v>
          </cell>
          <cell r="L1375">
            <v>1847104840</v>
          </cell>
        </row>
        <row r="1376">
          <cell r="C1376">
            <v>151</v>
          </cell>
          <cell r="G1376">
            <v>98</v>
          </cell>
          <cell r="I1376" t="str">
            <v>רווחה</v>
          </cell>
          <cell r="J1376">
            <v>0</v>
          </cell>
          <cell r="K1376">
            <v>0</v>
          </cell>
          <cell r="L1376">
            <v>1847105840</v>
          </cell>
        </row>
        <row r="1377">
          <cell r="C1377">
            <v>151</v>
          </cell>
          <cell r="G1377">
            <v>98</v>
          </cell>
          <cell r="I1377" t="str">
            <v>רווחה</v>
          </cell>
          <cell r="J1377">
            <v>0</v>
          </cell>
          <cell r="K1377">
            <v>0</v>
          </cell>
          <cell r="L1377">
            <v>1847106840</v>
          </cell>
        </row>
        <row r="1378">
          <cell r="C1378">
            <v>151</v>
          </cell>
          <cell r="G1378">
            <v>98</v>
          </cell>
          <cell r="I1378" t="str">
            <v>רווחה</v>
          </cell>
          <cell r="J1378">
            <v>0</v>
          </cell>
          <cell r="K1378">
            <v>0</v>
          </cell>
          <cell r="L1378">
            <v>1847107840</v>
          </cell>
        </row>
        <row r="1379">
          <cell r="C1379">
            <v>152</v>
          </cell>
          <cell r="G1379">
            <v>98</v>
          </cell>
          <cell r="I1379" t="str">
            <v>רווחה</v>
          </cell>
          <cell r="J1379">
            <v>0</v>
          </cell>
          <cell r="K1379">
            <v>0</v>
          </cell>
          <cell r="L1379">
            <v>1847401840</v>
          </cell>
        </row>
        <row r="1380">
          <cell r="C1380">
            <v>151</v>
          </cell>
          <cell r="G1380">
            <v>99</v>
          </cell>
          <cell r="I1380" t="str">
            <v>תשלומים בלתי רגילים</v>
          </cell>
          <cell r="J1380">
            <v>0</v>
          </cell>
          <cell r="K1380">
            <v>0</v>
          </cell>
          <cell r="L1380">
            <v>1999000980</v>
          </cell>
        </row>
        <row r="1381">
          <cell r="C1381">
            <v>152</v>
          </cell>
          <cell r="G1381">
            <v>99</v>
          </cell>
          <cell r="I1381" t="str">
            <v>שמירה ובטחון</v>
          </cell>
          <cell r="J1381">
            <v>0</v>
          </cell>
          <cell r="K1381">
            <v>0</v>
          </cell>
          <cell r="L1381">
            <v>1724501110</v>
          </cell>
        </row>
        <row r="1382">
          <cell r="C1382">
            <v>196</v>
          </cell>
          <cell r="G1382">
            <v>99</v>
          </cell>
          <cell r="I1382" t="e">
            <v>#VALUE!</v>
          </cell>
          <cell r="J1382">
            <v>0</v>
          </cell>
          <cell r="K1382">
            <v>0</v>
          </cell>
        </row>
        <row r="1383">
          <cell r="C1383">
            <v>151</v>
          </cell>
          <cell r="G1383">
            <v>99</v>
          </cell>
          <cell r="I1383" t="e">
            <v>#VALUE!</v>
          </cell>
          <cell r="J1383">
            <v>0</v>
          </cell>
          <cell r="K1383">
            <v>0</v>
          </cell>
        </row>
        <row r="1384">
          <cell r="C1384">
            <v>151</v>
          </cell>
          <cell r="G1384">
            <v>99</v>
          </cell>
          <cell r="I1384" t="e">
            <v>#VALUE!</v>
          </cell>
          <cell r="J1384">
            <v>0</v>
          </cell>
          <cell r="K1384">
            <v>0</v>
          </cell>
        </row>
        <row r="1385">
          <cell r="C1385">
            <v>151</v>
          </cell>
          <cell r="G1385">
            <v>99</v>
          </cell>
          <cell r="I1385" t="e">
            <v>#VALUE!</v>
          </cell>
          <cell r="J1385">
            <v>0</v>
          </cell>
          <cell r="K1385">
            <v>0</v>
          </cell>
        </row>
        <row r="1386">
          <cell r="C1386">
            <v>151</v>
          </cell>
          <cell r="G1386">
            <v>99</v>
          </cell>
          <cell r="I1386" t="e">
            <v>#VALUE!</v>
          </cell>
          <cell r="J1386">
            <v>0</v>
          </cell>
          <cell r="K1386">
            <v>0</v>
          </cell>
        </row>
        <row r="1387">
          <cell r="C1387">
            <v>151</v>
          </cell>
          <cell r="G1387">
            <v>99</v>
          </cell>
          <cell r="I1387" t="e">
            <v>#VALUE!</v>
          </cell>
          <cell r="J1387">
            <v>0</v>
          </cell>
          <cell r="K1387">
            <v>0</v>
          </cell>
        </row>
        <row r="1388">
          <cell r="C1388">
            <v>151</v>
          </cell>
          <cell r="G1388">
            <v>99</v>
          </cell>
          <cell r="I1388" t="e">
            <v>#VALUE!</v>
          </cell>
          <cell r="J1388">
            <v>0</v>
          </cell>
          <cell r="K1388">
            <v>0</v>
          </cell>
        </row>
        <row r="1389">
          <cell r="C1389">
            <v>151</v>
          </cell>
          <cell r="G1389">
            <v>99</v>
          </cell>
          <cell r="I1389" t="e">
            <v>#VALUE!</v>
          </cell>
          <cell r="J1389">
            <v>0</v>
          </cell>
          <cell r="K1389">
            <v>0</v>
          </cell>
        </row>
        <row r="1390">
          <cell r="C1390">
            <v>151</v>
          </cell>
          <cell r="G1390">
            <v>99</v>
          </cell>
          <cell r="I1390" t="e">
            <v>#VALUE!</v>
          </cell>
          <cell r="J1390">
            <v>0</v>
          </cell>
          <cell r="K1390">
            <v>0</v>
          </cell>
        </row>
        <row r="1391">
          <cell r="C1391">
            <v>151</v>
          </cell>
          <cell r="G1391">
            <v>99</v>
          </cell>
          <cell r="I1391" t="e">
            <v>#VALUE!</v>
          </cell>
          <cell r="J1391">
            <v>0</v>
          </cell>
          <cell r="K1391">
            <v>0</v>
          </cell>
        </row>
        <row r="1392">
          <cell r="C1392">
            <v>198</v>
          </cell>
          <cell r="G1392">
            <v>99</v>
          </cell>
          <cell r="I1392" t="e">
            <v>#VALUE!</v>
          </cell>
          <cell r="J1392">
            <v>0</v>
          </cell>
          <cell r="K1392">
            <v>0</v>
          </cell>
        </row>
        <row r="1393">
          <cell r="C1393">
            <v>198</v>
          </cell>
          <cell r="G1393">
            <v>99</v>
          </cell>
          <cell r="I1393" t="e">
            <v>#VALUE!</v>
          </cell>
          <cell r="J1393">
            <v>0</v>
          </cell>
          <cell r="K1393">
            <v>0</v>
          </cell>
        </row>
        <row r="1394">
          <cell r="C1394">
            <v>195</v>
          </cell>
          <cell r="G1394">
            <v>99</v>
          </cell>
          <cell r="I1394" t="e">
            <v>#VALUE!</v>
          </cell>
          <cell r="J1394">
            <v>0</v>
          </cell>
          <cell r="K1394">
            <v>0</v>
          </cell>
        </row>
        <row r="1395">
          <cell r="C1395">
            <v>172</v>
          </cell>
          <cell r="G1395">
            <v>84</v>
          </cell>
          <cell r="I1395" t="e">
            <v>#VALUE!</v>
          </cell>
          <cell r="J1395">
            <v>0</v>
          </cell>
          <cell r="K1395">
            <v>0</v>
          </cell>
        </row>
        <row r="1396">
          <cell r="C1396">
            <v>0</v>
          </cell>
          <cell r="G1396" t="e">
            <v>#VALUE!</v>
          </cell>
          <cell r="I1396" t="e">
            <v>#VALUE!</v>
          </cell>
          <cell r="J1396">
            <v>0</v>
          </cell>
        </row>
        <row r="1397">
          <cell r="C1397">
            <v>192</v>
          </cell>
          <cell r="G1397">
            <v>99</v>
          </cell>
          <cell r="I1397" t="e">
            <v>#VALUE!</v>
          </cell>
          <cell r="J1397">
            <v>0</v>
          </cell>
          <cell r="K1397">
            <v>0</v>
          </cell>
        </row>
        <row r="1398">
          <cell r="C1398">
            <v>0</v>
          </cell>
          <cell r="G1398" t="e">
            <v>#VALUE!</v>
          </cell>
          <cell r="I1398" t="e">
            <v>#VALUE!</v>
          </cell>
          <cell r="J1398">
            <v>0</v>
          </cell>
        </row>
        <row r="1399">
          <cell r="C1399">
            <v>0</v>
          </cell>
          <cell r="G1399" t="e">
            <v>#VALUE!</v>
          </cell>
          <cell r="I1399" t="e">
            <v>#VALUE!</v>
          </cell>
          <cell r="J1399">
            <v>0</v>
          </cell>
        </row>
        <row r="1400">
          <cell r="C1400">
            <v>0</v>
          </cell>
          <cell r="G1400" t="e">
            <v>#VALUE!</v>
          </cell>
          <cell r="I1400" t="e">
            <v>#VALUE!</v>
          </cell>
          <cell r="J1400">
            <v>0</v>
          </cell>
        </row>
        <row r="1401">
          <cell r="C1401">
            <v>0</v>
          </cell>
          <cell r="G1401" t="e">
            <v>#VALUE!</v>
          </cell>
          <cell r="I1401" t="e">
            <v>#VALUE!</v>
          </cell>
          <cell r="J1401">
            <v>0</v>
          </cell>
        </row>
        <row r="1402">
          <cell r="C1402">
            <v>0</v>
          </cell>
          <cell r="G1402" t="e">
            <v>#VALUE!</v>
          </cell>
          <cell r="I1402" t="e">
            <v>#VALUE!</v>
          </cell>
          <cell r="J1402">
            <v>0</v>
          </cell>
        </row>
        <row r="1403">
          <cell r="C1403">
            <v>0</v>
          </cell>
          <cell r="G1403" t="e">
            <v>#VALUE!</v>
          </cell>
          <cell r="I1403" t="e">
            <v>#VALUE!</v>
          </cell>
          <cell r="J1403">
            <v>0</v>
          </cell>
        </row>
        <row r="1404">
          <cell r="C1404">
            <v>0</v>
          </cell>
          <cell r="G1404" t="e">
            <v>#VALUE!</v>
          </cell>
          <cell r="I1404" t="e">
            <v>#VALUE!</v>
          </cell>
          <cell r="J1404">
            <v>0</v>
          </cell>
        </row>
        <row r="1407">
          <cell r="L1407">
            <v>0</v>
          </cell>
        </row>
      </sheetData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הפרשים"/>
      <sheetName val="ריכוז תקציב"/>
      <sheetName val="פירוט תקציב"/>
      <sheetName val="2174"/>
      <sheetName val="חלוקה לפי פרק"/>
      <sheetName val="ריכוז שכר"/>
      <sheetName val="התפלגות שכר"/>
      <sheetName val="ריכוז"/>
      <sheetName val="מפעל המים והביוב- גרעון"/>
      <sheetName val="תקציב שכר מותאם מחלקות"/>
      <sheetName val="יתר עצמיות"/>
      <sheetName val="נתוני ביצוע"/>
      <sheetName val="1"/>
      <sheetName val="שכר כללי"/>
      <sheetName val="לשכה ובניין מועצה"/>
      <sheetName val="גזברות"/>
      <sheetName val="גביה"/>
      <sheetName val="תברואה"/>
      <sheetName val="הנדסה ודרכים"/>
      <sheetName val="בריאות תרבות וספורט"/>
      <sheetName val="דת"/>
      <sheetName val="מים וביוב"/>
      <sheetName val="ביטחון"/>
      <sheetName val="פעולות כלליות אחרות"/>
      <sheetName val="שכר חינוך"/>
      <sheetName val="פעולות חינוך"/>
      <sheetName val="שכר רווחה"/>
      <sheetName val="פעולות רווחה"/>
      <sheetName val="הוצאות מימון"/>
      <sheetName val="מלוות"/>
      <sheetName val="לא רגילים"/>
      <sheetName val="נוער תרבות וספור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חשבון</v>
          </cell>
          <cell r="B1" t="str">
            <v>שם חשבון</v>
          </cell>
          <cell r="C1" t="str">
            <v>תקציב יחסי</v>
          </cell>
          <cell r="D1" t="str">
            <v>ביצוע יחסי</v>
          </cell>
          <cell r="E1" t="str">
            <v>שריון יחסי</v>
          </cell>
          <cell r="F1" t="str">
            <v>ביצוע + שריון יחסי</v>
          </cell>
        </row>
        <row r="2">
          <cell r="A2">
            <v>1111100100</v>
          </cell>
          <cell r="B2" t="str">
            <v>ארנונה כללית למגורים</v>
          </cell>
          <cell r="C2">
            <v>-11500000</v>
          </cell>
          <cell r="D2">
            <v>-7512219.1900000004</v>
          </cell>
          <cell r="E2">
            <v>0</v>
          </cell>
          <cell r="F2">
            <v>-7512219.1900000004</v>
          </cell>
        </row>
        <row r="3">
          <cell r="A3">
            <v>1111110110</v>
          </cell>
          <cell r="B3" t="str">
            <v>יתרות ארנונה</v>
          </cell>
          <cell r="C3">
            <v>0</v>
          </cell>
          <cell r="D3">
            <v>-1217.1600000000001</v>
          </cell>
          <cell r="E3">
            <v>0</v>
          </cell>
          <cell r="F3">
            <v>-1217.1600000000001</v>
          </cell>
        </row>
        <row r="4">
          <cell r="A4">
            <v>1111120110</v>
          </cell>
          <cell r="B4" t="str">
            <v>יתרות מסים</v>
          </cell>
          <cell r="C4">
            <v>0</v>
          </cell>
          <cell r="D4">
            <v>-2500.9299999999998</v>
          </cell>
          <cell r="E4">
            <v>0</v>
          </cell>
          <cell r="F4">
            <v>-2500.9299999999998</v>
          </cell>
        </row>
        <row r="5">
          <cell r="A5">
            <v>1111200100</v>
          </cell>
          <cell r="B5" t="str">
            <v>ארנונה פיגורים</v>
          </cell>
          <cell r="C5">
            <v>-6000000</v>
          </cell>
          <cell r="D5">
            <v>-2352351.83</v>
          </cell>
          <cell r="E5">
            <v>0</v>
          </cell>
          <cell r="F5">
            <v>-2352351.83</v>
          </cell>
        </row>
        <row r="6">
          <cell r="A6">
            <v>1111210100</v>
          </cell>
          <cell r="B6" t="str">
            <v>יתרות ארנונה2005</v>
          </cell>
          <cell r="C6">
            <v>0</v>
          </cell>
          <cell r="D6">
            <v>-9665.56</v>
          </cell>
          <cell r="E6">
            <v>0</v>
          </cell>
          <cell r="F6">
            <v>-9665.56</v>
          </cell>
        </row>
        <row r="7">
          <cell r="A7">
            <v>1111310100</v>
          </cell>
          <cell r="B7" t="str">
            <v>יתרות ארנונה2006</v>
          </cell>
          <cell r="C7">
            <v>0</v>
          </cell>
          <cell r="D7">
            <v>-151672.57999999999</v>
          </cell>
          <cell r="E7">
            <v>0</v>
          </cell>
          <cell r="F7">
            <v>-151672.57999999999</v>
          </cell>
        </row>
        <row r="8">
          <cell r="A8">
            <v>1111410100</v>
          </cell>
          <cell r="B8" t="str">
            <v>יתרות ארנונה 2007</v>
          </cell>
          <cell r="C8">
            <v>0</v>
          </cell>
          <cell r="D8">
            <v>-18210.55</v>
          </cell>
          <cell r="E8">
            <v>0</v>
          </cell>
          <cell r="F8">
            <v>-18210.55</v>
          </cell>
        </row>
        <row r="9">
          <cell r="A9">
            <v>1111420100</v>
          </cell>
          <cell r="B9" t="str">
            <v>יתרות ארנונה 2008</v>
          </cell>
          <cell r="C9">
            <v>0</v>
          </cell>
          <cell r="D9">
            <v>-132743.01</v>
          </cell>
          <cell r="E9">
            <v>0</v>
          </cell>
          <cell r="F9">
            <v>-132743.01</v>
          </cell>
        </row>
        <row r="10">
          <cell r="A10">
            <v>1115000100</v>
          </cell>
          <cell r="B10" t="str">
            <v>הנחות ארנונה לזכאים</v>
          </cell>
          <cell r="C10">
            <v>-5880000</v>
          </cell>
          <cell r="D10">
            <v>-4046027.77</v>
          </cell>
          <cell r="E10">
            <v>0</v>
          </cell>
          <cell r="F10">
            <v>-4046027.77</v>
          </cell>
        </row>
        <row r="11">
          <cell r="A11">
            <v>1121000290</v>
          </cell>
          <cell r="B11" t="str">
            <v>תעודות ואישורים</v>
          </cell>
          <cell r="C11">
            <v>-1000</v>
          </cell>
          <cell r="D11">
            <v>-920</v>
          </cell>
          <cell r="E11">
            <v>0</v>
          </cell>
          <cell r="F11">
            <v>-920</v>
          </cell>
        </row>
        <row r="12">
          <cell r="A12">
            <v>1191000910</v>
          </cell>
          <cell r="B12" t="str">
            <v>מענקים כללים השתתפות מש</v>
          </cell>
          <cell r="C12">
            <v>-11170642</v>
          </cell>
          <cell r="D12">
            <v>-10183642.529999999</v>
          </cell>
          <cell r="E12">
            <v>0</v>
          </cell>
          <cell r="F12">
            <v>-10183642.529999999</v>
          </cell>
        </row>
        <row r="13">
          <cell r="A13">
            <v>1191000920</v>
          </cell>
          <cell r="B13" t="str">
            <v>מענק מותנה</v>
          </cell>
          <cell r="C13">
            <v>-1971000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1191100910</v>
          </cell>
          <cell r="B14" t="str">
            <v>פיצוי מיוחד</v>
          </cell>
          <cell r="C14">
            <v>-500000</v>
          </cell>
          <cell r="D14">
            <v>-242463</v>
          </cell>
          <cell r="E14">
            <v>0</v>
          </cell>
          <cell r="F14">
            <v>-242463</v>
          </cell>
        </row>
        <row r="15">
          <cell r="A15">
            <v>1196000910</v>
          </cell>
          <cell r="B15" t="str">
            <v>תקציב בחירות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1211000210</v>
          </cell>
          <cell r="B16" t="str">
            <v>רישוי עסקים</v>
          </cell>
          <cell r="C16">
            <v>-20000</v>
          </cell>
          <cell r="D16">
            <v>-8386</v>
          </cell>
          <cell r="E16">
            <v>0</v>
          </cell>
          <cell r="F16">
            <v>-8386</v>
          </cell>
        </row>
        <row r="17">
          <cell r="A17">
            <v>1212300690</v>
          </cell>
          <cell r="B17" t="str">
            <v>הכנסה מכירות</v>
          </cell>
          <cell r="C17">
            <v>-9000</v>
          </cell>
          <cell r="D17">
            <v>-600</v>
          </cell>
          <cell r="E17">
            <v>0</v>
          </cell>
          <cell r="F17">
            <v>-600</v>
          </cell>
        </row>
        <row r="18">
          <cell r="A18">
            <v>1213300290</v>
          </cell>
          <cell r="B18" t="str">
            <v>שילוט</v>
          </cell>
          <cell r="C18">
            <v>-200000</v>
          </cell>
          <cell r="D18">
            <v>47.6</v>
          </cell>
          <cell r="E18">
            <v>0</v>
          </cell>
          <cell r="F18">
            <v>47.6</v>
          </cell>
        </row>
        <row r="19">
          <cell r="A19">
            <v>1214200210</v>
          </cell>
          <cell r="B19" t="str">
            <v>פיקוח וטרינרי/אגרות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1214300220</v>
          </cell>
          <cell r="B20" t="str">
            <v>מלחמה בכלבת/אגרת בגין</v>
          </cell>
          <cell r="C20">
            <v>-17500</v>
          </cell>
          <cell r="D20">
            <v>-24560</v>
          </cell>
          <cell r="E20">
            <v>0</v>
          </cell>
          <cell r="F20">
            <v>-24560</v>
          </cell>
        </row>
        <row r="21">
          <cell r="A21">
            <v>1220000970</v>
          </cell>
          <cell r="B21" t="str">
            <v>הכנסות משרד הבטחון</v>
          </cell>
          <cell r="C21">
            <v>-45000</v>
          </cell>
          <cell r="D21">
            <v>-25000</v>
          </cell>
          <cell r="E21">
            <v>0</v>
          </cell>
          <cell r="F21">
            <v>-25000</v>
          </cell>
        </row>
        <row r="22">
          <cell r="A22">
            <v>1220000990</v>
          </cell>
          <cell r="B22" t="str">
            <v>הכנסות ממינהל מקרקעי ישראל</v>
          </cell>
          <cell r="C22">
            <v>-5000</v>
          </cell>
          <cell r="D22">
            <v>-26174</v>
          </cell>
          <cell r="E22">
            <v>0</v>
          </cell>
          <cell r="F22">
            <v>-26174</v>
          </cell>
        </row>
        <row r="23">
          <cell r="A23">
            <v>1233100710</v>
          </cell>
          <cell r="B23" t="str">
            <v>עמ.גביה-החזר לחב' גביה</v>
          </cell>
          <cell r="C23">
            <v>-10000</v>
          </cell>
          <cell r="D23">
            <v>-309.16000000000003</v>
          </cell>
          <cell r="E23">
            <v>0</v>
          </cell>
          <cell r="F23">
            <v>-309.16000000000003</v>
          </cell>
        </row>
        <row r="24">
          <cell r="A24">
            <v>1233110290</v>
          </cell>
          <cell r="B24" t="str">
            <v>עמ.גביה-החזר לעיריה</v>
          </cell>
          <cell r="C24">
            <v>-150000</v>
          </cell>
          <cell r="D24">
            <v>-107017.82</v>
          </cell>
          <cell r="E24">
            <v>0</v>
          </cell>
          <cell r="F24">
            <v>-107017.82</v>
          </cell>
        </row>
        <row r="25">
          <cell r="A25">
            <v>1233400310</v>
          </cell>
          <cell r="B25" t="str">
            <v>היטל השבחה</v>
          </cell>
          <cell r="C25">
            <v>-1400000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1233500310</v>
          </cell>
          <cell r="B26" t="str">
            <v>אגרות בנייה</v>
          </cell>
          <cell r="C26">
            <v>-900000</v>
          </cell>
          <cell r="D26">
            <v>-379446</v>
          </cell>
          <cell r="E26">
            <v>0</v>
          </cell>
          <cell r="F26">
            <v>-379446</v>
          </cell>
        </row>
        <row r="27">
          <cell r="A27">
            <v>1247000990</v>
          </cell>
          <cell r="B27" t="str">
            <v>הכנסות שונות</v>
          </cell>
          <cell r="C27">
            <v>-25000</v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1269000650</v>
          </cell>
          <cell r="B28" t="str">
            <v>הכנסות מהחזר הוצ' סלקום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1269000690</v>
          </cell>
          <cell r="B29" t="str">
            <v>הכנסות שונות</v>
          </cell>
          <cell r="C29">
            <v>0</v>
          </cell>
          <cell r="D29">
            <v>-12018.25</v>
          </cell>
          <cell r="E29">
            <v>0</v>
          </cell>
          <cell r="F29">
            <v>-12018.25</v>
          </cell>
        </row>
        <row r="30">
          <cell r="A30">
            <v>1269000790</v>
          </cell>
          <cell r="B30" t="str">
            <v>מכרזים</v>
          </cell>
          <cell r="C30">
            <v>-30000</v>
          </cell>
          <cell r="D30">
            <v>-40700</v>
          </cell>
          <cell r="E30">
            <v>0</v>
          </cell>
          <cell r="F30">
            <v>-40700</v>
          </cell>
        </row>
        <row r="31">
          <cell r="A31">
            <v>1269100690</v>
          </cell>
          <cell r="B31" t="str">
            <v>הכנסות אחרות</v>
          </cell>
          <cell r="C31">
            <v>-50000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1311200920</v>
          </cell>
          <cell r="B32" t="str">
            <v>חינוך שיפוצים/בטיחות</v>
          </cell>
          <cell r="C32">
            <v>-93000</v>
          </cell>
          <cell r="D32">
            <v>-91908</v>
          </cell>
          <cell r="E32">
            <v>0</v>
          </cell>
          <cell r="F32">
            <v>-91908</v>
          </cell>
        </row>
        <row r="33">
          <cell r="A33">
            <v>1312100920</v>
          </cell>
          <cell r="B33" t="str">
            <v>גנים-יוח"א</v>
          </cell>
          <cell r="C33">
            <v>-200858</v>
          </cell>
          <cell r="D33">
            <v>-142785.87</v>
          </cell>
          <cell r="E33">
            <v>0</v>
          </cell>
          <cell r="F33">
            <v>-142785.87</v>
          </cell>
        </row>
        <row r="34">
          <cell r="A34">
            <v>1312200920</v>
          </cell>
          <cell r="B34" t="str">
            <v>עוזרות לגננות</v>
          </cell>
          <cell r="C34">
            <v>-1307800</v>
          </cell>
          <cell r="D34">
            <v>-1310586.42</v>
          </cell>
          <cell r="E34">
            <v>0</v>
          </cell>
          <cell r="F34">
            <v>-1310586.42</v>
          </cell>
        </row>
        <row r="35">
          <cell r="A35">
            <v>1312210920</v>
          </cell>
          <cell r="B35" t="str">
            <v>ה.נלוות -ח"מ גני דרוזי</v>
          </cell>
          <cell r="C35">
            <v>-5000</v>
          </cell>
          <cell r="D35">
            <v>-4991</v>
          </cell>
          <cell r="E35">
            <v>0</v>
          </cell>
          <cell r="F35">
            <v>-4991</v>
          </cell>
        </row>
        <row r="36">
          <cell r="A36">
            <v>1312300410</v>
          </cell>
          <cell r="B36" t="str">
            <v>שכ"ל גנ"י ט.חובה בהשתתפות</v>
          </cell>
          <cell r="C36">
            <v>-320000</v>
          </cell>
          <cell r="D36">
            <v>-39794</v>
          </cell>
          <cell r="E36">
            <v>0</v>
          </cell>
          <cell r="F36">
            <v>-39794</v>
          </cell>
        </row>
        <row r="37">
          <cell r="A37">
            <v>1312300490</v>
          </cell>
          <cell r="B37" t="str">
            <v>גנ"י ט"ח</v>
          </cell>
          <cell r="C37">
            <v>0</v>
          </cell>
          <cell r="D37">
            <v>-872.3</v>
          </cell>
          <cell r="E37">
            <v>0</v>
          </cell>
          <cell r="F37">
            <v>-872.3</v>
          </cell>
        </row>
        <row r="38">
          <cell r="A38">
            <v>1312300920</v>
          </cell>
          <cell r="B38" t="str">
            <v>שכ"ל גני ט"ח</v>
          </cell>
          <cell r="C38">
            <v>-4151500</v>
          </cell>
          <cell r="D38">
            <v>-3686862.96</v>
          </cell>
          <cell r="E38">
            <v>0</v>
          </cell>
          <cell r="F38">
            <v>-3686862.96</v>
          </cell>
        </row>
        <row r="39">
          <cell r="A39">
            <v>1312310920</v>
          </cell>
          <cell r="B39" t="str">
            <v>עוזרות-יוח"א ומיל"ת</v>
          </cell>
          <cell r="C39">
            <v>0</v>
          </cell>
          <cell r="D39">
            <v>-23566.14</v>
          </cell>
          <cell r="E39">
            <v>0</v>
          </cell>
          <cell r="F39">
            <v>-23566.14</v>
          </cell>
        </row>
        <row r="40">
          <cell r="A40">
            <v>1312400920</v>
          </cell>
          <cell r="B40" t="str">
            <v>ציוד ראשוני-יוח"א</v>
          </cell>
          <cell r="C40">
            <v>-31000</v>
          </cell>
          <cell r="D40">
            <v>-34025</v>
          </cell>
          <cell r="E40">
            <v>0</v>
          </cell>
          <cell r="F40">
            <v>-34025</v>
          </cell>
        </row>
        <row r="41">
          <cell r="A41">
            <v>1312500410</v>
          </cell>
          <cell r="B41" t="str">
            <v>פנימיות יום מיל"ת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1313001920</v>
          </cell>
          <cell r="B42" t="str">
            <v>סיוע ניהול עצמי</v>
          </cell>
          <cell r="C42">
            <v>-1207000</v>
          </cell>
          <cell r="D42">
            <v>-1205381.6399999999</v>
          </cell>
          <cell r="E42">
            <v>0</v>
          </cell>
          <cell r="F42">
            <v>-1205381.6399999999</v>
          </cell>
        </row>
        <row r="43">
          <cell r="A43">
            <v>1313003920</v>
          </cell>
          <cell r="B43" t="str">
            <v>עובד סיוע משופר</v>
          </cell>
          <cell r="C43">
            <v>-211000</v>
          </cell>
          <cell r="D43">
            <v>-202174.01</v>
          </cell>
          <cell r="E43">
            <v>0</v>
          </cell>
          <cell r="F43">
            <v>-202174.01</v>
          </cell>
        </row>
        <row r="44">
          <cell r="A44">
            <v>1313004920</v>
          </cell>
          <cell r="B44" t="str">
            <v>תוספת דפנציאלי ניהול עצמי</v>
          </cell>
          <cell r="C44">
            <v>-227000</v>
          </cell>
          <cell r="D44">
            <v>-260609.12</v>
          </cell>
          <cell r="E44">
            <v>0</v>
          </cell>
          <cell r="F44">
            <v>-260609.12</v>
          </cell>
        </row>
        <row r="45">
          <cell r="A45">
            <v>1313200920</v>
          </cell>
          <cell r="B45" t="str">
            <v>שרתים</v>
          </cell>
          <cell r="C45">
            <v>-160000</v>
          </cell>
          <cell r="D45">
            <v>-153351.29</v>
          </cell>
          <cell r="E45">
            <v>0</v>
          </cell>
          <cell r="F45">
            <v>-153351.29</v>
          </cell>
        </row>
        <row r="46">
          <cell r="A46">
            <v>1313200921</v>
          </cell>
          <cell r="B46" t="str">
            <v>שירותים חש.ליום השישי</v>
          </cell>
          <cell r="C46">
            <v>-25000</v>
          </cell>
          <cell r="D46">
            <v>51958.02</v>
          </cell>
          <cell r="E46">
            <v>0</v>
          </cell>
          <cell r="F46">
            <v>51958.02</v>
          </cell>
        </row>
        <row r="47">
          <cell r="A47">
            <v>1313201920</v>
          </cell>
          <cell r="B47" t="str">
            <v>שרתים יוח"א</v>
          </cell>
          <cell r="C47">
            <v>-123000</v>
          </cell>
          <cell r="D47">
            <v>-113728.13</v>
          </cell>
          <cell r="E47">
            <v>0</v>
          </cell>
          <cell r="F47">
            <v>-113728.13</v>
          </cell>
        </row>
        <row r="48">
          <cell r="A48">
            <v>1313202920</v>
          </cell>
          <cell r="B48" t="str">
            <v>מתי"א-שרתים</v>
          </cell>
          <cell r="C48">
            <v>-20000</v>
          </cell>
          <cell r="D48">
            <v>-18574.91</v>
          </cell>
          <cell r="E48">
            <v>0</v>
          </cell>
          <cell r="F48">
            <v>-18574.91</v>
          </cell>
        </row>
        <row r="49">
          <cell r="A49">
            <v>1313205920</v>
          </cell>
          <cell r="B49" t="str">
            <v>מוביל ב"ס מניעת סמים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1313206410</v>
          </cell>
          <cell r="B50" t="str">
            <v>הזנת תלמידים</v>
          </cell>
          <cell r="C50">
            <v>0</v>
          </cell>
          <cell r="D50">
            <v>14240.5</v>
          </cell>
          <cell r="E50">
            <v>0</v>
          </cell>
          <cell r="F50">
            <v>14240.5</v>
          </cell>
        </row>
        <row r="51">
          <cell r="A51">
            <v>1313210920</v>
          </cell>
          <cell r="B51" t="str">
            <v>מזכירים</v>
          </cell>
          <cell r="C51">
            <v>-52312</v>
          </cell>
          <cell r="D51">
            <v>-11672.4</v>
          </cell>
          <cell r="E51">
            <v>0</v>
          </cell>
          <cell r="F51">
            <v>-11672.4</v>
          </cell>
        </row>
        <row r="52">
          <cell r="A52">
            <v>1313210921</v>
          </cell>
          <cell r="B52" t="str">
            <v>מנב"ס-מזכירים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1313211920</v>
          </cell>
          <cell r="B53" t="str">
            <v>מזכירים יוח"א</v>
          </cell>
          <cell r="C53">
            <v>-45270</v>
          </cell>
          <cell r="D53">
            <v>-39533.879999999997</v>
          </cell>
          <cell r="E53">
            <v>0</v>
          </cell>
          <cell r="F53">
            <v>-39533.879999999997</v>
          </cell>
        </row>
        <row r="54">
          <cell r="A54">
            <v>1313211921</v>
          </cell>
          <cell r="B54" t="str">
            <v>מזכיר תש.ליום השישי</v>
          </cell>
          <cell r="C54">
            <v>-16500</v>
          </cell>
          <cell r="D54">
            <v>33588.800000000003</v>
          </cell>
          <cell r="E54">
            <v>0</v>
          </cell>
          <cell r="F54">
            <v>33588.800000000003</v>
          </cell>
        </row>
        <row r="55">
          <cell r="A55">
            <v>1313212920</v>
          </cell>
          <cell r="B55" t="str">
            <v>מתי"א-מזכירים</v>
          </cell>
          <cell r="C55">
            <v>-6000</v>
          </cell>
          <cell r="D55">
            <v>-43112.68</v>
          </cell>
          <cell r="E55">
            <v>0</v>
          </cell>
          <cell r="F55">
            <v>-43112.68</v>
          </cell>
        </row>
        <row r="56">
          <cell r="A56">
            <v>1313213970</v>
          </cell>
          <cell r="B56" t="str">
            <v>הכנסות שמירה  ממשטרת ישראל</v>
          </cell>
          <cell r="C56">
            <v>-306203</v>
          </cell>
          <cell r="D56">
            <v>-285969.73</v>
          </cell>
          <cell r="E56">
            <v>0</v>
          </cell>
          <cell r="F56">
            <v>-285969.73</v>
          </cell>
        </row>
        <row r="57">
          <cell r="A57">
            <v>1313214920</v>
          </cell>
          <cell r="B57" t="str">
            <v>ביטוח תלמידים</v>
          </cell>
          <cell r="C57">
            <v>0</v>
          </cell>
          <cell r="D57">
            <v>-90750.8</v>
          </cell>
          <cell r="E57">
            <v>0</v>
          </cell>
          <cell r="F57">
            <v>-90750.8</v>
          </cell>
        </row>
        <row r="58">
          <cell r="A58">
            <v>1313220920</v>
          </cell>
          <cell r="B58" t="str">
            <v>אגרות שכפול</v>
          </cell>
          <cell r="C58">
            <v>-15400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1313221920</v>
          </cell>
          <cell r="B59" t="str">
            <v>אגרת שכפול יסודי</v>
          </cell>
          <cell r="C59">
            <v>-1600</v>
          </cell>
          <cell r="D59">
            <v>-1811.2</v>
          </cell>
          <cell r="E59">
            <v>0</v>
          </cell>
          <cell r="F59">
            <v>-1811.2</v>
          </cell>
        </row>
        <row r="60">
          <cell r="A60">
            <v>1313280920</v>
          </cell>
          <cell r="B60" t="str">
            <v>אגרת שכפול יסודי</v>
          </cell>
          <cell r="C60">
            <v>0</v>
          </cell>
          <cell r="D60">
            <v>-226</v>
          </cell>
          <cell r="E60">
            <v>0</v>
          </cell>
          <cell r="F60">
            <v>-226</v>
          </cell>
        </row>
        <row r="61">
          <cell r="A61">
            <v>1313290920</v>
          </cell>
          <cell r="B61" t="str">
            <v>אגרת שכפול פר תלמיד</v>
          </cell>
          <cell r="C61">
            <v>-13000</v>
          </cell>
          <cell r="D61">
            <v>-13502.92</v>
          </cell>
          <cell r="E61">
            <v>0</v>
          </cell>
          <cell r="F61">
            <v>-13502.92</v>
          </cell>
        </row>
        <row r="62">
          <cell r="A62">
            <v>1313310920</v>
          </cell>
          <cell r="B62" t="str">
            <v>סייעות כיתיות</v>
          </cell>
          <cell r="C62">
            <v>-390000</v>
          </cell>
          <cell r="D62">
            <v>-386271.47</v>
          </cell>
          <cell r="E62">
            <v>0</v>
          </cell>
          <cell r="F62">
            <v>-386271.47</v>
          </cell>
        </row>
        <row r="63">
          <cell r="A63">
            <v>1313312920</v>
          </cell>
          <cell r="B63" t="str">
            <v>סייעות כ. ב"ס חריגות</v>
          </cell>
          <cell r="C63">
            <v>-82492</v>
          </cell>
          <cell r="D63">
            <v>-121333.5</v>
          </cell>
          <cell r="E63">
            <v>0</v>
          </cell>
          <cell r="F63">
            <v>-121333.5</v>
          </cell>
        </row>
        <row r="64">
          <cell r="A64">
            <v>1313313920</v>
          </cell>
          <cell r="B64" t="str">
            <v>חוק שילוב סייעות</v>
          </cell>
          <cell r="C64">
            <v>-353000</v>
          </cell>
          <cell r="D64">
            <v>-333735.59999999998</v>
          </cell>
          <cell r="E64">
            <v>0</v>
          </cell>
          <cell r="F64">
            <v>-333735.59999999998</v>
          </cell>
        </row>
        <row r="65">
          <cell r="A65">
            <v>1313800920</v>
          </cell>
          <cell r="B65" t="str">
            <v>פרוייקטים חינוכיים</v>
          </cell>
          <cell r="C65">
            <v>-100000</v>
          </cell>
          <cell r="D65">
            <v>-12698.86</v>
          </cell>
          <cell r="E65">
            <v>0</v>
          </cell>
          <cell r="F65">
            <v>-12698.86</v>
          </cell>
        </row>
        <row r="66">
          <cell r="A66">
            <v>1314100920</v>
          </cell>
          <cell r="B66" t="str">
            <v>אגרת שכפול</v>
          </cell>
          <cell r="C66">
            <v>0</v>
          </cell>
          <cell r="D66">
            <v>-12096</v>
          </cell>
          <cell r="E66">
            <v>0</v>
          </cell>
          <cell r="F66">
            <v>-12096</v>
          </cell>
        </row>
        <row r="67">
          <cell r="A67">
            <v>1315700920</v>
          </cell>
          <cell r="B67" t="str">
            <v>דמי שתיה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1317100920</v>
          </cell>
          <cell r="B68" t="str">
            <v>קבטי"ם + קבס"ים</v>
          </cell>
          <cell r="C68">
            <v>-40500</v>
          </cell>
          <cell r="D68">
            <v>-40607.160000000003</v>
          </cell>
          <cell r="E68">
            <v>0</v>
          </cell>
          <cell r="F68">
            <v>-40607.160000000003</v>
          </cell>
        </row>
        <row r="69">
          <cell r="A69">
            <v>1317300920</v>
          </cell>
          <cell r="B69" t="str">
            <v>פסיכולוגים חינוכיים</v>
          </cell>
          <cell r="C69">
            <v>-700000</v>
          </cell>
          <cell r="D69">
            <v>-639079.65</v>
          </cell>
          <cell r="E69">
            <v>0</v>
          </cell>
          <cell r="F69">
            <v>-639079.65</v>
          </cell>
        </row>
        <row r="70">
          <cell r="A70">
            <v>1317310690</v>
          </cell>
          <cell r="B70" t="str">
            <v>שפ"י-הכנסות אחרות</v>
          </cell>
          <cell r="C70">
            <v>-2000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1317310920</v>
          </cell>
          <cell r="B71" t="str">
            <v>שפ"י -שעות הדרכה</v>
          </cell>
          <cell r="C71">
            <v>-33200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1317430920</v>
          </cell>
          <cell r="B72" t="str">
            <v>חוק שילוב-סייעות</v>
          </cell>
          <cell r="C72">
            <v>-55330</v>
          </cell>
          <cell r="D72">
            <v>-34436.49</v>
          </cell>
          <cell r="E72">
            <v>0</v>
          </cell>
          <cell r="F72">
            <v>-34436.49</v>
          </cell>
        </row>
        <row r="73">
          <cell r="A73">
            <v>1317440920</v>
          </cell>
          <cell r="B73" t="str">
            <v>שגרירי מפתח הל"ב</v>
          </cell>
          <cell r="C73">
            <v>0</v>
          </cell>
          <cell r="D73">
            <v>-2100</v>
          </cell>
          <cell r="E73">
            <v>0</v>
          </cell>
          <cell r="F73">
            <v>-2100</v>
          </cell>
        </row>
        <row r="74">
          <cell r="A74">
            <v>1317500410</v>
          </cell>
          <cell r="B74" t="str">
            <v>ביטוח תלמידים</v>
          </cell>
          <cell r="C74">
            <v>-200000</v>
          </cell>
          <cell r="D74">
            <v>-39057</v>
          </cell>
          <cell r="E74">
            <v>0</v>
          </cell>
          <cell r="F74">
            <v>-39057</v>
          </cell>
        </row>
        <row r="75">
          <cell r="A75">
            <v>1317500920</v>
          </cell>
          <cell r="B75" t="str">
            <v>טיפול בפרט רווחה חינוכית ק.קור</v>
          </cell>
          <cell r="C75">
            <v>-90000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1317600920</v>
          </cell>
          <cell r="B76" t="str">
            <v>מועדוניות</v>
          </cell>
          <cell r="C76">
            <v>-125000</v>
          </cell>
          <cell r="D76">
            <v>-108183.44</v>
          </cell>
          <cell r="E76">
            <v>0</v>
          </cell>
          <cell r="F76">
            <v>-108183.44</v>
          </cell>
        </row>
        <row r="77">
          <cell r="A77">
            <v>1317602920</v>
          </cell>
          <cell r="B77" t="str">
            <v>רווחה חינוכית</v>
          </cell>
          <cell r="C77">
            <v>-207641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1317620920</v>
          </cell>
          <cell r="B78" t="str">
            <v>תוכנית ראשית- שכר</v>
          </cell>
          <cell r="C78">
            <v>-125020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1317621920</v>
          </cell>
          <cell r="B79" t="str">
            <v>מועדונית ביתית גיל רך- שכר</v>
          </cell>
          <cell r="C79">
            <v>-60000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1317622920</v>
          </cell>
          <cell r="B80" t="str">
            <v>מדריך בינתחומי- מרכז גיל רך</v>
          </cell>
          <cell r="C80">
            <v>-45000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1317623920</v>
          </cell>
          <cell r="B81" t="str">
            <v>מרז נוער- שכר פעילות הצטיידות</v>
          </cell>
          <cell r="C81">
            <v>-334060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1317624920</v>
          </cell>
          <cell r="B82" t="str">
            <v>תוכנית אור- שכר והצטיידות</v>
          </cell>
          <cell r="C82">
            <v>-125020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1317625920</v>
          </cell>
          <cell r="B83" t="str">
            <v>קול קורא לאגדים- שכר ופעילות</v>
          </cell>
          <cell r="C83">
            <v>-150000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1317626920</v>
          </cell>
          <cell r="B84" t="str">
            <v>נתיבים להורות שכר</v>
          </cell>
          <cell r="C84">
            <v>-173520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1317700920</v>
          </cell>
          <cell r="B85" t="str">
            <v>קבסי"ם</v>
          </cell>
          <cell r="C85">
            <v>-195000</v>
          </cell>
          <cell r="D85">
            <v>-184633.23</v>
          </cell>
          <cell r="E85">
            <v>0</v>
          </cell>
          <cell r="F85">
            <v>-184633.23</v>
          </cell>
        </row>
        <row r="86">
          <cell r="A86">
            <v>1317800920</v>
          </cell>
          <cell r="B86" t="str">
            <v>הסעות</v>
          </cell>
          <cell r="C86">
            <v>-2200000</v>
          </cell>
          <cell r="D86">
            <v>-1868056.34</v>
          </cell>
          <cell r="E86">
            <v>0</v>
          </cell>
          <cell r="F86">
            <v>-1868056.34</v>
          </cell>
        </row>
        <row r="87">
          <cell r="A87">
            <v>1317810920</v>
          </cell>
          <cell r="B87" t="str">
            <v>הסעות ח.מיוחד</v>
          </cell>
          <cell r="C87">
            <v>-1250000</v>
          </cell>
          <cell r="D87">
            <v>-996067.86</v>
          </cell>
          <cell r="E87">
            <v>0</v>
          </cell>
          <cell r="F87">
            <v>-996067.86</v>
          </cell>
        </row>
        <row r="88">
          <cell r="A88">
            <v>1317811920</v>
          </cell>
          <cell r="B88" t="str">
            <v>ל. הסעות ח"מ - חיפה</v>
          </cell>
          <cell r="C88">
            <v>-326950</v>
          </cell>
          <cell r="D88">
            <v>-184627.92</v>
          </cell>
          <cell r="E88">
            <v>0</v>
          </cell>
          <cell r="F88">
            <v>-184627.92</v>
          </cell>
        </row>
        <row r="89">
          <cell r="A89">
            <v>1317812920</v>
          </cell>
          <cell r="B89" t="str">
            <v>הש. בעלויול טיולים</v>
          </cell>
          <cell r="C89">
            <v>-120000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1317820920</v>
          </cell>
          <cell r="B90" t="str">
            <v>שכר דירה</v>
          </cell>
          <cell r="C90">
            <v>-95000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1317840920</v>
          </cell>
          <cell r="B91" t="str">
            <v>הסעות חיפה</v>
          </cell>
          <cell r="C91">
            <v>0</v>
          </cell>
          <cell r="D91">
            <v>473.06</v>
          </cell>
          <cell r="E91">
            <v>0</v>
          </cell>
          <cell r="F91">
            <v>473.06</v>
          </cell>
        </row>
        <row r="92">
          <cell r="A92">
            <v>1317900920</v>
          </cell>
          <cell r="B92" t="str">
            <v>תשלומי הורים חומרים</v>
          </cell>
          <cell r="C92">
            <v>-50300</v>
          </cell>
          <cell r="D92">
            <v>-46039.6</v>
          </cell>
          <cell r="E92">
            <v>0</v>
          </cell>
          <cell r="F92">
            <v>-46039.6</v>
          </cell>
        </row>
        <row r="93">
          <cell r="A93">
            <v>1317901920</v>
          </cell>
          <cell r="B93" t="str">
            <v>אחזקת ילדי צד"ל</v>
          </cell>
          <cell r="C93">
            <v>-5000</v>
          </cell>
          <cell r="D93">
            <v>-4533</v>
          </cell>
          <cell r="E93">
            <v>0</v>
          </cell>
          <cell r="F93">
            <v>-4533</v>
          </cell>
        </row>
        <row r="94">
          <cell r="A94">
            <v>1317943920</v>
          </cell>
          <cell r="B94" t="str">
            <v>הכנסות אורט</v>
          </cell>
          <cell r="C94">
            <v>-80000</v>
          </cell>
          <cell r="D94">
            <v>-291593.26</v>
          </cell>
          <cell r="E94">
            <v>0</v>
          </cell>
          <cell r="F94">
            <v>-291593.26</v>
          </cell>
        </row>
        <row r="95">
          <cell r="A95">
            <v>1317950920</v>
          </cell>
          <cell r="B95" t="str">
            <v>קידום נוער</v>
          </cell>
          <cell r="C95">
            <v>-165000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1318000920</v>
          </cell>
          <cell r="B96" t="str">
            <v>מניעת נשירה</v>
          </cell>
          <cell r="C96">
            <v>-15000</v>
          </cell>
          <cell r="D96">
            <v>-22544.19</v>
          </cell>
          <cell r="E96">
            <v>0</v>
          </cell>
          <cell r="F96">
            <v>-22544.19</v>
          </cell>
        </row>
        <row r="97">
          <cell r="A97">
            <v>1319000920</v>
          </cell>
          <cell r="B97" t="str">
            <v>פרויקט מ.החינוך בחופש הגדול</v>
          </cell>
          <cell r="C97">
            <v>-1100000</v>
          </cell>
          <cell r="D97">
            <v>-995410.4</v>
          </cell>
          <cell r="E97">
            <v>0</v>
          </cell>
          <cell r="F97">
            <v>-995410.4</v>
          </cell>
        </row>
        <row r="98">
          <cell r="A98">
            <v>1322000940</v>
          </cell>
          <cell r="B98" t="str">
            <v>פעולות תרבות</v>
          </cell>
          <cell r="C98">
            <v>-435000</v>
          </cell>
          <cell r="D98">
            <v>-88260.4</v>
          </cell>
          <cell r="E98">
            <v>0</v>
          </cell>
          <cell r="F98">
            <v>-88260.4</v>
          </cell>
        </row>
        <row r="99">
          <cell r="A99">
            <v>1325000420</v>
          </cell>
          <cell r="B99" t="str">
            <v>השתתפות הורים מרכז הגיל הרך</v>
          </cell>
          <cell r="C99">
            <v>-100000</v>
          </cell>
          <cell r="D99">
            <v>-126452</v>
          </cell>
          <cell r="E99">
            <v>0</v>
          </cell>
          <cell r="F99">
            <v>-126452</v>
          </cell>
        </row>
        <row r="100">
          <cell r="A100">
            <v>1326400420</v>
          </cell>
          <cell r="B100" t="str">
            <v>תקבולים פעילות קהילתית</v>
          </cell>
          <cell r="C100">
            <v>-200000</v>
          </cell>
          <cell r="D100">
            <v>-283395</v>
          </cell>
          <cell r="E100">
            <v>0</v>
          </cell>
          <cell r="F100">
            <v>-283395</v>
          </cell>
        </row>
        <row r="101">
          <cell r="A101">
            <v>1328210920</v>
          </cell>
          <cell r="B101" t="str">
            <v>שכר מחלקת נוער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1328300420</v>
          </cell>
          <cell r="B102" t="str">
            <v>חוגי נוער-תרבות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1328400420</v>
          </cell>
          <cell r="B103" t="str">
            <v>קייטנות-השתתפות תושבים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1328504990</v>
          </cell>
          <cell r="B104" t="str">
            <v>עיר ללא אלימות</v>
          </cell>
          <cell r="C104">
            <v>-315288</v>
          </cell>
          <cell r="D104">
            <v>-120051</v>
          </cell>
          <cell r="E104">
            <v>0</v>
          </cell>
          <cell r="F104">
            <v>-120051</v>
          </cell>
        </row>
        <row r="105">
          <cell r="A105">
            <v>1341000420</v>
          </cell>
          <cell r="B105" t="str">
            <v>רווחה השתתפות</v>
          </cell>
          <cell r="C105">
            <v>-6000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1341000930</v>
          </cell>
          <cell r="B106" t="str">
            <v>מינהל הרווחה</v>
          </cell>
          <cell r="C106">
            <v>-1042000</v>
          </cell>
          <cell r="D106">
            <v>-838132</v>
          </cell>
          <cell r="E106">
            <v>0</v>
          </cell>
          <cell r="F106">
            <v>-838132</v>
          </cell>
        </row>
        <row r="107">
          <cell r="A107">
            <v>1341001930</v>
          </cell>
          <cell r="B107" t="str">
            <v>כ"א לחינוך מיוחד</v>
          </cell>
          <cell r="C107">
            <v>-25000</v>
          </cell>
          <cell r="D107">
            <v>-4544</v>
          </cell>
          <cell r="E107">
            <v>0</v>
          </cell>
          <cell r="F107">
            <v>-4544</v>
          </cell>
        </row>
        <row r="108">
          <cell r="A108">
            <v>1341003930</v>
          </cell>
          <cell r="B108" t="str">
            <v>פעולות ארגוניות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1341200930</v>
          </cell>
          <cell r="B109" t="str">
            <v>בטחון לעובדים</v>
          </cell>
          <cell r="C109">
            <v>-8440</v>
          </cell>
          <cell r="D109">
            <v>-1379</v>
          </cell>
          <cell r="E109">
            <v>0</v>
          </cell>
          <cell r="F109">
            <v>-1379</v>
          </cell>
        </row>
        <row r="110">
          <cell r="A110">
            <v>1342201930</v>
          </cell>
          <cell r="B110" t="str">
            <v>מקלטים לנשים מוכות</v>
          </cell>
          <cell r="C110">
            <v>-10000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1342210930</v>
          </cell>
          <cell r="B111" t="str">
            <v>משפחות במצוקה</v>
          </cell>
          <cell r="C111">
            <v>-30600</v>
          </cell>
          <cell r="D111">
            <v>-37230</v>
          </cell>
          <cell r="E111">
            <v>0</v>
          </cell>
          <cell r="F111">
            <v>-37230</v>
          </cell>
        </row>
        <row r="112">
          <cell r="A112">
            <v>1342212930</v>
          </cell>
          <cell r="B112" t="str">
            <v>סיוע חד פעמי לחימום</v>
          </cell>
          <cell r="C112">
            <v>-3000</v>
          </cell>
          <cell r="D112">
            <v>-5000</v>
          </cell>
          <cell r="E112">
            <v>0</v>
          </cell>
          <cell r="F112">
            <v>-5000</v>
          </cell>
        </row>
        <row r="113">
          <cell r="A113">
            <v>1342230930</v>
          </cell>
          <cell r="B113" t="str">
            <v>סיוע למשפחות עם ילד</v>
          </cell>
          <cell r="C113">
            <v>-31500</v>
          </cell>
          <cell r="D113">
            <v>-49518</v>
          </cell>
          <cell r="E113">
            <v>0</v>
          </cell>
          <cell r="F113">
            <v>-49518</v>
          </cell>
        </row>
        <row r="114">
          <cell r="A114">
            <v>1342401930</v>
          </cell>
          <cell r="B114" t="str">
            <v>תחנות לטיפול במשפחה</v>
          </cell>
          <cell r="C114">
            <v>0</v>
          </cell>
          <cell r="D114">
            <v>585</v>
          </cell>
          <cell r="E114">
            <v>0</v>
          </cell>
          <cell r="F114">
            <v>585</v>
          </cell>
        </row>
        <row r="115">
          <cell r="A115">
            <v>1342410930</v>
          </cell>
          <cell r="B115" t="str">
            <v>מרכזי טיפול באלימות</v>
          </cell>
          <cell r="C115">
            <v>-79000</v>
          </cell>
          <cell r="D115">
            <v>-73316</v>
          </cell>
          <cell r="E115">
            <v>0</v>
          </cell>
          <cell r="F115">
            <v>-73316</v>
          </cell>
        </row>
        <row r="116">
          <cell r="A116">
            <v>1343500930</v>
          </cell>
          <cell r="B116" t="str">
            <v>ת. לאומית ילד ונוער</v>
          </cell>
          <cell r="C116">
            <v>-303664</v>
          </cell>
          <cell r="D116">
            <v>-187886</v>
          </cell>
          <cell r="E116">
            <v>0</v>
          </cell>
          <cell r="F116">
            <v>-187886</v>
          </cell>
        </row>
        <row r="117">
          <cell r="A117">
            <v>1343520930</v>
          </cell>
          <cell r="B117" t="str">
            <v>טיפול בילד בקהילה</v>
          </cell>
          <cell r="C117">
            <v>-210900</v>
          </cell>
          <cell r="D117">
            <v>-239245</v>
          </cell>
          <cell r="E117">
            <v>0</v>
          </cell>
          <cell r="F117">
            <v>-239245</v>
          </cell>
        </row>
        <row r="118">
          <cell r="A118">
            <v>1343530930</v>
          </cell>
          <cell r="B118" t="str">
            <v>מועדוניות מש</v>
          </cell>
          <cell r="C118">
            <v>-79000</v>
          </cell>
          <cell r="D118">
            <v>-85457</v>
          </cell>
          <cell r="E118">
            <v>0</v>
          </cell>
          <cell r="F118">
            <v>-85457</v>
          </cell>
        </row>
        <row r="119">
          <cell r="A119">
            <v>1343550930</v>
          </cell>
          <cell r="B119" t="str">
            <v>יצירת קשר הורים</v>
          </cell>
          <cell r="C119">
            <v>0</v>
          </cell>
          <cell r="D119">
            <v>-38402</v>
          </cell>
          <cell r="E119">
            <v>0</v>
          </cell>
          <cell r="F119">
            <v>-38402</v>
          </cell>
        </row>
        <row r="120">
          <cell r="A120">
            <v>1343800930</v>
          </cell>
          <cell r="B120" t="str">
            <v>אחזקת ילדים בפנימיות</v>
          </cell>
          <cell r="C120">
            <v>-367248</v>
          </cell>
          <cell r="D120">
            <v>-115787</v>
          </cell>
          <cell r="E120">
            <v>0</v>
          </cell>
          <cell r="F120">
            <v>-115787</v>
          </cell>
        </row>
        <row r="121">
          <cell r="A121">
            <v>1343810930</v>
          </cell>
          <cell r="B121" t="str">
            <v>תכנית עם הפנים לקהילה</v>
          </cell>
          <cell r="C121">
            <v>-86468</v>
          </cell>
          <cell r="D121">
            <v>-32119</v>
          </cell>
          <cell r="E121">
            <v>0</v>
          </cell>
          <cell r="F121">
            <v>-32119</v>
          </cell>
        </row>
        <row r="122">
          <cell r="A122">
            <v>1343900930</v>
          </cell>
          <cell r="B122" t="str">
            <v>ילדים במעונות יום</v>
          </cell>
          <cell r="C122">
            <v>-524496</v>
          </cell>
          <cell r="D122">
            <v>-503356</v>
          </cell>
          <cell r="E122">
            <v>0</v>
          </cell>
          <cell r="F122">
            <v>-503356</v>
          </cell>
        </row>
        <row r="123">
          <cell r="A123">
            <v>1343902930</v>
          </cell>
          <cell r="B123" t="str">
            <v>תכנית לאומית-ילדים בסיכון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>
            <v>1344300930</v>
          </cell>
          <cell r="B124" t="str">
            <v>אחזקת זקנים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>
            <v>1344400930</v>
          </cell>
          <cell r="B125" t="str">
            <v>מועדונים לזקנים</v>
          </cell>
          <cell r="C125">
            <v>-10000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1344401930</v>
          </cell>
          <cell r="B126" t="str">
            <v>שכונה תומכת</v>
          </cell>
          <cell r="C126">
            <v>-22700</v>
          </cell>
          <cell r="D126">
            <v>-29986</v>
          </cell>
          <cell r="E126">
            <v>0</v>
          </cell>
          <cell r="F126">
            <v>-29986</v>
          </cell>
        </row>
        <row r="127">
          <cell r="A127">
            <v>1344410930</v>
          </cell>
          <cell r="B127" t="str">
            <v>טיפול בזקן בקהילה</v>
          </cell>
          <cell r="C127">
            <v>-20700</v>
          </cell>
          <cell r="D127">
            <v>-18982</v>
          </cell>
          <cell r="E127">
            <v>0</v>
          </cell>
          <cell r="F127">
            <v>-18982</v>
          </cell>
        </row>
        <row r="128">
          <cell r="A128">
            <v>1344440930</v>
          </cell>
          <cell r="B128" t="str">
            <v>מרכזי ועדות חוק סעוד</v>
          </cell>
          <cell r="C128">
            <v>-37000</v>
          </cell>
          <cell r="D128">
            <v>-33876</v>
          </cell>
          <cell r="E128">
            <v>0</v>
          </cell>
          <cell r="F128">
            <v>-33876</v>
          </cell>
        </row>
        <row r="129">
          <cell r="A129">
            <v>1344500930</v>
          </cell>
          <cell r="B129" t="str">
            <v>מסגרות יומיות לזקן</v>
          </cell>
          <cell r="C129">
            <v>-156800</v>
          </cell>
          <cell r="D129">
            <v>-249982</v>
          </cell>
          <cell r="E129">
            <v>0</v>
          </cell>
          <cell r="F129">
            <v>-249982</v>
          </cell>
        </row>
        <row r="130">
          <cell r="A130">
            <v>1345100930</v>
          </cell>
          <cell r="B130" t="str">
            <v>סידור מפגרים במוסדות</v>
          </cell>
          <cell r="C130">
            <v>-2622960</v>
          </cell>
          <cell r="D130">
            <v>-2638726</v>
          </cell>
          <cell r="E130">
            <v>0</v>
          </cell>
          <cell r="F130">
            <v>-2638726</v>
          </cell>
        </row>
        <row r="131">
          <cell r="A131">
            <v>1345110930</v>
          </cell>
          <cell r="B131" t="str">
            <v>מועדונים לילדים</v>
          </cell>
          <cell r="C131">
            <v>-117000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1345120930</v>
          </cell>
          <cell r="B132" t="str">
            <v>מפגרים במוסד ממשלתי</v>
          </cell>
          <cell r="C132">
            <v>0</v>
          </cell>
          <cell r="D132">
            <v>-99750</v>
          </cell>
          <cell r="E132">
            <v>0</v>
          </cell>
          <cell r="F132">
            <v>-99750</v>
          </cell>
        </row>
        <row r="133">
          <cell r="A133">
            <v>1345130930</v>
          </cell>
          <cell r="B133" t="str">
            <v>טיפול בהורים ובילדיה</v>
          </cell>
          <cell r="C133">
            <v>-6750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1345140930</v>
          </cell>
          <cell r="B134" t="str">
            <v>החזקת אוטיסטים במסגרת</v>
          </cell>
          <cell r="C134">
            <v>-288024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1345200930</v>
          </cell>
          <cell r="B135" t="str">
            <v>מפגרים במעון טיפולי</v>
          </cell>
          <cell r="C135">
            <v>-204960</v>
          </cell>
          <cell r="D135">
            <v>-160975</v>
          </cell>
          <cell r="E135">
            <v>0</v>
          </cell>
          <cell r="F135">
            <v>-160975</v>
          </cell>
        </row>
        <row r="136">
          <cell r="A136">
            <v>1345240930</v>
          </cell>
          <cell r="B136" t="str">
            <v>מעש"ים</v>
          </cell>
          <cell r="C136">
            <v>-197856</v>
          </cell>
          <cell r="D136">
            <v>-212588</v>
          </cell>
          <cell r="E136">
            <v>0</v>
          </cell>
          <cell r="F136">
            <v>-212588</v>
          </cell>
        </row>
        <row r="137">
          <cell r="A137">
            <v>1345300930</v>
          </cell>
          <cell r="B137" t="str">
            <v>שירותים תומכים למפגר</v>
          </cell>
          <cell r="C137">
            <v>-7500</v>
          </cell>
          <cell r="D137">
            <v>-6954</v>
          </cell>
          <cell r="E137">
            <v>0</v>
          </cell>
          <cell r="F137">
            <v>-6954</v>
          </cell>
        </row>
        <row r="138">
          <cell r="A138">
            <v>1345301930</v>
          </cell>
          <cell r="B138" t="str">
            <v>הסעות למעון מפגרים</v>
          </cell>
          <cell r="C138">
            <v>0</v>
          </cell>
          <cell r="D138">
            <v>-19068</v>
          </cell>
          <cell r="E138">
            <v>0</v>
          </cell>
          <cell r="F138">
            <v>-19068</v>
          </cell>
        </row>
        <row r="139">
          <cell r="A139">
            <v>1345305930</v>
          </cell>
          <cell r="B139" t="str">
            <v>מועדונים חברת למפגר</v>
          </cell>
          <cell r="C139">
            <v>-15000</v>
          </cell>
          <cell r="D139">
            <v>-2664</v>
          </cell>
          <cell r="E139">
            <v>0</v>
          </cell>
          <cell r="F139">
            <v>-2664</v>
          </cell>
        </row>
        <row r="140">
          <cell r="A140">
            <v>1345310930</v>
          </cell>
          <cell r="B140" t="str">
            <v>נופשונים למפגר</v>
          </cell>
          <cell r="C140">
            <v>-13464</v>
          </cell>
          <cell r="D140">
            <v>-11115</v>
          </cell>
          <cell r="E140">
            <v>0</v>
          </cell>
          <cell r="F140">
            <v>-11115</v>
          </cell>
        </row>
        <row r="141">
          <cell r="A141">
            <v>1345311930</v>
          </cell>
          <cell r="B141" t="str">
            <v>הסעות למ.יום למפגר</v>
          </cell>
          <cell r="C141">
            <v>-57900</v>
          </cell>
          <cell r="D141">
            <v>-90195</v>
          </cell>
          <cell r="E141">
            <v>0</v>
          </cell>
          <cell r="F141">
            <v>-90195</v>
          </cell>
        </row>
        <row r="142">
          <cell r="A142">
            <v>1346320930</v>
          </cell>
          <cell r="B142" t="str">
            <v>הדרכת עיוור ובני ביתו</v>
          </cell>
          <cell r="C142">
            <v>-24427</v>
          </cell>
          <cell r="D142">
            <v>-24518</v>
          </cell>
          <cell r="E142">
            <v>0</v>
          </cell>
          <cell r="F142">
            <v>-24518</v>
          </cell>
        </row>
        <row r="143">
          <cell r="A143">
            <v>1346400930</v>
          </cell>
          <cell r="B143" t="str">
            <v>מפעלי שיקון לעוור</v>
          </cell>
          <cell r="C143">
            <v>-41500</v>
          </cell>
          <cell r="D143">
            <v>-28278</v>
          </cell>
          <cell r="E143">
            <v>0</v>
          </cell>
          <cell r="F143">
            <v>-28278</v>
          </cell>
        </row>
        <row r="144">
          <cell r="A144">
            <v>1346510930</v>
          </cell>
          <cell r="B144" t="str">
            <v>מועדונים לעוור</v>
          </cell>
          <cell r="C144">
            <v>0</v>
          </cell>
          <cell r="D144">
            <v>-6273</v>
          </cell>
          <cell r="E144">
            <v>0</v>
          </cell>
          <cell r="F144">
            <v>-6273</v>
          </cell>
        </row>
        <row r="145">
          <cell r="A145">
            <v>1346600930</v>
          </cell>
          <cell r="B145" t="str">
            <v>תעסוקה מוגנת למוגבל</v>
          </cell>
          <cell r="C145">
            <v>-5000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1346610930</v>
          </cell>
          <cell r="B146" t="str">
            <v>תוכניות מעבר</v>
          </cell>
          <cell r="C146">
            <v>-4500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1346700930</v>
          </cell>
          <cell r="B147" t="str">
            <v>מ.יום שיקומי לנכים</v>
          </cell>
          <cell r="C147">
            <v>-33576</v>
          </cell>
          <cell r="D147">
            <v>-7638</v>
          </cell>
          <cell r="E147">
            <v>0</v>
          </cell>
          <cell r="F147">
            <v>-7638</v>
          </cell>
        </row>
        <row r="148">
          <cell r="A148">
            <v>1346709930</v>
          </cell>
          <cell r="B148" t="str">
            <v>ליווי למ.יום שיקומי</v>
          </cell>
          <cell r="C148">
            <v>-30000</v>
          </cell>
          <cell r="D148">
            <v>-6984</v>
          </cell>
          <cell r="E148">
            <v>0</v>
          </cell>
          <cell r="F148">
            <v>-6984</v>
          </cell>
        </row>
        <row r="149">
          <cell r="A149">
            <v>1346710930</v>
          </cell>
          <cell r="B149" t="str">
            <v>הסעות למ.יום שיקומי לנכים</v>
          </cell>
          <cell r="C149">
            <v>-75000</v>
          </cell>
          <cell r="D149">
            <v>-5221</v>
          </cell>
          <cell r="E149">
            <v>0</v>
          </cell>
          <cell r="F149">
            <v>-5221</v>
          </cell>
        </row>
        <row r="150">
          <cell r="A150">
            <v>1346720930</v>
          </cell>
          <cell r="B150" t="str">
            <v>מועדון חברתי לבוגרים</v>
          </cell>
          <cell r="C150">
            <v>-27000</v>
          </cell>
          <cell r="D150">
            <v>-24287</v>
          </cell>
          <cell r="E150">
            <v>0</v>
          </cell>
          <cell r="F150">
            <v>-24287</v>
          </cell>
        </row>
        <row r="151">
          <cell r="A151">
            <v>1346750930</v>
          </cell>
          <cell r="B151" t="str">
            <v>תעסוקה נתמכת לנכים</v>
          </cell>
          <cell r="C151">
            <v>-5000</v>
          </cell>
          <cell r="D151">
            <v>-7226</v>
          </cell>
          <cell r="E151">
            <v>0</v>
          </cell>
          <cell r="F151">
            <v>-7226</v>
          </cell>
        </row>
        <row r="152">
          <cell r="A152">
            <v>1346760930</v>
          </cell>
          <cell r="B152" t="str">
            <v>תוכנית מעבר</v>
          </cell>
          <cell r="C152">
            <v>0</v>
          </cell>
          <cell r="D152">
            <v>-4127</v>
          </cell>
          <cell r="E152">
            <v>0</v>
          </cell>
          <cell r="F152">
            <v>-4127</v>
          </cell>
        </row>
        <row r="153">
          <cell r="A153">
            <v>1346800930</v>
          </cell>
          <cell r="B153" t="str">
            <v>מרכזי איבחון ושיקום</v>
          </cell>
          <cell r="C153">
            <v>-21000</v>
          </cell>
          <cell r="D153">
            <v>-27648</v>
          </cell>
          <cell r="E153">
            <v>0</v>
          </cell>
          <cell r="F153">
            <v>-27648</v>
          </cell>
        </row>
        <row r="154">
          <cell r="A154">
            <v>1346820930</v>
          </cell>
          <cell r="B154" t="str">
            <v>שיקום נכים בקהילה</v>
          </cell>
          <cell r="C154">
            <v>-12500</v>
          </cell>
          <cell r="D154">
            <v>-6188</v>
          </cell>
          <cell r="E154">
            <v>0</v>
          </cell>
          <cell r="F154">
            <v>-6188</v>
          </cell>
        </row>
        <row r="155">
          <cell r="A155">
            <v>1346825930</v>
          </cell>
          <cell r="B155" t="str">
            <v>בוגרים עיוורים בקהילה</v>
          </cell>
          <cell r="C155">
            <v>-32000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1346830930</v>
          </cell>
          <cell r="B156" t="str">
            <v>ילדים עוורים בקהילה</v>
          </cell>
          <cell r="C156">
            <v>-31000</v>
          </cell>
          <cell r="D156">
            <v>-16603</v>
          </cell>
          <cell r="E156">
            <v>0</v>
          </cell>
          <cell r="F156">
            <v>-16603</v>
          </cell>
        </row>
        <row r="157">
          <cell r="A157">
            <v>1346840930</v>
          </cell>
          <cell r="B157" t="str">
            <v>נכים קשים בקהילה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1347120930</v>
          </cell>
          <cell r="B158" t="str">
            <v>טיפול בנוער וצעירים</v>
          </cell>
          <cell r="C158">
            <v>-8000</v>
          </cell>
          <cell r="D158">
            <v>802</v>
          </cell>
          <cell r="E158">
            <v>0</v>
          </cell>
          <cell r="F158">
            <v>802</v>
          </cell>
        </row>
        <row r="159">
          <cell r="A159">
            <v>1347130930</v>
          </cell>
          <cell r="B159" t="str">
            <v>שהות במקלטים לנערות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1347140930</v>
          </cell>
          <cell r="B160" t="str">
            <v>מועדון חברתי לבוגרים</v>
          </cell>
          <cell r="C160">
            <v>0</v>
          </cell>
          <cell r="D160">
            <v>-18009</v>
          </cell>
          <cell r="E160">
            <v>0</v>
          </cell>
          <cell r="F160">
            <v>-18009</v>
          </cell>
        </row>
        <row r="161">
          <cell r="A161">
            <v>1347200930</v>
          </cell>
          <cell r="B161" t="str">
            <v>טיפול בנערות במצוקה</v>
          </cell>
          <cell r="C161">
            <v>-9215</v>
          </cell>
          <cell r="D161">
            <v>-2395</v>
          </cell>
          <cell r="E161">
            <v>0</v>
          </cell>
          <cell r="F161">
            <v>-2395</v>
          </cell>
        </row>
        <row r="162">
          <cell r="A162">
            <v>1347300990</v>
          </cell>
          <cell r="B162" t="str">
            <v>טיפול בנוער מתמכר</v>
          </cell>
          <cell r="C162">
            <v>-9000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1347305930</v>
          </cell>
          <cell r="B163" t="str">
            <v>התמכרויות מבוגרים</v>
          </cell>
          <cell r="C163">
            <v>-20000</v>
          </cell>
          <cell r="D163">
            <v>-43551</v>
          </cell>
          <cell r="E163">
            <v>0</v>
          </cell>
          <cell r="F163">
            <v>-43551</v>
          </cell>
        </row>
        <row r="164">
          <cell r="A164">
            <v>1347310930</v>
          </cell>
          <cell r="B164" t="str">
            <v>טפול באלכוהוליסטים</v>
          </cell>
          <cell r="C164">
            <v>0</v>
          </cell>
          <cell r="D164">
            <v>-1680</v>
          </cell>
          <cell r="E164">
            <v>0</v>
          </cell>
          <cell r="F164">
            <v>-1680</v>
          </cell>
        </row>
        <row r="165">
          <cell r="A165">
            <v>1347330930</v>
          </cell>
          <cell r="B165" t="str">
            <v>מ.יום לנוער -סמים</v>
          </cell>
          <cell r="C165">
            <v>0</v>
          </cell>
          <cell r="D165">
            <v>-2997</v>
          </cell>
          <cell r="E165">
            <v>0</v>
          </cell>
          <cell r="F165">
            <v>-2997</v>
          </cell>
        </row>
        <row r="166">
          <cell r="A166">
            <v>1347400930</v>
          </cell>
          <cell r="B166" t="str">
            <v>מית"ר</v>
          </cell>
          <cell r="C166">
            <v>-741504</v>
          </cell>
          <cell r="D166">
            <v>-511911</v>
          </cell>
          <cell r="E166">
            <v>0</v>
          </cell>
          <cell r="F166">
            <v>-511911</v>
          </cell>
        </row>
        <row r="167">
          <cell r="A167">
            <v>1347410930</v>
          </cell>
          <cell r="B167" t="str">
            <v>מניעת אלימות במפתנים</v>
          </cell>
          <cell r="C167">
            <v>0</v>
          </cell>
          <cell r="D167">
            <v>-3000</v>
          </cell>
          <cell r="E167">
            <v>0</v>
          </cell>
          <cell r="F167">
            <v>-3000</v>
          </cell>
        </row>
        <row r="168">
          <cell r="A168">
            <v>1348300930</v>
          </cell>
          <cell r="B168" t="str">
            <v>פעולות התנדבות</v>
          </cell>
          <cell r="C168">
            <v>-1000</v>
          </cell>
          <cell r="D168">
            <v>-8404</v>
          </cell>
          <cell r="E168">
            <v>0</v>
          </cell>
          <cell r="F168">
            <v>-8404</v>
          </cell>
        </row>
        <row r="169">
          <cell r="A169">
            <v>1413100210</v>
          </cell>
          <cell r="B169" t="str">
            <v>מים שוטף</v>
          </cell>
          <cell r="C169">
            <v>-5000000</v>
          </cell>
          <cell r="D169">
            <v>-2858831.42</v>
          </cell>
          <cell r="E169">
            <v>0</v>
          </cell>
          <cell r="F169">
            <v>-2858831.42</v>
          </cell>
        </row>
        <row r="170">
          <cell r="A170">
            <v>1413109210</v>
          </cell>
          <cell r="B170" t="str">
            <v>היטל צריכה עודפת</v>
          </cell>
          <cell r="C170">
            <v>0</v>
          </cell>
          <cell r="D170">
            <v>-138.86000000000001</v>
          </cell>
          <cell r="E170">
            <v>0</v>
          </cell>
          <cell r="F170">
            <v>-138.86000000000001</v>
          </cell>
        </row>
        <row r="171">
          <cell r="A171">
            <v>1413110210</v>
          </cell>
          <cell r="B171" t="str">
            <v>מים פיגורים</v>
          </cell>
          <cell r="C171">
            <v>-3000000</v>
          </cell>
          <cell r="D171">
            <v>-2017698.47</v>
          </cell>
          <cell r="E171">
            <v>0</v>
          </cell>
          <cell r="F171">
            <v>-2017698.47</v>
          </cell>
        </row>
        <row r="172">
          <cell r="A172">
            <v>1413111210</v>
          </cell>
          <cell r="B172" t="str">
            <v>יתרות מים 2005</v>
          </cell>
          <cell r="C172">
            <v>0</v>
          </cell>
          <cell r="D172">
            <v>-135441.60000000001</v>
          </cell>
          <cell r="E172">
            <v>0</v>
          </cell>
          <cell r="F172">
            <v>-135441.60000000001</v>
          </cell>
        </row>
        <row r="173">
          <cell r="A173">
            <v>1413112210</v>
          </cell>
          <cell r="B173" t="str">
            <v>יתרות מים 2006</v>
          </cell>
          <cell r="C173">
            <v>0</v>
          </cell>
          <cell r="D173">
            <v>-2823.66</v>
          </cell>
          <cell r="E173">
            <v>0</v>
          </cell>
          <cell r="F173">
            <v>-2823.66</v>
          </cell>
        </row>
        <row r="174">
          <cell r="A174">
            <v>1413113210</v>
          </cell>
          <cell r="B174" t="str">
            <v>יתרות מים 2007</v>
          </cell>
          <cell r="C174">
            <v>0</v>
          </cell>
          <cell r="D174">
            <v>-56742.21</v>
          </cell>
          <cell r="E174">
            <v>0</v>
          </cell>
          <cell r="F174">
            <v>-56742.21</v>
          </cell>
        </row>
        <row r="175">
          <cell r="A175">
            <v>1413200410</v>
          </cell>
          <cell r="B175" t="str">
            <v>הכנסות מים (הסדר 23) עצמיות</v>
          </cell>
          <cell r="C175">
            <v>0</v>
          </cell>
          <cell r="D175">
            <v>-153245.70000000001</v>
          </cell>
          <cell r="E175">
            <v>0</v>
          </cell>
          <cell r="F175">
            <v>-153245.70000000001</v>
          </cell>
        </row>
        <row r="176">
          <cell r="A176">
            <v>1413300810</v>
          </cell>
          <cell r="B176" t="str">
            <v>א.צנרת דליה</v>
          </cell>
          <cell r="C176">
            <v>-340000</v>
          </cell>
          <cell r="D176">
            <v>-249971.13</v>
          </cell>
          <cell r="E176">
            <v>0</v>
          </cell>
          <cell r="F176">
            <v>-249971.13</v>
          </cell>
        </row>
        <row r="177">
          <cell r="A177">
            <v>1472000210</v>
          </cell>
          <cell r="B177" t="str">
            <v>י.אב ביוב</v>
          </cell>
          <cell r="C177">
            <v>0</v>
          </cell>
          <cell r="D177">
            <v>-91219.17</v>
          </cell>
          <cell r="E177">
            <v>0</v>
          </cell>
          <cell r="F177">
            <v>-91219.17</v>
          </cell>
        </row>
        <row r="178">
          <cell r="A178">
            <v>1472000310</v>
          </cell>
          <cell r="B178" t="str">
            <v>היטל ביוב</v>
          </cell>
          <cell r="C178">
            <v>0</v>
          </cell>
          <cell r="D178">
            <v>-12261.18</v>
          </cell>
          <cell r="E178">
            <v>0</v>
          </cell>
          <cell r="F178">
            <v>-12261.18</v>
          </cell>
        </row>
        <row r="179">
          <cell r="A179">
            <v>1472000810</v>
          </cell>
          <cell r="B179" t="str">
            <v>אגרת ביוב</v>
          </cell>
          <cell r="C179">
            <v>-300000</v>
          </cell>
          <cell r="D179">
            <v>-153873.84</v>
          </cell>
          <cell r="E179">
            <v>0</v>
          </cell>
          <cell r="F179">
            <v>-153873.84</v>
          </cell>
        </row>
        <row r="180">
          <cell r="A180">
            <v>1472100310</v>
          </cell>
          <cell r="B180" t="str">
            <v>ביוב  2005</v>
          </cell>
          <cell r="C180">
            <v>0</v>
          </cell>
          <cell r="D180">
            <v>-13979.64</v>
          </cell>
          <cell r="E180">
            <v>0</v>
          </cell>
          <cell r="F180">
            <v>-13979.64</v>
          </cell>
        </row>
        <row r="181">
          <cell r="A181">
            <v>1472200310</v>
          </cell>
          <cell r="B181" t="str">
            <v>ביוב 2007</v>
          </cell>
          <cell r="C181">
            <v>0</v>
          </cell>
          <cell r="D181">
            <v>-1869.37</v>
          </cell>
          <cell r="E181">
            <v>0</v>
          </cell>
          <cell r="F181">
            <v>-1869.37</v>
          </cell>
        </row>
        <row r="182">
          <cell r="A182">
            <v>1472300310</v>
          </cell>
          <cell r="B182" t="str">
            <v>ביוב פיגורים</v>
          </cell>
          <cell r="C182">
            <v>-250000</v>
          </cell>
          <cell r="D182">
            <v>-182120.13</v>
          </cell>
          <cell r="E182">
            <v>0</v>
          </cell>
          <cell r="F182">
            <v>-182120.13</v>
          </cell>
        </row>
        <row r="183">
          <cell r="A183">
            <v>1511000660</v>
          </cell>
          <cell r="B183" t="str">
            <v>ריבית</v>
          </cell>
          <cell r="C183">
            <v>0</v>
          </cell>
          <cell r="D183">
            <v>-40955.410000000003</v>
          </cell>
          <cell r="E183">
            <v>0</v>
          </cell>
          <cell r="F183">
            <v>-40955.410000000003</v>
          </cell>
        </row>
        <row r="184">
          <cell r="A184">
            <v>1511000900</v>
          </cell>
          <cell r="B184" t="str">
            <v>מבוטל - עבר 1511000660</v>
          </cell>
          <cell r="C184">
            <v>0</v>
          </cell>
          <cell r="D184">
            <v>-80.44</v>
          </cell>
          <cell r="E184">
            <v>0</v>
          </cell>
          <cell r="F184">
            <v>-80.44</v>
          </cell>
        </row>
        <row r="185">
          <cell r="A185">
            <v>1513000510</v>
          </cell>
          <cell r="B185" t="str">
            <v>החזר הוצאות משנים קודמות</v>
          </cell>
          <cell r="C185">
            <v>0</v>
          </cell>
          <cell r="D185">
            <v>-30977.22</v>
          </cell>
          <cell r="E185">
            <v>0</v>
          </cell>
          <cell r="F185">
            <v>-30977.22</v>
          </cell>
        </row>
        <row r="186">
          <cell r="A186">
            <v>1513100900</v>
          </cell>
          <cell r="B186" t="str">
            <v>הכנסות שנים קודמות</v>
          </cell>
          <cell r="C186">
            <v>0</v>
          </cell>
          <cell r="D186">
            <v>-143424.88</v>
          </cell>
          <cell r="E186">
            <v>0</v>
          </cell>
          <cell r="F186">
            <v>-143424.88</v>
          </cell>
        </row>
        <row r="187">
          <cell r="A187">
            <v>1599100590</v>
          </cell>
          <cell r="B187" t="str">
            <v>הכנסות מהסכמי פשרה</v>
          </cell>
          <cell r="C187">
            <v>-4000000</v>
          </cell>
          <cell r="D187">
            <v>-1637652.08</v>
          </cell>
          <cell r="E187">
            <v>0</v>
          </cell>
          <cell r="F187">
            <v>-1637652.08</v>
          </cell>
        </row>
        <row r="188">
          <cell r="A188">
            <v>1599100910</v>
          </cell>
          <cell r="B188" t="str">
            <v>מענק כסוי גרעון</v>
          </cell>
          <cell r="C188">
            <v>-2000000</v>
          </cell>
          <cell r="D188">
            <v>-6218000</v>
          </cell>
          <cell r="E188">
            <v>0</v>
          </cell>
          <cell r="F188">
            <v>-6218000</v>
          </cell>
        </row>
        <row r="189">
          <cell r="A189">
            <v>1599100980</v>
          </cell>
          <cell r="B189" t="str">
            <v>הכנסהמותנת ביקורת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1611000450</v>
          </cell>
          <cell r="B190" t="str">
            <v>ריהוט וציוד הנהלה</v>
          </cell>
          <cell r="C190">
            <v>8000</v>
          </cell>
          <cell r="D190">
            <v>9099.99</v>
          </cell>
          <cell r="E190">
            <v>3834</v>
          </cell>
          <cell r="F190">
            <v>12933.99</v>
          </cell>
        </row>
        <row r="191">
          <cell r="A191">
            <v>1611000470</v>
          </cell>
          <cell r="B191" t="str">
            <v>ציוד משרדי הנהלה</v>
          </cell>
          <cell r="C191">
            <v>5000</v>
          </cell>
          <cell r="D191">
            <v>5545.83</v>
          </cell>
          <cell r="E191">
            <v>0</v>
          </cell>
          <cell r="F191">
            <v>5545.83</v>
          </cell>
        </row>
        <row r="192">
          <cell r="A192">
            <v>1611000480</v>
          </cell>
          <cell r="B192" t="str">
            <v>עתון</v>
          </cell>
          <cell r="C192">
            <v>4000</v>
          </cell>
          <cell r="D192">
            <v>9404.89</v>
          </cell>
          <cell r="E192">
            <v>0</v>
          </cell>
          <cell r="F192">
            <v>9404.89</v>
          </cell>
        </row>
        <row r="193">
          <cell r="A193">
            <v>1611000514</v>
          </cell>
          <cell r="B193" t="str">
            <v>מתנות הנהלה</v>
          </cell>
          <cell r="C193">
            <v>9600</v>
          </cell>
          <cell r="D193">
            <v>7859.6</v>
          </cell>
          <cell r="E193">
            <v>0</v>
          </cell>
          <cell r="F193">
            <v>7859.6</v>
          </cell>
        </row>
        <row r="194">
          <cell r="A194">
            <v>1611000530</v>
          </cell>
          <cell r="B194" t="str">
            <v>רכב מנהלי - דלק</v>
          </cell>
          <cell r="C194">
            <v>24000</v>
          </cell>
          <cell r="D194">
            <v>28141.279999999999</v>
          </cell>
          <cell r="E194">
            <v>0</v>
          </cell>
          <cell r="F194">
            <v>28141.279999999999</v>
          </cell>
        </row>
        <row r="195">
          <cell r="A195">
            <v>1611000535</v>
          </cell>
          <cell r="B195" t="str">
            <v>שכירות רכב הנהלה</v>
          </cell>
          <cell r="C195">
            <v>52000</v>
          </cell>
          <cell r="D195">
            <v>34349.339999999997</v>
          </cell>
          <cell r="E195">
            <v>0</v>
          </cell>
          <cell r="F195">
            <v>34349.339999999997</v>
          </cell>
        </row>
        <row r="196">
          <cell r="A196">
            <v>1611000550</v>
          </cell>
          <cell r="B196" t="str">
            <v>פרסום</v>
          </cell>
          <cell r="C196">
            <v>10000</v>
          </cell>
          <cell r="D196">
            <v>600</v>
          </cell>
          <cell r="E196">
            <v>9400</v>
          </cell>
          <cell r="F196">
            <v>10000</v>
          </cell>
        </row>
        <row r="197">
          <cell r="A197">
            <v>1611000735</v>
          </cell>
          <cell r="B197" t="str">
            <v>שכירות רכב-הנהלה</v>
          </cell>
          <cell r="C197">
            <v>0</v>
          </cell>
          <cell r="D197">
            <v>53</v>
          </cell>
          <cell r="E197">
            <v>0</v>
          </cell>
          <cell r="F197">
            <v>53</v>
          </cell>
        </row>
        <row r="198">
          <cell r="A198">
            <v>1611000780</v>
          </cell>
          <cell r="B198" t="str">
            <v>שונות</v>
          </cell>
          <cell r="C198">
            <v>7000</v>
          </cell>
          <cell r="D198">
            <v>5973</v>
          </cell>
          <cell r="E198">
            <v>1027</v>
          </cell>
          <cell r="F198">
            <v>7000</v>
          </cell>
        </row>
        <row r="199">
          <cell r="A199">
            <v>1611100110</v>
          </cell>
          <cell r="B199" t="str">
            <v>שכר ראש העיר</v>
          </cell>
          <cell r="C199">
            <v>636000</v>
          </cell>
          <cell r="D199">
            <v>757091.16</v>
          </cell>
          <cell r="E199">
            <v>0</v>
          </cell>
          <cell r="F199">
            <v>757091.16</v>
          </cell>
        </row>
        <row r="200">
          <cell r="A200">
            <v>1611100510</v>
          </cell>
          <cell r="B200" t="str">
            <v>אשל וכיבוד</v>
          </cell>
          <cell r="C200">
            <v>5100</v>
          </cell>
          <cell r="D200">
            <v>3450</v>
          </cell>
          <cell r="E200">
            <v>900</v>
          </cell>
          <cell r="F200">
            <v>4350</v>
          </cell>
        </row>
        <row r="201">
          <cell r="A201">
            <v>1611100523</v>
          </cell>
          <cell r="B201" t="str">
            <v>דמי חבר</v>
          </cell>
          <cell r="C201">
            <v>3000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1611100541</v>
          </cell>
          <cell r="B202" t="str">
            <v>יו"ר עיריה-סלקום</v>
          </cell>
          <cell r="C202">
            <v>0</v>
          </cell>
          <cell r="D202">
            <v>287.73</v>
          </cell>
          <cell r="E202">
            <v>0</v>
          </cell>
          <cell r="F202">
            <v>287.73</v>
          </cell>
        </row>
        <row r="203">
          <cell r="A203">
            <v>1611110110</v>
          </cell>
          <cell r="B203" t="str">
            <v>שכר סגן יו"ר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1611200110</v>
          </cell>
          <cell r="B204" t="str">
            <v>שכר עובדי לשכה</v>
          </cell>
          <cell r="C204">
            <v>344055</v>
          </cell>
          <cell r="D204">
            <v>40368.79</v>
          </cell>
          <cell r="E204">
            <v>0</v>
          </cell>
          <cell r="F204">
            <v>40368.79</v>
          </cell>
        </row>
        <row r="205">
          <cell r="A205">
            <v>1611200541</v>
          </cell>
          <cell r="B205" t="str">
            <v>מועצת הרשות-סלקום</v>
          </cell>
          <cell r="C205">
            <v>0</v>
          </cell>
          <cell r="D205">
            <v>1302.28</v>
          </cell>
          <cell r="E205">
            <v>0</v>
          </cell>
          <cell r="F205">
            <v>1302.28</v>
          </cell>
        </row>
        <row r="206">
          <cell r="A206">
            <v>1612000110</v>
          </cell>
          <cell r="B206" t="str">
            <v>שכר מבקר</v>
          </cell>
          <cell r="C206">
            <v>414395</v>
          </cell>
          <cell r="D206">
            <v>587182.97</v>
          </cell>
          <cell r="E206">
            <v>0</v>
          </cell>
          <cell r="F206">
            <v>587182.97</v>
          </cell>
        </row>
        <row r="207">
          <cell r="A207">
            <v>1612000470</v>
          </cell>
          <cell r="B207" t="str">
            <v>ציוד משרדי-מבקר</v>
          </cell>
          <cell r="C207">
            <v>2400</v>
          </cell>
          <cell r="D207">
            <v>0</v>
          </cell>
          <cell r="E207">
            <v>1740.5</v>
          </cell>
          <cell r="F207">
            <v>1740.5</v>
          </cell>
        </row>
        <row r="208">
          <cell r="A208">
            <v>1612000780</v>
          </cell>
          <cell r="B208" t="str">
            <v>הוצאות שונות-מבקר</v>
          </cell>
          <cell r="C208">
            <v>3000</v>
          </cell>
          <cell r="D208">
            <v>2939.41</v>
          </cell>
          <cell r="E208">
            <v>850</v>
          </cell>
          <cell r="F208">
            <v>3789.41</v>
          </cell>
        </row>
        <row r="209">
          <cell r="A209">
            <v>1613000110</v>
          </cell>
          <cell r="B209" t="str">
            <v>שכר מזכירות</v>
          </cell>
          <cell r="C209">
            <v>1321000</v>
          </cell>
          <cell r="D209">
            <v>1417709.96</v>
          </cell>
          <cell r="E209">
            <v>0</v>
          </cell>
          <cell r="F209">
            <v>1417709.96</v>
          </cell>
        </row>
        <row r="210">
          <cell r="A210">
            <v>1613000420</v>
          </cell>
          <cell r="B210" t="str">
            <v>תחזוקת מבנים</v>
          </cell>
          <cell r="C210">
            <v>15000</v>
          </cell>
          <cell r="D210">
            <v>4480</v>
          </cell>
          <cell r="E210">
            <v>0</v>
          </cell>
          <cell r="F210">
            <v>4480</v>
          </cell>
        </row>
        <row r="211">
          <cell r="A211">
            <v>1613000430</v>
          </cell>
          <cell r="B211" t="str">
            <v>מים</v>
          </cell>
          <cell r="C211">
            <v>100000</v>
          </cell>
          <cell r="D211">
            <v>60599.4</v>
          </cell>
          <cell r="E211">
            <v>0</v>
          </cell>
          <cell r="F211">
            <v>60599.4</v>
          </cell>
        </row>
        <row r="212">
          <cell r="A212">
            <v>1613000431</v>
          </cell>
          <cell r="B212" t="str">
            <v>חשמל בניין ראשי</v>
          </cell>
          <cell r="C212">
            <v>32000</v>
          </cell>
          <cell r="D212">
            <v>17623.96</v>
          </cell>
          <cell r="E212">
            <v>0</v>
          </cell>
          <cell r="F212">
            <v>17623.96</v>
          </cell>
        </row>
        <row r="213">
          <cell r="A213">
            <v>1613000450</v>
          </cell>
          <cell r="B213" t="str">
            <v>ריהוט ואחזקתו</v>
          </cell>
          <cell r="C213">
            <v>10000</v>
          </cell>
          <cell r="D213">
            <v>9743.7199999999993</v>
          </cell>
          <cell r="E213">
            <v>900</v>
          </cell>
          <cell r="F213">
            <v>10643.72</v>
          </cell>
        </row>
        <row r="214">
          <cell r="A214">
            <v>1613000470</v>
          </cell>
          <cell r="B214" t="str">
            <v>ציוד משרדי</v>
          </cell>
          <cell r="C214">
            <v>30000</v>
          </cell>
          <cell r="D214">
            <v>27395.01</v>
          </cell>
          <cell r="E214">
            <v>245.82</v>
          </cell>
          <cell r="F214">
            <v>27640.83</v>
          </cell>
        </row>
        <row r="215">
          <cell r="A215">
            <v>1613000475</v>
          </cell>
          <cell r="B215" t="str">
            <v>השכרת מכונות צילום</v>
          </cell>
          <cell r="C215">
            <v>40000</v>
          </cell>
          <cell r="D215">
            <v>46221.32</v>
          </cell>
          <cell r="E215">
            <v>0</v>
          </cell>
          <cell r="F215">
            <v>46221.32</v>
          </cell>
        </row>
        <row r="216">
          <cell r="A216">
            <v>1613000510</v>
          </cell>
          <cell r="B216" t="str">
            <v>אשל וכיבודים</v>
          </cell>
          <cell r="C216">
            <v>3500</v>
          </cell>
          <cell r="D216">
            <v>3050</v>
          </cell>
          <cell r="E216">
            <v>0</v>
          </cell>
          <cell r="F216">
            <v>3050</v>
          </cell>
        </row>
        <row r="217">
          <cell r="A217">
            <v>1613000521</v>
          </cell>
          <cell r="B217" t="str">
            <v>השתלמויות ותוכניות ארגוניות</v>
          </cell>
          <cell r="C217">
            <v>20000</v>
          </cell>
          <cell r="D217">
            <v>6000</v>
          </cell>
          <cell r="E217">
            <v>12661.4</v>
          </cell>
          <cell r="F217">
            <v>18661.400000000001</v>
          </cell>
        </row>
        <row r="218">
          <cell r="A218">
            <v>1613000523</v>
          </cell>
          <cell r="B218" t="str">
            <v>דמי חבר וכנסים</v>
          </cell>
          <cell r="C218">
            <v>10000</v>
          </cell>
          <cell r="D218">
            <v>1250</v>
          </cell>
          <cell r="E218">
            <v>2081.52</v>
          </cell>
          <cell r="F218">
            <v>3331.52</v>
          </cell>
        </row>
        <row r="219">
          <cell r="A219">
            <v>1613000525</v>
          </cell>
          <cell r="B219" t="str">
            <v>עמותת לקידום חברתי</v>
          </cell>
          <cell r="C219">
            <v>92000</v>
          </cell>
          <cell r="D219">
            <v>82327.86</v>
          </cell>
          <cell r="E219">
            <v>0</v>
          </cell>
          <cell r="F219">
            <v>82327.86</v>
          </cell>
        </row>
        <row r="220">
          <cell r="A220">
            <v>1613000540</v>
          </cell>
          <cell r="B220" t="str">
            <v>הוצאות תקשורת</v>
          </cell>
          <cell r="C220">
            <v>90000</v>
          </cell>
          <cell r="D220">
            <v>92867.55</v>
          </cell>
          <cell r="E220">
            <v>1478.15</v>
          </cell>
          <cell r="F220">
            <v>94345.7</v>
          </cell>
        </row>
        <row r="221">
          <cell r="A221">
            <v>1613000541</v>
          </cell>
          <cell r="B221" t="str">
            <v>סלקום</v>
          </cell>
          <cell r="C221">
            <v>6000</v>
          </cell>
          <cell r="D221">
            <v>0</v>
          </cell>
          <cell r="E221">
            <v>0</v>
          </cell>
          <cell r="F221">
            <v>0</v>
          </cell>
        </row>
        <row r="222">
          <cell r="A222">
            <v>1613000542</v>
          </cell>
          <cell r="B222" t="str">
            <v>שירותי מחשבים</v>
          </cell>
          <cell r="C222">
            <v>77500</v>
          </cell>
          <cell r="D222">
            <v>8584</v>
          </cell>
          <cell r="E222">
            <v>22373.759999999998</v>
          </cell>
          <cell r="F222">
            <v>30957.759999999998</v>
          </cell>
        </row>
        <row r="223">
          <cell r="A223">
            <v>1613000543</v>
          </cell>
          <cell r="B223" t="str">
            <v>הוצאות דואר וביול</v>
          </cell>
          <cell r="C223">
            <v>110000</v>
          </cell>
          <cell r="D223">
            <v>79982.94</v>
          </cell>
          <cell r="E223">
            <v>3350.8</v>
          </cell>
          <cell r="F223">
            <v>83333.740000000005</v>
          </cell>
        </row>
        <row r="224">
          <cell r="A224">
            <v>1613000544</v>
          </cell>
          <cell r="B224" t="str">
            <v>אינטרנט ושעוני נוכחות</v>
          </cell>
          <cell r="C224">
            <v>27000</v>
          </cell>
          <cell r="D224">
            <v>16053.9</v>
          </cell>
          <cell r="E224">
            <v>12955</v>
          </cell>
          <cell r="F224">
            <v>29008.9</v>
          </cell>
        </row>
        <row r="225">
          <cell r="A225">
            <v>1613000550</v>
          </cell>
          <cell r="B225" t="str">
            <v>פרסום מכרזים</v>
          </cell>
          <cell r="C225">
            <v>20000</v>
          </cell>
          <cell r="D225">
            <v>19432.349999999999</v>
          </cell>
          <cell r="E225">
            <v>2852</v>
          </cell>
          <cell r="F225">
            <v>22284.35</v>
          </cell>
        </row>
        <row r="226">
          <cell r="A226">
            <v>1613000560</v>
          </cell>
          <cell r="B226" t="str">
            <v>משרדיות</v>
          </cell>
          <cell r="C226">
            <v>1400</v>
          </cell>
          <cell r="D226">
            <v>0</v>
          </cell>
          <cell r="E226">
            <v>1085.5999999999999</v>
          </cell>
          <cell r="F226">
            <v>1085.5999999999999</v>
          </cell>
        </row>
        <row r="227">
          <cell r="A227">
            <v>1613000570</v>
          </cell>
          <cell r="B227" t="str">
            <v>מיכון אוטומציה</v>
          </cell>
          <cell r="C227">
            <v>300000</v>
          </cell>
          <cell r="D227">
            <v>194822.38</v>
          </cell>
          <cell r="E227">
            <v>1486.8</v>
          </cell>
          <cell r="F227">
            <v>196309.18</v>
          </cell>
        </row>
        <row r="228">
          <cell r="A228">
            <v>1613000720</v>
          </cell>
          <cell r="B228" t="str">
            <v>חומרים</v>
          </cell>
          <cell r="C228">
            <v>8000</v>
          </cell>
          <cell r="D228">
            <v>7774.2</v>
          </cell>
          <cell r="E228">
            <v>651</v>
          </cell>
          <cell r="F228">
            <v>8425.2000000000007</v>
          </cell>
        </row>
        <row r="229">
          <cell r="A229">
            <v>1613000760</v>
          </cell>
          <cell r="B229" t="str">
            <v>השתתפות בתקציב ועד עובדים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>
            <v>1613000770</v>
          </cell>
          <cell r="B230" t="str">
            <v>טקסים ואירועים</v>
          </cell>
          <cell r="C230">
            <v>20000</v>
          </cell>
          <cell r="D230">
            <v>10779.14</v>
          </cell>
          <cell r="E230">
            <v>9125</v>
          </cell>
          <cell r="F230">
            <v>19904.14</v>
          </cell>
        </row>
        <row r="231">
          <cell r="A231">
            <v>1613001523</v>
          </cell>
          <cell r="B231" t="str">
            <v>דמי חבר -קידום מקצועי וחברתי</v>
          </cell>
          <cell r="C231">
            <v>0</v>
          </cell>
          <cell r="D231">
            <v>12013.5</v>
          </cell>
          <cell r="E231">
            <v>0</v>
          </cell>
          <cell r="F231">
            <v>12013.5</v>
          </cell>
        </row>
        <row r="232">
          <cell r="A232">
            <v>1613001541</v>
          </cell>
          <cell r="B232" t="str">
            <v>סלקום - עובדים</v>
          </cell>
          <cell r="C232">
            <v>0</v>
          </cell>
          <cell r="D232">
            <v>26886.880000000001</v>
          </cell>
          <cell r="E232">
            <v>0</v>
          </cell>
          <cell r="F232">
            <v>26886.880000000001</v>
          </cell>
        </row>
        <row r="233">
          <cell r="A233">
            <v>1613002523</v>
          </cell>
          <cell r="B233" t="str">
            <v>דמי חבר-קרן רווחת עובדי הרשות</v>
          </cell>
          <cell r="C233">
            <v>0</v>
          </cell>
          <cell r="D233">
            <v>9628</v>
          </cell>
          <cell r="E233">
            <v>0</v>
          </cell>
          <cell r="F233">
            <v>9628</v>
          </cell>
        </row>
        <row r="234">
          <cell r="A234">
            <v>1614000410</v>
          </cell>
          <cell r="B234" t="str">
            <v>שכירות שירותים ציבוריים</v>
          </cell>
          <cell r="C234">
            <v>18000</v>
          </cell>
          <cell r="D234">
            <v>0</v>
          </cell>
          <cell r="E234">
            <v>0</v>
          </cell>
          <cell r="F234">
            <v>0</v>
          </cell>
        </row>
        <row r="235">
          <cell r="A235">
            <v>1614000435</v>
          </cell>
          <cell r="B235" t="str">
            <v>צריכת מים שירותים ציבוריים</v>
          </cell>
          <cell r="C235">
            <v>7800</v>
          </cell>
          <cell r="D235">
            <v>7450.3</v>
          </cell>
          <cell r="E235">
            <v>0</v>
          </cell>
          <cell r="F235">
            <v>7450.3</v>
          </cell>
        </row>
        <row r="236">
          <cell r="A236">
            <v>1614000720</v>
          </cell>
          <cell r="B236" t="str">
            <v>חומרי לשירותים ציבוריים</v>
          </cell>
          <cell r="C236">
            <v>3000</v>
          </cell>
          <cell r="D236">
            <v>0</v>
          </cell>
          <cell r="E236">
            <v>500</v>
          </cell>
          <cell r="F236">
            <v>500</v>
          </cell>
        </row>
        <row r="237">
          <cell r="A237">
            <v>1617000581</v>
          </cell>
          <cell r="B237" t="str">
            <v>הוצאות משפטיות-אגרות</v>
          </cell>
          <cell r="C237">
            <v>20000</v>
          </cell>
          <cell r="D237">
            <v>6584</v>
          </cell>
          <cell r="E237">
            <v>0</v>
          </cell>
          <cell r="F237">
            <v>6584</v>
          </cell>
        </row>
        <row r="238">
          <cell r="A238">
            <v>1617000750</v>
          </cell>
          <cell r="B238" t="str">
            <v>משפטיות</v>
          </cell>
          <cell r="C238">
            <v>350000</v>
          </cell>
          <cell r="D238">
            <v>406787.59</v>
          </cell>
          <cell r="E238">
            <v>0</v>
          </cell>
          <cell r="F238">
            <v>406787.59</v>
          </cell>
        </row>
        <row r="239">
          <cell r="A239">
            <v>1617000751</v>
          </cell>
          <cell r="B239" t="str">
            <v>הוצאות משפטיות</v>
          </cell>
          <cell r="C239">
            <v>0</v>
          </cell>
          <cell r="D239">
            <v>38923</v>
          </cell>
          <cell r="E239">
            <v>0</v>
          </cell>
          <cell r="F239">
            <v>38923</v>
          </cell>
        </row>
        <row r="240">
          <cell r="A240">
            <v>1617100750</v>
          </cell>
          <cell r="B240" t="str">
            <v>משפטיות כ"א</v>
          </cell>
          <cell r="C240">
            <v>0</v>
          </cell>
          <cell r="D240">
            <v>5100</v>
          </cell>
          <cell r="E240">
            <v>0</v>
          </cell>
          <cell r="F240">
            <v>5100</v>
          </cell>
        </row>
        <row r="241">
          <cell r="A241">
            <v>1619000780</v>
          </cell>
          <cell r="B241" t="str">
            <v>בחירות-שכר ופרסומים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1621000110</v>
          </cell>
          <cell r="B242" t="str">
            <v>שכר גזברות</v>
          </cell>
          <cell r="C242">
            <v>1164000</v>
          </cell>
          <cell r="D242">
            <v>1277525.5900000001</v>
          </cell>
          <cell r="E242">
            <v>0</v>
          </cell>
          <cell r="F242">
            <v>1277525.5900000001</v>
          </cell>
        </row>
        <row r="243">
          <cell r="A243">
            <v>1621000450</v>
          </cell>
          <cell r="B243" t="str">
            <v>גזברות ריהוט ואחזקתו</v>
          </cell>
          <cell r="C243">
            <v>3000</v>
          </cell>
          <cell r="D243">
            <v>0</v>
          </cell>
          <cell r="E243">
            <v>280</v>
          </cell>
          <cell r="F243">
            <v>280</v>
          </cell>
        </row>
        <row r="244">
          <cell r="A244">
            <v>1621000470</v>
          </cell>
          <cell r="B244" t="str">
            <v>גזברות-ציוד משרדי</v>
          </cell>
          <cell r="C244">
            <v>3000</v>
          </cell>
          <cell r="D244">
            <v>477.2</v>
          </cell>
          <cell r="E244">
            <v>2348.65</v>
          </cell>
          <cell r="F244">
            <v>2825.85</v>
          </cell>
        </row>
        <row r="245">
          <cell r="A245">
            <v>1621000510</v>
          </cell>
          <cell r="B245" t="str">
            <v>כיבודים</v>
          </cell>
          <cell r="C245">
            <v>3000</v>
          </cell>
          <cell r="D245">
            <v>2719.96</v>
          </cell>
          <cell r="E245">
            <v>300</v>
          </cell>
          <cell r="F245">
            <v>3019.96</v>
          </cell>
        </row>
        <row r="246">
          <cell r="A246">
            <v>1621000521</v>
          </cell>
          <cell r="B246" t="str">
            <v>השתלמויות</v>
          </cell>
          <cell r="C246">
            <v>10000</v>
          </cell>
          <cell r="D246">
            <v>15463.5</v>
          </cell>
          <cell r="E246">
            <v>0</v>
          </cell>
          <cell r="F246">
            <v>15463.5</v>
          </cell>
        </row>
        <row r="247">
          <cell r="A247">
            <v>1621000523</v>
          </cell>
          <cell r="B247" t="str">
            <v>דמי חבר</v>
          </cell>
          <cell r="C247">
            <v>5000</v>
          </cell>
          <cell r="D247">
            <v>3000</v>
          </cell>
          <cell r="E247">
            <v>0</v>
          </cell>
          <cell r="F247">
            <v>3000</v>
          </cell>
        </row>
        <row r="248">
          <cell r="A248">
            <v>1621000750</v>
          </cell>
          <cell r="B248" t="str">
            <v>קבלניות</v>
          </cell>
          <cell r="C248">
            <v>260000</v>
          </cell>
          <cell r="D248">
            <v>108981</v>
          </cell>
          <cell r="E248">
            <v>52392</v>
          </cell>
          <cell r="F248">
            <v>161373</v>
          </cell>
        </row>
        <row r="249">
          <cell r="A249">
            <v>1623000110</v>
          </cell>
          <cell r="B249" t="str">
            <v>שכר גבייה</v>
          </cell>
          <cell r="C249">
            <v>629000</v>
          </cell>
          <cell r="D249">
            <v>563343.25</v>
          </cell>
          <cell r="E249">
            <v>0</v>
          </cell>
          <cell r="F249">
            <v>563343.25</v>
          </cell>
        </row>
        <row r="250">
          <cell r="A250">
            <v>1623000410</v>
          </cell>
          <cell r="B250" t="str">
            <v>גביה שכר דירה</v>
          </cell>
          <cell r="C250">
            <v>66000</v>
          </cell>
          <cell r="D250">
            <v>66000</v>
          </cell>
          <cell r="E250">
            <v>0</v>
          </cell>
          <cell r="F250">
            <v>66000</v>
          </cell>
        </row>
        <row r="251">
          <cell r="A251">
            <v>1623000430</v>
          </cell>
          <cell r="B251" t="str">
            <v>גביה חשמל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1623000470</v>
          </cell>
          <cell r="B252" t="str">
            <v>גביה-ציוד משרדי</v>
          </cell>
          <cell r="C252">
            <v>5000</v>
          </cell>
          <cell r="D252">
            <v>6134.06</v>
          </cell>
          <cell r="E252">
            <v>4071</v>
          </cell>
          <cell r="F252">
            <v>10205.06</v>
          </cell>
        </row>
        <row r="253">
          <cell r="A253">
            <v>1623000540</v>
          </cell>
          <cell r="B253" t="str">
            <v>גביה תקשורת</v>
          </cell>
          <cell r="C253">
            <v>5000</v>
          </cell>
          <cell r="D253">
            <v>6684.69</v>
          </cell>
          <cell r="E253">
            <v>0</v>
          </cell>
          <cell r="F253">
            <v>6684.69</v>
          </cell>
        </row>
        <row r="254">
          <cell r="A254">
            <v>1623000720</v>
          </cell>
          <cell r="B254" t="str">
            <v>חומרים - גבייה</v>
          </cell>
          <cell r="C254">
            <v>4000</v>
          </cell>
          <cell r="D254">
            <v>0</v>
          </cell>
          <cell r="E254">
            <v>3421.19</v>
          </cell>
          <cell r="F254">
            <v>3421.19</v>
          </cell>
        </row>
        <row r="255">
          <cell r="A255">
            <v>1623000750</v>
          </cell>
          <cell r="B255" t="str">
            <v>גביה קבלניות</v>
          </cell>
          <cell r="C255">
            <v>500000</v>
          </cell>
          <cell r="D255">
            <v>445964.95</v>
          </cell>
          <cell r="E255">
            <v>9682.3700000000008</v>
          </cell>
          <cell r="F255">
            <v>455647.32</v>
          </cell>
        </row>
        <row r="256">
          <cell r="A256">
            <v>1623000780</v>
          </cell>
          <cell r="B256" t="str">
            <v>גביה הוצ' שונות</v>
          </cell>
          <cell r="C256">
            <v>0</v>
          </cell>
          <cell r="D256">
            <v>195.45</v>
          </cell>
          <cell r="E256">
            <v>0</v>
          </cell>
          <cell r="F256">
            <v>195.45</v>
          </cell>
        </row>
        <row r="257">
          <cell r="A257">
            <v>1631000610</v>
          </cell>
          <cell r="B257" t="str">
            <v>עמלות</v>
          </cell>
          <cell r="C257">
            <v>350000</v>
          </cell>
          <cell r="D257">
            <v>377061.77</v>
          </cell>
          <cell r="E257">
            <v>0</v>
          </cell>
          <cell r="F257">
            <v>377061.77</v>
          </cell>
        </row>
        <row r="258">
          <cell r="A258">
            <v>1631000611</v>
          </cell>
          <cell r="B258" t="str">
            <v>מע"מ עמלות בנק דואר</v>
          </cell>
          <cell r="C258">
            <v>0</v>
          </cell>
          <cell r="D258">
            <v>271.16000000000003</v>
          </cell>
          <cell r="E258">
            <v>0</v>
          </cell>
          <cell r="F258">
            <v>271.16000000000003</v>
          </cell>
        </row>
        <row r="259">
          <cell r="A259">
            <v>1631000650</v>
          </cell>
          <cell r="B259" t="str">
            <v>רבית הו"צ מימון-ספקים</v>
          </cell>
          <cell r="C259">
            <v>2340000</v>
          </cell>
          <cell r="D259">
            <v>3694367.1</v>
          </cell>
          <cell r="E259">
            <v>0</v>
          </cell>
          <cell r="F259">
            <v>3694367.1</v>
          </cell>
        </row>
        <row r="260">
          <cell r="A260">
            <v>1631100610</v>
          </cell>
          <cell r="B260" t="str">
            <v>עמלות עיקולים</v>
          </cell>
          <cell r="C260">
            <v>40000</v>
          </cell>
          <cell r="D260">
            <v>19911.259999999998</v>
          </cell>
          <cell r="E260">
            <v>0</v>
          </cell>
          <cell r="F260">
            <v>19911.259999999998</v>
          </cell>
        </row>
        <row r="261">
          <cell r="A261">
            <v>1632000610</v>
          </cell>
          <cell r="B261" t="str">
            <v>ריבית חובה עו"ש</v>
          </cell>
          <cell r="C261">
            <v>30000</v>
          </cell>
          <cell r="D261">
            <v>95912.639999999999</v>
          </cell>
          <cell r="E261">
            <v>0</v>
          </cell>
          <cell r="F261">
            <v>95912.639999999999</v>
          </cell>
        </row>
        <row r="262">
          <cell r="A262">
            <v>1632000620</v>
          </cell>
          <cell r="B262" t="str">
            <v>רבית משיכת יתר-בנקים</v>
          </cell>
          <cell r="C262">
            <v>120000</v>
          </cell>
          <cell r="D262">
            <v>128272.87</v>
          </cell>
          <cell r="E262">
            <v>0</v>
          </cell>
          <cell r="F262">
            <v>128272.87</v>
          </cell>
        </row>
        <row r="263">
          <cell r="A263">
            <v>1649100691</v>
          </cell>
          <cell r="B263" t="str">
            <v>מלוות קרן</v>
          </cell>
          <cell r="C263">
            <v>1502000</v>
          </cell>
          <cell r="D263">
            <v>1598296.53</v>
          </cell>
          <cell r="E263">
            <v>0</v>
          </cell>
          <cell r="F263">
            <v>1598296.53</v>
          </cell>
        </row>
        <row r="264">
          <cell r="A264">
            <v>1649100692</v>
          </cell>
          <cell r="B264" t="str">
            <v>מלוות ריבית</v>
          </cell>
          <cell r="C264">
            <v>630000</v>
          </cell>
          <cell r="D264">
            <v>689339.75</v>
          </cell>
          <cell r="E264">
            <v>0</v>
          </cell>
          <cell r="F264">
            <v>689339.75</v>
          </cell>
        </row>
        <row r="265">
          <cell r="A265">
            <v>1649100693</v>
          </cell>
          <cell r="B265" t="str">
            <v>מלוות הצמדה</v>
          </cell>
          <cell r="C265">
            <v>195000</v>
          </cell>
          <cell r="D265">
            <v>177837.98</v>
          </cell>
          <cell r="E265">
            <v>0</v>
          </cell>
          <cell r="F265">
            <v>177837.98</v>
          </cell>
        </row>
        <row r="266">
          <cell r="A266">
            <v>1711000735</v>
          </cell>
          <cell r="B266" t="str">
            <v>תברואה-שכירות רכב</v>
          </cell>
          <cell r="C266">
            <v>65000</v>
          </cell>
          <cell r="D266">
            <v>58331.96</v>
          </cell>
          <cell r="E266">
            <v>0</v>
          </cell>
          <cell r="F266">
            <v>58331.96</v>
          </cell>
        </row>
        <row r="267">
          <cell r="A267">
            <v>1711100110</v>
          </cell>
          <cell r="B267" t="str">
            <v>שכר תברואה</v>
          </cell>
          <cell r="C267">
            <v>210000</v>
          </cell>
          <cell r="D267">
            <v>403122</v>
          </cell>
          <cell r="E267">
            <v>0</v>
          </cell>
          <cell r="F267">
            <v>403122</v>
          </cell>
        </row>
        <row r="268">
          <cell r="A268">
            <v>1712200730</v>
          </cell>
          <cell r="B268" t="str">
            <v>אחזקה ודלק</v>
          </cell>
          <cell r="C268">
            <v>36000</v>
          </cell>
          <cell r="D268">
            <v>24504.39</v>
          </cell>
          <cell r="E268">
            <v>0</v>
          </cell>
          <cell r="F268">
            <v>24504.39</v>
          </cell>
        </row>
        <row r="269">
          <cell r="A269">
            <v>1712200750</v>
          </cell>
          <cell r="B269" t="str">
            <v>ניקוי רחובות</v>
          </cell>
          <cell r="C269">
            <v>49413</v>
          </cell>
          <cell r="D269">
            <v>44809.21</v>
          </cell>
          <cell r="E269">
            <v>0</v>
          </cell>
          <cell r="F269">
            <v>44809.21</v>
          </cell>
        </row>
        <row r="270">
          <cell r="A270">
            <v>1712300720</v>
          </cell>
          <cell r="B270" t="str">
            <v>חומרים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>
            <v>1712300750</v>
          </cell>
          <cell r="B271" t="str">
            <v>קבלניות אשפה</v>
          </cell>
          <cell r="C271">
            <v>4760000</v>
          </cell>
          <cell r="D271">
            <v>4413456.21</v>
          </cell>
          <cell r="E271">
            <v>184150.8</v>
          </cell>
          <cell r="F271">
            <v>4597607.01</v>
          </cell>
        </row>
        <row r="272">
          <cell r="A272">
            <v>1712300930</v>
          </cell>
          <cell r="B272" t="str">
            <v>כלי אצירה</v>
          </cell>
          <cell r="C272">
            <v>50000</v>
          </cell>
          <cell r="D272">
            <v>0</v>
          </cell>
          <cell r="E272">
            <v>32190.400000000001</v>
          </cell>
          <cell r="F272">
            <v>32190.400000000001</v>
          </cell>
        </row>
        <row r="273">
          <cell r="A273">
            <v>1713000410</v>
          </cell>
          <cell r="B273" t="str">
            <v>דמי חכירה- קרקע תחנת מעבר</v>
          </cell>
          <cell r="C273">
            <v>60500</v>
          </cell>
          <cell r="D273">
            <v>64900</v>
          </cell>
          <cell r="E273">
            <v>0</v>
          </cell>
          <cell r="F273">
            <v>64900</v>
          </cell>
        </row>
        <row r="274">
          <cell r="A274">
            <v>1713300750</v>
          </cell>
          <cell r="B274" t="str">
            <v>רישוי עסקים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A275">
            <v>1714300720</v>
          </cell>
          <cell r="B275" t="str">
            <v>מלחמה בכלבת</v>
          </cell>
          <cell r="C275">
            <v>5000</v>
          </cell>
          <cell r="D275">
            <v>6728</v>
          </cell>
          <cell r="E275">
            <v>0</v>
          </cell>
          <cell r="F275">
            <v>6728</v>
          </cell>
        </row>
        <row r="276">
          <cell r="A276">
            <v>1714300721</v>
          </cell>
          <cell r="B276" t="str">
            <v>קבלניות וטרינר</v>
          </cell>
          <cell r="C276">
            <v>100000</v>
          </cell>
          <cell r="D276">
            <v>54604.4</v>
          </cell>
          <cell r="E276">
            <v>35650.58</v>
          </cell>
          <cell r="F276">
            <v>90254.98</v>
          </cell>
        </row>
        <row r="277">
          <cell r="A277">
            <v>1715300750</v>
          </cell>
          <cell r="B277" t="str">
            <v>קבלניות הדברה</v>
          </cell>
          <cell r="C277">
            <v>50000</v>
          </cell>
          <cell r="D277">
            <v>28894</v>
          </cell>
          <cell r="E277">
            <v>15340</v>
          </cell>
          <cell r="F277">
            <v>44234</v>
          </cell>
        </row>
        <row r="278">
          <cell r="A278">
            <v>1720000410</v>
          </cell>
          <cell r="B278" t="str">
            <v>שכירות מרכז צעירים</v>
          </cell>
          <cell r="C278">
            <v>36000</v>
          </cell>
          <cell r="D278">
            <v>44500</v>
          </cell>
          <cell r="E278">
            <v>0</v>
          </cell>
          <cell r="F278">
            <v>44500</v>
          </cell>
        </row>
        <row r="279">
          <cell r="A279">
            <v>1720000431</v>
          </cell>
          <cell r="B279" t="str">
            <v>חשמל ומים מרכז צעירים</v>
          </cell>
          <cell r="C279">
            <v>5000</v>
          </cell>
          <cell r="D279">
            <v>238.39</v>
          </cell>
          <cell r="E279">
            <v>0</v>
          </cell>
          <cell r="F279">
            <v>238.39</v>
          </cell>
        </row>
        <row r="280">
          <cell r="A280">
            <v>1721000110</v>
          </cell>
          <cell r="B280" t="str">
            <v>שכר שמירה וביטחון</v>
          </cell>
          <cell r="C280">
            <v>220000</v>
          </cell>
          <cell r="D280">
            <v>232178.78</v>
          </cell>
          <cell r="E280">
            <v>0</v>
          </cell>
          <cell r="F280">
            <v>232178.78</v>
          </cell>
        </row>
        <row r="281">
          <cell r="A281">
            <v>1721000470</v>
          </cell>
          <cell r="B281" t="str">
            <v>ציוד משרדי</v>
          </cell>
          <cell r="C281">
            <v>1000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1721000540</v>
          </cell>
          <cell r="B282" t="str">
            <v>משמר אזרחי-תקשורת</v>
          </cell>
          <cell r="C282">
            <v>4000</v>
          </cell>
          <cell r="D282">
            <v>9273.57</v>
          </cell>
          <cell r="E282">
            <v>0</v>
          </cell>
          <cell r="F282">
            <v>9273.57</v>
          </cell>
        </row>
        <row r="283">
          <cell r="A283">
            <v>1721000541</v>
          </cell>
          <cell r="B283" t="str">
            <v>מח' שמירה ובטחון-סלקום</v>
          </cell>
          <cell r="C283">
            <v>11000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>
            <v>1721000730</v>
          </cell>
          <cell r="B284" t="str">
            <v>תחזוקת קטנוע</v>
          </cell>
          <cell r="C284">
            <v>8000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>
            <v>1721000731</v>
          </cell>
          <cell r="B285" t="str">
            <v>דלק רכב - קב"ט</v>
          </cell>
          <cell r="C285">
            <v>14400</v>
          </cell>
          <cell r="D285">
            <v>14219.44</v>
          </cell>
          <cell r="E285">
            <v>0</v>
          </cell>
          <cell r="F285">
            <v>14219.44</v>
          </cell>
        </row>
        <row r="286">
          <cell r="A286">
            <v>1721000735</v>
          </cell>
          <cell r="B286" t="str">
            <v>שכירות רכב קב"ט</v>
          </cell>
          <cell r="C286">
            <v>30000</v>
          </cell>
          <cell r="D286">
            <v>26840</v>
          </cell>
          <cell r="E286">
            <v>0</v>
          </cell>
          <cell r="F286">
            <v>26840</v>
          </cell>
        </row>
        <row r="287">
          <cell r="A287">
            <v>1721000750</v>
          </cell>
          <cell r="B287" t="str">
            <v>שמירה עמדה דרומית</v>
          </cell>
          <cell r="C287">
            <v>0</v>
          </cell>
          <cell r="D287">
            <v>1087.52</v>
          </cell>
          <cell r="E287">
            <v>0</v>
          </cell>
          <cell r="F287">
            <v>1087.52</v>
          </cell>
        </row>
        <row r="288">
          <cell r="A288">
            <v>1721000780</v>
          </cell>
          <cell r="B288" t="str">
            <v>חומרים</v>
          </cell>
          <cell r="C288">
            <v>1000</v>
          </cell>
          <cell r="D288">
            <v>0</v>
          </cell>
          <cell r="E288">
            <v>250</v>
          </cell>
          <cell r="F288">
            <v>250</v>
          </cell>
        </row>
        <row r="289">
          <cell r="A289">
            <v>1723000523</v>
          </cell>
          <cell r="B289" t="str">
            <v>דמי חבר קב"ט</v>
          </cell>
          <cell r="C289">
            <v>0</v>
          </cell>
          <cell r="D289">
            <v>495</v>
          </cell>
          <cell r="E289">
            <v>0</v>
          </cell>
          <cell r="F289">
            <v>495</v>
          </cell>
        </row>
        <row r="290">
          <cell r="A290">
            <v>1723000541</v>
          </cell>
          <cell r="B290" t="str">
            <v>מירס -הג"א</v>
          </cell>
          <cell r="C290">
            <v>0</v>
          </cell>
          <cell r="D290">
            <v>10384.48</v>
          </cell>
          <cell r="E290">
            <v>0</v>
          </cell>
          <cell r="F290">
            <v>10384.48</v>
          </cell>
        </row>
        <row r="291">
          <cell r="A291">
            <v>1723000735</v>
          </cell>
          <cell r="B291" t="str">
            <v>שכירות רכב קב"ט</v>
          </cell>
          <cell r="C291">
            <v>0</v>
          </cell>
          <cell r="D291">
            <v>2542</v>
          </cell>
          <cell r="E291">
            <v>0</v>
          </cell>
          <cell r="F291">
            <v>2542</v>
          </cell>
        </row>
        <row r="292">
          <cell r="A292">
            <v>1723000830</v>
          </cell>
          <cell r="B292" t="str">
            <v>הג"א שעת חירום</v>
          </cell>
          <cell r="C292">
            <v>56969</v>
          </cell>
          <cell r="D292">
            <v>28875.56</v>
          </cell>
          <cell r="E292">
            <v>25189.3</v>
          </cell>
          <cell r="F292">
            <v>54064.86</v>
          </cell>
        </row>
        <row r="293">
          <cell r="A293">
            <v>1723100830</v>
          </cell>
          <cell r="B293" t="str">
            <v>הג"א כלל ארצי</v>
          </cell>
          <cell r="C293">
            <v>95936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1724000830</v>
          </cell>
          <cell r="B294" t="str">
            <v>כיבוי אש השתתפויות</v>
          </cell>
          <cell r="C294">
            <v>297319</v>
          </cell>
          <cell r="D294">
            <v>320444</v>
          </cell>
          <cell r="E294">
            <v>0</v>
          </cell>
          <cell r="F294">
            <v>320444</v>
          </cell>
        </row>
        <row r="295">
          <cell r="A295">
            <v>1726200810</v>
          </cell>
          <cell r="B295" t="str">
            <v>הוצאות בטחון שונות</v>
          </cell>
          <cell r="C295">
            <v>4000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>
            <v>1731000110</v>
          </cell>
          <cell r="B296" t="str">
            <v>שכר הנדסה</v>
          </cell>
          <cell r="C296">
            <v>1052000</v>
          </cell>
          <cell r="D296">
            <v>861088.29</v>
          </cell>
          <cell r="E296">
            <v>0</v>
          </cell>
          <cell r="F296">
            <v>861088.29</v>
          </cell>
        </row>
        <row r="297">
          <cell r="A297">
            <v>1731000410</v>
          </cell>
          <cell r="B297" t="str">
            <v>שכ"ד מחלקת הנדסה</v>
          </cell>
          <cell r="C297">
            <v>26400</v>
          </cell>
          <cell r="D297">
            <v>16800</v>
          </cell>
          <cell r="E297">
            <v>0</v>
          </cell>
          <cell r="F297">
            <v>16800</v>
          </cell>
        </row>
        <row r="298">
          <cell r="A298">
            <v>1731000541</v>
          </cell>
          <cell r="B298" t="str">
            <v>הנדסה - השתלמיות ומשרדיות</v>
          </cell>
          <cell r="C298">
            <v>11000</v>
          </cell>
          <cell r="D298">
            <v>13855.64</v>
          </cell>
          <cell r="E298">
            <v>0</v>
          </cell>
          <cell r="F298">
            <v>13855.64</v>
          </cell>
        </row>
        <row r="299">
          <cell r="A299">
            <v>1731000750</v>
          </cell>
          <cell r="B299" t="str">
            <v>קבלניות-תכנון פרוייקטים</v>
          </cell>
          <cell r="C299">
            <v>26000</v>
          </cell>
          <cell r="D299">
            <v>9466.42</v>
          </cell>
          <cell r="E299">
            <v>795</v>
          </cell>
          <cell r="F299">
            <v>10261.42</v>
          </cell>
        </row>
        <row r="300">
          <cell r="A300">
            <v>1733100830</v>
          </cell>
          <cell r="B300" t="str">
            <v>רכס הכרמל -פעולות כלליות</v>
          </cell>
          <cell r="C300">
            <v>2879000</v>
          </cell>
          <cell r="D300">
            <v>1684334</v>
          </cell>
          <cell r="E300">
            <v>0</v>
          </cell>
          <cell r="F300">
            <v>1684334</v>
          </cell>
        </row>
        <row r="301">
          <cell r="A301">
            <v>1742000780</v>
          </cell>
          <cell r="B301" t="str">
            <v>הוצאות בלתי צפויות</v>
          </cell>
          <cell r="C301">
            <v>104987</v>
          </cell>
          <cell r="D301">
            <v>81833</v>
          </cell>
          <cell r="E301">
            <v>14160</v>
          </cell>
          <cell r="F301">
            <v>95993</v>
          </cell>
        </row>
        <row r="302">
          <cell r="A302">
            <v>1742200110</v>
          </cell>
          <cell r="B302" t="str">
            <v>שכר מח' אחזקת נכסים</v>
          </cell>
          <cell r="C302">
            <v>480500</v>
          </cell>
          <cell r="D302">
            <v>516796.44</v>
          </cell>
          <cell r="E302">
            <v>0</v>
          </cell>
          <cell r="F302">
            <v>516796.44</v>
          </cell>
        </row>
        <row r="303">
          <cell r="A303">
            <v>1742200720</v>
          </cell>
          <cell r="B303" t="str">
            <v>כבישים חמרים</v>
          </cell>
          <cell r="C303">
            <v>10000</v>
          </cell>
          <cell r="D303">
            <v>10000</v>
          </cell>
          <cell r="E303">
            <v>0</v>
          </cell>
          <cell r="F303">
            <v>10000</v>
          </cell>
        </row>
        <row r="304">
          <cell r="A304">
            <v>1742200750</v>
          </cell>
          <cell r="B304" t="str">
            <v>כבישים קבלניות</v>
          </cell>
          <cell r="C304">
            <v>262575</v>
          </cell>
          <cell r="D304">
            <v>87843.49</v>
          </cell>
          <cell r="E304">
            <v>170309.41</v>
          </cell>
          <cell r="F304">
            <v>258152.9</v>
          </cell>
        </row>
        <row r="305">
          <cell r="A305">
            <v>1742200780</v>
          </cell>
          <cell r="B305" t="str">
            <v>כבישים שונות</v>
          </cell>
          <cell r="C305">
            <v>800</v>
          </cell>
          <cell r="D305">
            <v>800</v>
          </cell>
          <cell r="E305">
            <v>0</v>
          </cell>
          <cell r="F305">
            <v>800</v>
          </cell>
        </row>
        <row r="306">
          <cell r="A306">
            <v>1743000432</v>
          </cell>
          <cell r="B306" t="str">
            <v>מים לגנים</v>
          </cell>
          <cell r="C306">
            <v>115000</v>
          </cell>
          <cell r="D306">
            <v>87597.9</v>
          </cell>
          <cell r="E306">
            <v>0</v>
          </cell>
          <cell r="F306">
            <v>87597.9</v>
          </cell>
        </row>
        <row r="307">
          <cell r="A307">
            <v>1743000770</v>
          </cell>
          <cell r="B307" t="str">
            <v>תאורת רחובות</v>
          </cell>
          <cell r="C307">
            <v>650000</v>
          </cell>
          <cell r="D307">
            <v>994811.11</v>
          </cell>
          <cell r="E307">
            <v>0</v>
          </cell>
          <cell r="F307">
            <v>994811.11</v>
          </cell>
        </row>
        <row r="308">
          <cell r="A308">
            <v>1743100750</v>
          </cell>
          <cell r="B308" t="str">
            <v>קבלניות ואחזקת חשמל</v>
          </cell>
          <cell r="C308">
            <v>120000</v>
          </cell>
          <cell r="D308">
            <v>75556.399999999994</v>
          </cell>
          <cell r="E308">
            <v>2832</v>
          </cell>
          <cell r="F308">
            <v>78388.399999999994</v>
          </cell>
        </row>
        <row r="309">
          <cell r="A309">
            <v>1744000720</v>
          </cell>
          <cell r="B309" t="str">
            <v>בטיחות בדרכים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>
            <v>1745000810</v>
          </cell>
          <cell r="B310" t="str">
            <v>רשות ניקוז-השתתפות</v>
          </cell>
          <cell r="C310">
            <v>124000</v>
          </cell>
          <cell r="D310">
            <v>124000</v>
          </cell>
          <cell r="E310">
            <v>0</v>
          </cell>
          <cell r="F310">
            <v>124000</v>
          </cell>
        </row>
        <row r="311">
          <cell r="A311">
            <v>1746000750</v>
          </cell>
          <cell r="B311" t="str">
            <v>קבלניות - שדרה ראשית ושצ"פ</v>
          </cell>
          <cell r="C311">
            <v>16000</v>
          </cell>
          <cell r="D311">
            <v>12489</v>
          </cell>
          <cell r="E311">
            <v>1098</v>
          </cell>
          <cell r="F311">
            <v>13587</v>
          </cell>
        </row>
        <row r="312">
          <cell r="A312">
            <v>1748000430</v>
          </cell>
          <cell r="B312" t="str">
            <v>בתי קברות חשמל ומים</v>
          </cell>
          <cell r="C312">
            <v>0</v>
          </cell>
          <cell r="D312">
            <v>335.14</v>
          </cell>
          <cell r="E312">
            <v>0</v>
          </cell>
          <cell r="F312">
            <v>335.14</v>
          </cell>
        </row>
        <row r="313">
          <cell r="A313">
            <v>1748000432</v>
          </cell>
          <cell r="B313" t="str">
            <v>בתי קברות מים</v>
          </cell>
          <cell r="C313">
            <v>8600</v>
          </cell>
          <cell r="D313">
            <v>9443.9</v>
          </cell>
          <cell r="E313">
            <v>0</v>
          </cell>
          <cell r="F313">
            <v>9443.9</v>
          </cell>
        </row>
        <row r="314">
          <cell r="A314">
            <v>1748000720</v>
          </cell>
          <cell r="B314" t="str">
            <v>בית קברות חומרים</v>
          </cell>
          <cell r="C314">
            <v>2000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1767000440</v>
          </cell>
          <cell r="B315" t="str">
            <v>ביטוחים</v>
          </cell>
          <cell r="C315">
            <v>670000</v>
          </cell>
          <cell r="D315">
            <v>916210</v>
          </cell>
          <cell r="E315">
            <v>2950</v>
          </cell>
          <cell r="F315">
            <v>919160</v>
          </cell>
        </row>
        <row r="316">
          <cell r="A316">
            <v>1769000110</v>
          </cell>
          <cell r="B316" t="str">
            <v>רכז הכוונת חיילים משוחררים</v>
          </cell>
          <cell r="C316">
            <v>45000</v>
          </cell>
          <cell r="D316">
            <v>3159.83</v>
          </cell>
          <cell r="E316">
            <v>0</v>
          </cell>
          <cell r="F316">
            <v>3159.83</v>
          </cell>
        </row>
        <row r="317">
          <cell r="A317">
            <v>1781000110</v>
          </cell>
          <cell r="B317" t="str">
            <v>פקחי רישוי-שכר</v>
          </cell>
          <cell r="C317">
            <v>0</v>
          </cell>
          <cell r="D317">
            <v>24437.8</v>
          </cell>
          <cell r="E317">
            <v>0</v>
          </cell>
          <cell r="F317">
            <v>24437.8</v>
          </cell>
        </row>
        <row r="318">
          <cell r="A318">
            <v>1811000410</v>
          </cell>
          <cell r="B318" t="str">
            <v>חינוך שכ"ד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1811000430</v>
          </cell>
          <cell r="B319" t="str">
            <v>חינוך-שכירות החזר חשמל-מים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1811000470</v>
          </cell>
          <cell r="B320" t="str">
            <v>חינוך-ציוד משרדי</v>
          </cell>
          <cell r="C320">
            <v>3000</v>
          </cell>
          <cell r="D320">
            <v>2250.2800000000002</v>
          </cell>
          <cell r="E320">
            <v>365</v>
          </cell>
          <cell r="F320">
            <v>2615.2800000000002</v>
          </cell>
        </row>
        <row r="321">
          <cell r="A321">
            <v>1811000510</v>
          </cell>
          <cell r="B321" t="str">
            <v>כיבוד מחלקת חינוך</v>
          </cell>
          <cell r="C321">
            <v>6000</v>
          </cell>
          <cell r="D321">
            <v>2350</v>
          </cell>
          <cell r="E321">
            <v>150</v>
          </cell>
          <cell r="F321">
            <v>2500</v>
          </cell>
        </row>
        <row r="322">
          <cell r="A322">
            <v>1811000523</v>
          </cell>
          <cell r="B322" t="str">
            <v>דמי חבר</v>
          </cell>
          <cell r="C322">
            <v>2000</v>
          </cell>
          <cell r="D322">
            <v>11000</v>
          </cell>
          <cell r="E322">
            <v>0</v>
          </cell>
          <cell r="F322">
            <v>11000</v>
          </cell>
        </row>
        <row r="323">
          <cell r="A323">
            <v>1811000540</v>
          </cell>
          <cell r="B323" t="str">
            <v>חינוך-תקשורת</v>
          </cell>
          <cell r="C323">
            <v>7200</v>
          </cell>
          <cell r="D323">
            <v>15075.26</v>
          </cell>
          <cell r="E323">
            <v>0</v>
          </cell>
          <cell r="F323">
            <v>15075.26</v>
          </cell>
        </row>
        <row r="324">
          <cell r="A324">
            <v>1811000750</v>
          </cell>
          <cell r="B324" t="str">
            <v>הטמעת ניהול עצמי</v>
          </cell>
          <cell r="C324">
            <v>0</v>
          </cell>
          <cell r="D324">
            <v>11800</v>
          </cell>
          <cell r="E324">
            <v>0</v>
          </cell>
          <cell r="F324">
            <v>11800</v>
          </cell>
        </row>
        <row r="325">
          <cell r="A325">
            <v>1811100110</v>
          </cell>
          <cell r="B325" t="str">
            <v>שכר חינוך</v>
          </cell>
          <cell r="C325">
            <v>873000</v>
          </cell>
          <cell r="D325">
            <v>1015606.61</v>
          </cell>
          <cell r="E325">
            <v>0</v>
          </cell>
          <cell r="F325">
            <v>1015606.61</v>
          </cell>
        </row>
        <row r="326">
          <cell r="A326">
            <v>1812200110</v>
          </cell>
          <cell r="B326" t="str">
            <v>שכר גני ילדים עוזרות</v>
          </cell>
          <cell r="C326">
            <v>2457000</v>
          </cell>
          <cell r="D326">
            <v>2635554.29</v>
          </cell>
          <cell r="E326">
            <v>0</v>
          </cell>
          <cell r="F326">
            <v>2635554.29</v>
          </cell>
        </row>
        <row r="327">
          <cell r="A327">
            <v>1812200431</v>
          </cell>
          <cell r="B327" t="str">
            <v>חשמל גני ילדים</v>
          </cell>
          <cell r="C327">
            <v>70000</v>
          </cell>
          <cell r="D327">
            <v>52190.59</v>
          </cell>
          <cell r="E327">
            <v>0</v>
          </cell>
          <cell r="F327">
            <v>52190.59</v>
          </cell>
        </row>
        <row r="328">
          <cell r="A328">
            <v>1812200432</v>
          </cell>
          <cell r="B328" t="str">
            <v>מים גני ילדים</v>
          </cell>
          <cell r="C328">
            <v>60000</v>
          </cell>
          <cell r="D328">
            <v>64063.1</v>
          </cell>
          <cell r="E328">
            <v>0</v>
          </cell>
          <cell r="F328">
            <v>64063.1</v>
          </cell>
        </row>
        <row r="329">
          <cell r="A329">
            <v>1812200720</v>
          </cell>
          <cell r="B329" t="str">
            <v>גנ"י חומרים</v>
          </cell>
          <cell r="C329">
            <v>20000</v>
          </cell>
          <cell r="D329">
            <v>13173</v>
          </cell>
          <cell r="E329">
            <v>1460.3</v>
          </cell>
          <cell r="F329">
            <v>14633.3</v>
          </cell>
        </row>
        <row r="330">
          <cell r="A330">
            <v>1812200750</v>
          </cell>
          <cell r="B330" t="str">
            <v>גני ילדים-קבלניות</v>
          </cell>
          <cell r="C330">
            <v>20000</v>
          </cell>
          <cell r="D330">
            <v>12380.4</v>
          </cell>
          <cell r="E330">
            <v>3609.56</v>
          </cell>
          <cell r="F330">
            <v>15989.96</v>
          </cell>
        </row>
        <row r="331">
          <cell r="A331">
            <v>1812300110</v>
          </cell>
          <cell r="B331" t="str">
            <v>שכר עוזרות ט.חובה</v>
          </cell>
          <cell r="C331">
            <v>107500</v>
          </cell>
          <cell r="D331">
            <v>13497.47</v>
          </cell>
          <cell r="E331">
            <v>0</v>
          </cell>
          <cell r="F331">
            <v>13497.47</v>
          </cell>
        </row>
        <row r="332">
          <cell r="A332">
            <v>1812300410</v>
          </cell>
          <cell r="B332" t="str">
            <v>גנ"י טרום חובה שכ"ד</v>
          </cell>
          <cell r="C332">
            <v>312000</v>
          </cell>
          <cell r="D332">
            <v>308800</v>
          </cell>
          <cell r="E332">
            <v>0</v>
          </cell>
          <cell r="F332">
            <v>308800</v>
          </cell>
        </row>
        <row r="333">
          <cell r="A333">
            <v>1812300430</v>
          </cell>
          <cell r="B333" t="str">
            <v>מבוטל - גני ילדים חשמל ומים</v>
          </cell>
          <cell r="C333">
            <v>0</v>
          </cell>
          <cell r="D333">
            <v>10166.540000000001</v>
          </cell>
          <cell r="E333">
            <v>0</v>
          </cell>
          <cell r="F333">
            <v>10166.540000000001</v>
          </cell>
        </row>
        <row r="334">
          <cell r="A334">
            <v>1812300470</v>
          </cell>
          <cell r="B334" t="str">
            <v>ציוד משרדי</v>
          </cell>
          <cell r="C334">
            <v>3000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>
            <v>1812300540</v>
          </cell>
          <cell r="B335" t="str">
            <v>גני ילדים ט.חובה-תקשורת</v>
          </cell>
          <cell r="C335">
            <v>15000</v>
          </cell>
          <cell r="D335">
            <v>24125.86</v>
          </cell>
          <cell r="E335">
            <v>0</v>
          </cell>
          <cell r="F335">
            <v>24125.86</v>
          </cell>
        </row>
        <row r="336">
          <cell r="A336">
            <v>1812300720</v>
          </cell>
          <cell r="B336" t="str">
            <v>גנ"י טרום חומרים</v>
          </cell>
          <cell r="C336">
            <v>6000</v>
          </cell>
          <cell r="D336">
            <v>2120</v>
          </cell>
          <cell r="E336">
            <v>3197.2</v>
          </cell>
          <cell r="F336">
            <v>5317.2</v>
          </cell>
        </row>
        <row r="337">
          <cell r="A337">
            <v>1812300750</v>
          </cell>
          <cell r="B337" t="str">
            <v>גנ"י טרום-עב' קבלניות</v>
          </cell>
          <cell r="C337">
            <v>5000</v>
          </cell>
          <cell r="D337">
            <v>3411.8</v>
          </cell>
          <cell r="E337">
            <v>0</v>
          </cell>
          <cell r="F337">
            <v>3411.8</v>
          </cell>
        </row>
        <row r="338">
          <cell r="A338">
            <v>1812300760</v>
          </cell>
          <cell r="B338" t="str">
            <v>קיזוז הזנת גני ילדים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1812300820</v>
          </cell>
          <cell r="B339" t="str">
            <v>השתתפות בתקציב הגנים</v>
          </cell>
          <cell r="C339">
            <v>210000</v>
          </cell>
          <cell r="D339">
            <v>162000</v>
          </cell>
          <cell r="E339">
            <v>0</v>
          </cell>
          <cell r="F339">
            <v>162000</v>
          </cell>
        </row>
        <row r="340">
          <cell r="A340">
            <v>1812300930</v>
          </cell>
          <cell r="B340" t="str">
            <v>ציוד יסודי</v>
          </cell>
          <cell r="C340">
            <v>51000</v>
          </cell>
          <cell r="D340">
            <v>26829.599999999999</v>
          </cell>
          <cell r="E340">
            <v>22457</v>
          </cell>
          <cell r="F340">
            <v>49286.6</v>
          </cell>
        </row>
        <row r="341">
          <cell r="A341">
            <v>1812310414</v>
          </cell>
          <cell r="B341" t="str">
            <v>ג.ע.מדינה</v>
          </cell>
          <cell r="C341">
            <v>2342000</v>
          </cell>
          <cell r="D341">
            <v>2154239.81</v>
          </cell>
          <cell r="E341">
            <v>0</v>
          </cell>
          <cell r="F341">
            <v>2154239.81</v>
          </cell>
        </row>
        <row r="342">
          <cell r="A342">
            <v>1812500110</v>
          </cell>
          <cell r="B342" t="str">
            <v>שכר גני יוח"א-צהרונים</v>
          </cell>
          <cell r="C342">
            <v>310000</v>
          </cell>
          <cell r="D342">
            <v>406979.83</v>
          </cell>
          <cell r="E342">
            <v>0</v>
          </cell>
          <cell r="F342">
            <v>406979.83</v>
          </cell>
        </row>
        <row r="343">
          <cell r="A343">
            <v>1812500760</v>
          </cell>
          <cell r="B343" t="str">
            <v>פנימיות יום מיל"ת</v>
          </cell>
          <cell r="C343">
            <v>260000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1812501110</v>
          </cell>
          <cell r="B344" t="str">
            <v>שכר פנימיות יום</v>
          </cell>
          <cell r="C344">
            <v>10000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1812502110</v>
          </cell>
          <cell r="B345" t="str">
            <v>מבוטל-שכר צהרונים-חונכות</v>
          </cell>
          <cell r="C345">
            <v>0</v>
          </cell>
          <cell r="D345">
            <v>3875.42</v>
          </cell>
          <cell r="E345">
            <v>0</v>
          </cell>
          <cell r="F345">
            <v>3875.42</v>
          </cell>
        </row>
        <row r="346">
          <cell r="A346">
            <v>1812504110</v>
          </cell>
          <cell r="B346" t="str">
            <v>שכר חונכות</v>
          </cell>
          <cell r="C346">
            <v>0</v>
          </cell>
          <cell r="D346">
            <v>59124.9</v>
          </cell>
          <cell r="E346">
            <v>0</v>
          </cell>
          <cell r="F346">
            <v>59124.9</v>
          </cell>
        </row>
        <row r="347">
          <cell r="A347">
            <v>1812800110</v>
          </cell>
          <cell r="B347" t="str">
            <v>משכורת</v>
          </cell>
          <cell r="C347">
            <v>262000</v>
          </cell>
          <cell r="D347">
            <v>321983.03000000003</v>
          </cell>
          <cell r="E347">
            <v>0</v>
          </cell>
          <cell r="F347">
            <v>321983.03000000003</v>
          </cell>
        </row>
        <row r="348">
          <cell r="A348">
            <v>1812801110</v>
          </cell>
          <cell r="B348" t="str">
            <v>ספורט-שכר</v>
          </cell>
          <cell r="C348">
            <v>72000</v>
          </cell>
          <cell r="D348">
            <v>57503.27</v>
          </cell>
          <cell r="E348">
            <v>0</v>
          </cell>
          <cell r="F348">
            <v>57503.27</v>
          </cell>
        </row>
        <row r="349">
          <cell r="A349">
            <v>1813200110</v>
          </cell>
          <cell r="B349" t="str">
            <v>שכר שרתים ביסודי</v>
          </cell>
          <cell r="C349">
            <v>1683000</v>
          </cell>
          <cell r="D349">
            <v>1599895.52</v>
          </cell>
          <cell r="E349">
            <v>0</v>
          </cell>
          <cell r="F349">
            <v>1599895.52</v>
          </cell>
        </row>
        <row r="350">
          <cell r="A350">
            <v>1813200410</v>
          </cell>
          <cell r="B350" t="str">
            <v>בי"ס יסודי אלאישראק</v>
          </cell>
          <cell r="C350">
            <v>10000</v>
          </cell>
          <cell r="D350">
            <v>10000</v>
          </cell>
          <cell r="E350">
            <v>0</v>
          </cell>
          <cell r="F350">
            <v>10000</v>
          </cell>
        </row>
        <row r="351">
          <cell r="A351">
            <v>1813200414</v>
          </cell>
          <cell r="B351" t="str">
            <v>חותם</v>
          </cell>
          <cell r="C351">
            <v>8000</v>
          </cell>
          <cell r="D351">
            <v>7319.48</v>
          </cell>
          <cell r="E351">
            <v>0</v>
          </cell>
          <cell r="F351">
            <v>7319.48</v>
          </cell>
        </row>
        <row r="352">
          <cell r="A352">
            <v>1813200430</v>
          </cell>
          <cell r="B352" t="str">
            <v>מבוטל-חשמל ומים-בתי"ס יסודיים</v>
          </cell>
          <cell r="C352">
            <v>0</v>
          </cell>
          <cell r="D352">
            <v>9741.57</v>
          </cell>
          <cell r="E352">
            <v>0</v>
          </cell>
          <cell r="F352">
            <v>9741.57</v>
          </cell>
        </row>
        <row r="353">
          <cell r="A353">
            <v>1813200760</v>
          </cell>
          <cell r="B353" t="str">
            <v>שירותי מנב"ס</v>
          </cell>
          <cell r="C353">
            <v>4000</v>
          </cell>
          <cell r="D353">
            <v>3991.02</v>
          </cell>
          <cell r="E353">
            <v>0</v>
          </cell>
          <cell r="F353">
            <v>3991.02</v>
          </cell>
        </row>
        <row r="354">
          <cell r="A354">
            <v>1813201750</v>
          </cell>
          <cell r="B354" t="str">
            <v>בתי"ס יסודיים עבודות קבלניות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1813206760</v>
          </cell>
          <cell r="B355" t="str">
            <v>הזנת תלמידים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1813210110</v>
          </cell>
          <cell r="B356" t="str">
            <v>שכר מזכירים יסודי</v>
          </cell>
          <cell r="C356">
            <v>524800</v>
          </cell>
          <cell r="D356">
            <v>585258.06999999995</v>
          </cell>
          <cell r="E356">
            <v>0</v>
          </cell>
          <cell r="F356">
            <v>585258.06999999995</v>
          </cell>
        </row>
        <row r="357">
          <cell r="A357">
            <v>1813210820</v>
          </cell>
          <cell r="B357" t="str">
            <v>השתתפות בתקציב ב"ס א'</v>
          </cell>
          <cell r="C357">
            <v>185310</v>
          </cell>
          <cell r="D357">
            <v>209907.37</v>
          </cell>
          <cell r="E357">
            <v>0</v>
          </cell>
          <cell r="F357">
            <v>209907.37</v>
          </cell>
        </row>
        <row r="358">
          <cell r="A358">
            <v>1813211110</v>
          </cell>
          <cell r="B358" t="str">
            <v>מבוטל-מחוננים</v>
          </cell>
          <cell r="C358">
            <v>24000</v>
          </cell>
          <cell r="D358">
            <v>30948.68</v>
          </cell>
          <cell r="E358">
            <v>0</v>
          </cell>
          <cell r="F358">
            <v>30948.68</v>
          </cell>
        </row>
        <row r="359">
          <cell r="A359">
            <v>1813211430</v>
          </cell>
          <cell r="B359" t="str">
            <v>חשמל ב"ס א'</v>
          </cell>
          <cell r="C359">
            <v>57000</v>
          </cell>
          <cell r="D359">
            <v>15025.37</v>
          </cell>
          <cell r="E359">
            <v>0</v>
          </cell>
          <cell r="F359">
            <v>15025.37</v>
          </cell>
        </row>
        <row r="360">
          <cell r="A360">
            <v>1813211432</v>
          </cell>
          <cell r="B360" t="str">
            <v>מים ב"ס א'</v>
          </cell>
          <cell r="C360">
            <v>10500</v>
          </cell>
          <cell r="D360">
            <v>11935.9</v>
          </cell>
          <cell r="E360">
            <v>0</v>
          </cell>
          <cell r="F360">
            <v>11935.9</v>
          </cell>
        </row>
        <row r="361">
          <cell r="A361">
            <v>1813220110</v>
          </cell>
          <cell r="B361" t="str">
            <v>שכר נקיון מוסדות חנוך</v>
          </cell>
          <cell r="C361">
            <v>0</v>
          </cell>
          <cell r="D361">
            <v>4840.2</v>
          </cell>
          <cell r="E361">
            <v>0</v>
          </cell>
          <cell r="F361">
            <v>4840.2</v>
          </cell>
        </row>
        <row r="362">
          <cell r="A362">
            <v>1813220820</v>
          </cell>
          <cell r="B362" t="str">
            <v>השתתפות בתקציב ב"ס ב'</v>
          </cell>
          <cell r="C362">
            <v>150378</v>
          </cell>
          <cell r="D362">
            <v>113013</v>
          </cell>
          <cell r="E362">
            <v>0</v>
          </cell>
          <cell r="F362">
            <v>113013</v>
          </cell>
        </row>
        <row r="363">
          <cell r="A363">
            <v>1813222430</v>
          </cell>
          <cell r="B363" t="str">
            <v>חשמל ב"ס ב'</v>
          </cell>
          <cell r="C363">
            <v>48000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1813222432</v>
          </cell>
          <cell r="B364" t="str">
            <v>מים ב"ס ב'</v>
          </cell>
          <cell r="C364">
            <v>8500</v>
          </cell>
          <cell r="D364">
            <v>6346.1</v>
          </cell>
          <cell r="E364">
            <v>0</v>
          </cell>
          <cell r="F364">
            <v>6346.1</v>
          </cell>
        </row>
        <row r="365">
          <cell r="A365">
            <v>1813230414</v>
          </cell>
          <cell r="B365" t="str">
            <v>מבוטל-אגרות תלמידי חוץ</v>
          </cell>
          <cell r="C365">
            <v>0</v>
          </cell>
          <cell r="D365">
            <v>172189</v>
          </cell>
          <cell r="E365">
            <v>0</v>
          </cell>
          <cell r="F365">
            <v>172189</v>
          </cell>
        </row>
        <row r="366">
          <cell r="A366">
            <v>1813230760</v>
          </cell>
          <cell r="B366" t="str">
            <v>אגרת תלמידי חוץ</v>
          </cell>
          <cell r="C366">
            <v>287000</v>
          </cell>
          <cell r="D366">
            <v>53662</v>
          </cell>
          <cell r="E366">
            <v>0</v>
          </cell>
          <cell r="F366">
            <v>53662</v>
          </cell>
        </row>
        <row r="367">
          <cell r="A367">
            <v>1813230820</v>
          </cell>
          <cell r="B367" t="str">
            <v>השתתפות בתקציב ב"ס ג'</v>
          </cell>
          <cell r="C367">
            <v>151230</v>
          </cell>
          <cell r="D367">
            <v>151943</v>
          </cell>
          <cell r="E367">
            <v>0</v>
          </cell>
          <cell r="F367">
            <v>151943</v>
          </cell>
        </row>
        <row r="368">
          <cell r="A368">
            <v>1813233430</v>
          </cell>
          <cell r="B368" t="str">
            <v>חשמל ב"ס ג'+ ב"ס א</v>
          </cell>
          <cell r="C368">
            <v>98000</v>
          </cell>
          <cell r="D368">
            <v>101350.85</v>
          </cell>
          <cell r="E368">
            <v>0</v>
          </cell>
          <cell r="F368">
            <v>101350.85</v>
          </cell>
        </row>
        <row r="369">
          <cell r="A369">
            <v>1813233432</v>
          </cell>
          <cell r="B369" t="str">
            <v>מים ב"ס ג'</v>
          </cell>
          <cell r="C369">
            <v>9000</v>
          </cell>
          <cell r="D369">
            <v>12538.1</v>
          </cell>
          <cell r="E369">
            <v>0</v>
          </cell>
          <cell r="F369">
            <v>12538.1</v>
          </cell>
        </row>
        <row r="370">
          <cell r="A370">
            <v>1813240820</v>
          </cell>
          <cell r="B370" t="str">
            <v>השתתפות בתקציב ב"ס חדשני</v>
          </cell>
          <cell r="C370">
            <v>154212</v>
          </cell>
          <cell r="D370">
            <v>144862.6</v>
          </cell>
          <cell r="E370">
            <v>0</v>
          </cell>
          <cell r="F370">
            <v>144862.6</v>
          </cell>
        </row>
        <row r="371">
          <cell r="A371">
            <v>1813244430</v>
          </cell>
          <cell r="B371" t="str">
            <v>חשמל ב"ס חדשני</v>
          </cell>
          <cell r="C371">
            <v>40000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1813244432</v>
          </cell>
          <cell r="B372" t="str">
            <v>מים ב"ס חדשני</v>
          </cell>
          <cell r="C372">
            <v>9000</v>
          </cell>
          <cell r="D372">
            <v>25870.799999999999</v>
          </cell>
          <cell r="E372">
            <v>0</v>
          </cell>
          <cell r="F372">
            <v>25870.799999999999</v>
          </cell>
        </row>
        <row r="373">
          <cell r="A373">
            <v>1813300540</v>
          </cell>
          <cell r="B373" t="str">
            <v>חינוך מיוחד-תקשורת</v>
          </cell>
          <cell r="C373">
            <v>4500</v>
          </cell>
          <cell r="D373">
            <v>6274.05</v>
          </cell>
          <cell r="E373">
            <v>0</v>
          </cell>
          <cell r="F373">
            <v>6274.05</v>
          </cell>
        </row>
        <row r="374">
          <cell r="A374">
            <v>1813300750</v>
          </cell>
          <cell r="B374" t="str">
            <v>קבלניות שיפוצים</v>
          </cell>
          <cell r="C374">
            <v>169333</v>
          </cell>
          <cell r="D374">
            <v>150995.71</v>
          </cell>
          <cell r="E374">
            <v>17000</v>
          </cell>
          <cell r="F374">
            <v>167995.71</v>
          </cell>
        </row>
        <row r="375">
          <cell r="A375">
            <v>1813310110</v>
          </cell>
          <cell r="B375" t="str">
            <v>שכר סייעות כיתתיות</v>
          </cell>
          <cell r="C375">
            <v>611000</v>
          </cell>
          <cell r="D375">
            <v>584642.24</v>
          </cell>
          <cell r="E375">
            <v>0</v>
          </cell>
          <cell r="F375">
            <v>584642.24</v>
          </cell>
        </row>
        <row r="376">
          <cell r="A376">
            <v>1813320110</v>
          </cell>
          <cell r="B376" t="str">
            <v>שכר סייעות לווי הסעות</v>
          </cell>
          <cell r="C376">
            <v>522000</v>
          </cell>
          <cell r="D376">
            <v>593347.94999999995</v>
          </cell>
          <cell r="E376">
            <v>0</v>
          </cell>
          <cell r="F376">
            <v>593347.94999999995</v>
          </cell>
        </row>
        <row r="377">
          <cell r="A377">
            <v>1813330110</v>
          </cell>
          <cell r="B377" t="str">
            <v>שכר סייעות צמודות</v>
          </cell>
          <cell r="C377">
            <v>695600</v>
          </cell>
          <cell r="D377">
            <v>915456.26</v>
          </cell>
          <cell r="E377">
            <v>0</v>
          </cell>
          <cell r="F377">
            <v>915456.26</v>
          </cell>
        </row>
        <row r="378">
          <cell r="A378">
            <v>1813600780</v>
          </cell>
          <cell r="B378" t="str">
            <v>מבוטל-הוצאות שונות</v>
          </cell>
          <cell r="C378">
            <v>0</v>
          </cell>
          <cell r="D378">
            <v>2485.1</v>
          </cell>
          <cell r="E378">
            <v>0</v>
          </cell>
          <cell r="F378">
            <v>2485.1</v>
          </cell>
        </row>
        <row r="379">
          <cell r="A379">
            <v>1813800750</v>
          </cell>
          <cell r="B379" t="str">
            <v>פרוייקטים חינוכיים</v>
          </cell>
          <cell r="C379">
            <v>25000</v>
          </cell>
          <cell r="D379">
            <v>15580.34</v>
          </cell>
          <cell r="E379">
            <v>4638.34</v>
          </cell>
          <cell r="F379">
            <v>20218.68</v>
          </cell>
        </row>
        <row r="380">
          <cell r="A380">
            <v>1813800930</v>
          </cell>
          <cell r="B380" t="str">
            <v>ציוד יסודי לבת"ס</v>
          </cell>
          <cell r="C380">
            <v>26000</v>
          </cell>
          <cell r="D380">
            <v>19470</v>
          </cell>
          <cell r="E380">
            <v>0</v>
          </cell>
          <cell r="F380">
            <v>19470</v>
          </cell>
        </row>
        <row r="381">
          <cell r="A381">
            <v>1814000430</v>
          </cell>
          <cell r="B381" t="str">
            <v>חשמל ומים</v>
          </cell>
          <cell r="C381">
            <v>0</v>
          </cell>
          <cell r="D381">
            <v>42192.15</v>
          </cell>
          <cell r="E381">
            <v>0</v>
          </cell>
          <cell r="F381">
            <v>42192.15</v>
          </cell>
        </row>
        <row r="382">
          <cell r="A382">
            <v>1814750840</v>
          </cell>
          <cell r="B382" t="str">
            <v>מניפה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3">
          <cell r="A383">
            <v>1816600540</v>
          </cell>
          <cell r="B383" t="str">
            <v>מרכז הדרכה-תקשורת</v>
          </cell>
          <cell r="C383">
            <v>1500</v>
          </cell>
          <cell r="D383">
            <v>4212.3999999999996</v>
          </cell>
          <cell r="E383">
            <v>0</v>
          </cell>
          <cell r="F383">
            <v>4212.3999999999996</v>
          </cell>
        </row>
        <row r="384">
          <cell r="A384">
            <v>1817100110</v>
          </cell>
          <cell r="B384" t="str">
            <v>שכר קב"ט מוסדות חנוך</v>
          </cell>
          <cell r="C384">
            <v>24580</v>
          </cell>
          <cell r="D384">
            <v>45407.82</v>
          </cell>
          <cell r="E384">
            <v>0</v>
          </cell>
          <cell r="F384">
            <v>45407.82</v>
          </cell>
        </row>
        <row r="385">
          <cell r="A385">
            <v>1817100750</v>
          </cell>
          <cell r="B385" t="str">
            <v>אבטחת מוסדות</v>
          </cell>
          <cell r="C385">
            <v>420000</v>
          </cell>
          <cell r="D385">
            <v>358549.35</v>
          </cell>
          <cell r="E385">
            <v>0</v>
          </cell>
          <cell r="F385">
            <v>358549.35</v>
          </cell>
        </row>
        <row r="386">
          <cell r="A386">
            <v>1817110750</v>
          </cell>
          <cell r="B386" t="str">
            <v>מבדקי בטיחות מוסדות חינוך</v>
          </cell>
          <cell r="C386">
            <v>90000</v>
          </cell>
          <cell r="D386">
            <v>68989.8</v>
          </cell>
          <cell r="E386">
            <v>6938.4</v>
          </cell>
          <cell r="F386">
            <v>75928.2</v>
          </cell>
        </row>
        <row r="387">
          <cell r="A387">
            <v>1817300110</v>
          </cell>
          <cell r="B387" t="str">
            <v>שכר שפ"י</v>
          </cell>
          <cell r="C387">
            <v>740000</v>
          </cell>
          <cell r="D387">
            <v>652546.36</v>
          </cell>
          <cell r="E387">
            <v>0</v>
          </cell>
          <cell r="F387">
            <v>652546.36</v>
          </cell>
        </row>
        <row r="388">
          <cell r="A388">
            <v>1817300410</v>
          </cell>
          <cell r="B388" t="str">
            <v>שכ"ד שפ"י</v>
          </cell>
          <cell r="C388">
            <v>24000</v>
          </cell>
          <cell r="D388">
            <v>30000</v>
          </cell>
          <cell r="E388">
            <v>0</v>
          </cell>
          <cell r="F388">
            <v>30000</v>
          </cell>
        </row>
        <row r="389">
          <cell r="A389">
            <v>1817300450</v>
          </cell>
          <cell r="B389" t="str">
            <v>ריהוט ומחשב -שפ"ח</v>
          </cell>
          <cell r="C389">
            <v>5000</v>
          </cell>
          <cell r="D389">
            <v>0</v>
          </cell>
          <cell r="E389">
            <v>531.94000000000005</v>
          </cell>
          <cell r="F389">
            <v>531.94000000000005</v>
          </cell>
        </row>
        <row r="390">
          <cell r="A390">
            <v>1817300720</v>
          </cell>
          <cell r="B390" t="str">
            <v>שפ"י חמרים/ספרים</v>
          </cell>
          <cell r="C390">
            <v>3000</v>
          </cell>
          <cell r="D390">
            <v>3307.33</v>
          </cell>
          <cell r="E390">
            <v>440.2</v>
          </cell>
          <cell r="F390">
            <v>3747.53</v>
          </cell>
        </row>
        <row r="391">
          <cell r="A391">
            <v>1817300750</v>
          </cell>
          <cell r="B391" t="str">
            <v>שפ"י שעות הדרכה</v>
          </cell>
          <cell r="C391">
            <v>33000</v>
          </cell>
          <cell r="D391">
            <v>13821</v>
          </cell>
          <cell r="E391">
            <v>1240</v>
          </cell>
          <cell r="F391">
            <v>15061</v>
          </cell>
        </row>
        <row r="392">
          <cell r="A392">
            <v>1817500440</v>
          </cell>
          <cell r="B392" t="str">
            <v>ביטוח תלמידים</v>
          </cell>
          <cell r="C392">
            <v>200000</v>
          </cell>
          <cell r="D392">
            <v>211327</v>
          </cell>
          <cell r="E392">
            <v>0</v>
          </cell>
          <cell r="F392">
            <v>211327</v>
          </cell>
        </row>
        <row r="393">
          <cell r="A393">
            <v>1817600110</v>
          </cell>
          <cell r="B393" t="str">
            <v>מבוטל-שכר רווחה חינוכית</v>
          </cell>
          <cell r="C393">
            <v>0</v>
          </cell>
          <cell r="D393">
            <v>7384.4</v>
          </cell>
          <cell r="E393">
            <v>0</v>
          </cell>
          <cell r="F393">
            <v>7384.4</v>
          </cell>
        </row>
        <row r="394">
          <cell r="A394">
            <v>1817601110</v>
          </cell>
          <cell r="B394" t="str">
            <v>רווחה חנוכית</v>
          </cell>
          <cell r="C394">
            <v>378000</v>
          </cell>
          <cell r="D394">
            <v>304897.8</v>
          </cell>
          <cell r="E394">
            <v>0</v>
          </cell>
          <cell r="F394">
            <v>304897.8</v>
          </cell>
        </row>
        <row r="395">
          <cell r="A395">
            <v>1817602110</v>
          </cell>
          <cell r="B395" t="str">
            <v>שכר רווחה חינוכית</v>
          </cell>
          <cell r="C395">
            <v>84904</v>
          </cell>
          <cell r="D395">
            <v>12072.64</v>
          </cell>
          <cell r="E395">
            <v>0</v>
          </cell>
          <cell r="F395">
            <v>12072.64</v>
          </cell>
        </row>
        <row r="396">
          <cell r="A396">
            <v>1817602750</v>
          </cell>
          <cell r="B396" t="str">
            <v>פעילות רווחה חיהוכית</v>
          </cell>
          <cell r="C396">
            <v>174647</v>
          </cell>
          <cell r="D396">
            <v>159886</v>
          </cell>
          <cell r="E396">
            <v>13800</v>
          </cell>
          <cell r="F396">
            <v>173686</v>
          </cell>
        </row>
        <row r="397">
          <cell r="A397">
            <v>1817610110</v>
          </cell>
          <cell r="B397" t="str">
            <v>שכר רווחה חינוכית</v>
          </cell>
          <cell r="C397">
            <v>0</v>
          </cell>
          <cell r="D397">
            <v>18695.04</v>
          </cell>
          <cell r="E397">
            <v>0</v>
          </cell>
          <cell r="F397">
            <v>18695.04</v>
          </cell>
        </row>
        <row r="398">
          <cell r="A398">
            <v>1817620110</v>
          </cell>
          <cell r="B398" t="str">
            <v>תוכנית ראשית- שכר</v>
          </cell>
          <cell r="C398">
            <v>125620</v>
          </cell>
          <cell r="D398">
            <v>250169.38</v>
          </cell>
          <cell r="E398">
            <v>0</v>
          </cell>
          <cell r="F398">
            <v>250169.38</v>
          </cell>
        </row>
        <row r="399">
          <cell r="A399">
            <v>1817620750</v>
          </cell>
          <cell r="B399" t="str">
            <v>מעדונית גיל רך -פעילות</v>
          </cell>
          <cell r="C399">
            <v>0</v>
          </cell>
          <cell r="D399">
            <v>4000</v>
          </cell>
          <cell r="E399">
            <v>0</v>
          </cell>
          <cell r="F399">
            <v>4000</v>
          </cell>
        </row>
        <row r="400">
          <cell r="A400">
            <v>1817620780</v>
          </cell>
          <cell r="B400" t="str">
            <v>מעדונית גיל רך -מזון</v>
          </cell>
          <cell r="C400">
            <v>0</v>
          </cell>
          <cell r="D400">
            <v>2500</v>
          </cell>
          <cell r="E400">
            <v>0</v>
          </cell>
          <cell r="F400">
            <v>2500</v>
          </cell>
        </row>
        <row r="401">
          <cell r="A401">
            <v>1817621110</v>
          </cell>
          <cell r="B401" t="str">
            <v>מועדונית ביתית גיל רך</v>
          </cell>
          <cell r="C401">
            <v>60000</v>
          </cell>
          <cell r="D401">
            <v>133179.82999999999</v>
          </cell>
          <cell r="E401">
            <v>0</v>
          </cell>
          <cell r="F401">
            <v>133179.82999999999</v>
          </cell>
        </row>
        <row r="402">
          <cell r="A402">
            <v>1817621470</v>
          </cell>
          <cell r="B402" t="str">
            <v>מרכז נוער - הצטידות</v>
          </cell>
          <cell r="C402">
            <v>0</v>
          </cell>
          <cell r="D402">
            <v>1799.72</v>
          </cell>
          <cell r="E402">
            <v>4775.07</v>
          </cell>
          <cell r="F402">
            <v>6574.79</v>
          </cell>
        </row>
        <row r="403">
          <cell r="A403">
            <v>1817621750</v>
          </cell>
          <cell r="B403" t="str">
            <v>מרכזי נוער - פעילות</v>
          </cell>
          <cell r="C403">
            <v>54000</v>
          </cell>
          <cell r="D403">
            <v>30735</v>
          </cell>
          <cell r="E403">
            <v>8900</v>
          </cell>
          <cell r="F403">
            <v>39635</v>
          </cell>
        </row>
        <row r="404">
          <cell r="A404">
            <v>1817622110</v>
          </cell>
          <cell r="B404" t="str">
            <v>מדריך בינתחומי- מרכז גיל רך</v>
          </cell>
          <cell r="C404">
            <v>45000</v>
          </cell>
          <cell r="D404">
            <v>197028.03</v>
          </cell>
          <cell r="E404">
            <v>0</v>
          </cell>
          <cell r="F404">
            <v>197028.03</v>
          </cell>
        </row>
        <row r="405">
          <cell r="A405">
            <v>1817622750</v>
          </cell>
          <cell r="B405" t="str">
            <v>מועדונית שמיד-סגור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1817623110</v>
          </cell>
          <cell r="B406" t="str">
            <v>מרכז נוער - שכר</v>
          </cell>
          <cell r="C406">
            <v>250000</v>
          </cell>
          <cell r="D406">
            <v>70714.95</v>
          </cell>
          <cell r="E406">
            <v>0</v>
          </cell>
          <cell r="F406">
            <v>70714.95</v>
          </cell>
        </row>
        <row r="407">
          <cell r="A407">
            <v>1817623470</v>
          </cell>
          <cell r="B407" t="str">
            <v>מרכז נוער הצטיידות</v>
          </cell>
          <cell r="C407">
            <v>22800</v>
          </cell>
          <cell r="D407">
            <v>0</v>
          </cell>
          <cell r="E407">
            <v>21732.560000000001</v>
          </cell>
          <cell r="F407">
            <v>21732.560000000001</v>
          </cell>
        </row>
        <row r="408">
          <cell r="A408">
            <v>1817623750</v>
          </cell>
          <cell r="B408" t="str">
            <v>מרכזי נוער- פעילות</v>
          </cell>
          <cell r="C408">
            <v>160000</v>
          </cell>
          <cell r="D408">
            <v>18816</v>
          </cell>
          <cell r="E408">
            <v>141184</v>
          </cell>
          <cell r="F408">
            <v>160000</v>
          </cell>
        </row>
        <row r="409">
          <cell r="A409">
            <v>1817623751</v>
          </cell>
          <cell r="B409" t="str">
            <v>מוקד רואה- עיר ללא אלימות</v>
          </cell>
          <cell r="C409">
            <v>10000</v>
          </cell>
          <cell r="D409">
            <v>0</v>
          </cell>
          <cell r="E409">
            <v>0</v>
          </cell>
          <cell r="F409">
            <v>0</v>
          </cell>
        </row>
        <row r="410">
          <cell r="A410">
            <v>1817624110</v>
          </cell>
          <cell r="B410" t="str">
            <v>תוכנית אור- שכר</v>
          </cell>
          <cell r="C410">
            <v>42020</v>
          </cell>
          <cell r="D410">
            <v>19615.349999999999</v>
          </cell>
          <cell r="E410">
            <v>0</v>
          </cell>
          <cell r="F410">
            <v>19615.349999999999</v>
          </cell>
        </row>
        <row r="411">
          <cell r="A411">
            <v>1817624470</v>
          </cell>
          <cell r="B411" t="str">
            <v>תוכנית אור הצטיידות</v>
          </cell>
          <cell r="C411">
            <v>3000</v>
          </cell>
          <cell r="D411">
            <v>941.77</v>
          </cell>
          <cell r="E411">
            <v>1950</v>
          </cell>
          <cell r="F411">
            <v>2891.77</v>
          </cell>
        </row>
        <row r="412">
          <cell r="A412">
            <v>1817624750</v>
          </cell>
          <cell r="B412" t="str">
            <v>תוכנית אור פעילות</v>
          </cell>
          <cell r="C412">
            <v>80000</v>
          </cell>
          <cell r="D412">
            <v>0</v>
          </cell>
          <cell r="E412">
            <v>79460</v>
          </cell>
          <cell r="F412">
            <v>79460</v>
          </cell>
        </row>
        <row r="413">
          <cell r="A413">
            <v>1817625110</v>
          </cell>
          <cell r="B413" t="str">
            <v>קול קורא לאגדים</v>
          </cell>
          <cell r="C413">
            <v>50000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1817625750</v>
          </cell>
          <cell r="B414" t="str">
            <v>קול קורא לאגדים- פעילות</v>
          </cell>
          <cell r="C414">
            <v>100000</v>
          </cell>
          <cell r="D414">
            <v>0</v>
          </cell>
          <cell r="E414">
            <v>99700</v>
          </cell>
          <cell r="F414">
            <v>99700</v>
          </cell>
        </row>
        <row r="415">
          <cell r="A415">
            <v>1817626110</v>
          </cell>
          <cell r="B415" t="str">
            <v>נתיבים להורות שכר</v>
          </cell>
          <cell r="C415">
            <v>173000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1817626750</v>
          </cell>
          <cell r="B416" t="str">
            <v>פעולות שמידט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1817700110</v>
          </cell>
          <cell r="B417" t="str">
            <v>שכר קב"ס</v>
          </cell>
          <cell r="C417">
            <v>199500</v>
          </cell>
          <cell r="D417">
            <v>251714.84</v>
          </cell>
          <cell r="E417">
            <v>0</v>
          </cell>
          <cell r="F417">
            <v>251714.84</v>
          </cell>
        </row>
        <row r="418">
          <cell r="A418">
            <v>1817700750</v>
          </cell>
          <cell r="B418" t="str">
            <v>פעולות מנ"ע</v>
          </cell>
          <cell r="C418">
            <v>22000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1817800710</v>
          </cell>
          <cell r="B419" t="str">
            <v>הסעות ח.מיוחד</v>
          </cell>
          <cell r="C419">
            <v>1250000</v>
          </cell>
          <cell r="D419">
            <v>870067.16</v>
          </cell>
          <cell r="E419">
            <v>0</v>
          </cell>
          <cell r="F419">
            <v>870067.16</v>
          </cell>
        </row>
        <row r="420">
          <cell r="A420">
            <v>1817810710</v>
          </cell>
          <cell r="B420" t="str">
            <v>הסעות חינוך רגיל</v>
          </cell>
          <cell r="C420">
            <v>2200000</v>
          </cell>
          <cell r="D420">
            <v>2316907</v>
          </cell>
          <cell r="E420">
            <v>0</v>
          </cell>
          <cell r="F420">
            <v>2316907</v>
          </cell>
        </row>
        <row r="421">
          <cell r="A421">
            <v>1817900750</v>
          </cell>
          <cell r="B421" t="str">
            <v>מזון ופעילות</v>
          </cell>
          <cell r="C421">
            <v>0</v>
          </cell>
          <cell r="D421">
            <v>0</v>
          </cell>
          <cell r="E421">
            <v>300</v>
          </cell>
          <cell r="F421">
            <v>300</v>
          </cell>
        </row>
        <row r="422">
          <cell r="A422">
            <v>1817900780</v>
          </cell>
          <cell r="B422" t="str">
            <v>מתי"א שונות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1817950780</v>
          </cell>
          <cell r="B423" t="str">
            <v>תכנית שיקום הצפון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1818000110</v>
          </cell>
          <cell r="B424" t="str">
            <v>שכר קידום נוער</v>
          </cell>
          <cell r="C424">
            <v>0</v>
          </cell>
          <cell r="D424">
            <v>-130</v>
          </cell>
          <cell r="E424">
            <v>0</v>
          </cell>
          <cell r="F424">
            <v>-130</v>
          </cell>
        </row>
        <row r="425">
          <cell r="A425">
            <v>1818000470</v>
          </cell>
          <cell r="B425" t="str">
            <v>קידום נוער - ריהוט וציוד</v>
          </cell>
          <cell r="C425">
            <v>6500</v>
          </cell>
          <cell r="D425">
            <v>6280</v>
          </cell>
          <cell r="E425">
            <v>0</v>
          </cell>
          <cell r="F425">
            <v>6280</v>
          </cell>
        </row>
        <row r="426">
          <cell r="A426">
            <v>1818000750</v>
          </cell>
          <cell r="B426" t="str">
            <v>פעילות קידום נוער</v>
          </cell>
          <cell r="C426">
            <v>21000</v>
          </cell>
          <cell r="D426">
            <v>2348.89</v>
          </cell>
          <cell r="E426">
            <v>6667</v>
          </cell>
          <cell r="F426">
            <v>9015.89</v>
          </cell>
        </row>
        <row r="427">
          <cell r="A427">
            <v>1818100110</v>
          </cell>
          <cell r="B427" t="str">
            <v>תג"ת-שכר</v>
          </cell>
          <cell r="C427">
            <v>38300</v>
          </cell>
          <cell r="D427">
            <v>12915.04</v>
          </cell>
          <cell r="E427">
            <v>0</v>
          </cell>
          <cell r="F427">
            <v>12915.04</v>
          </cell>
        </row>
        <row r="428">
          <cell r="A428">
            <v>1818200110</v>
          </cell>
          <cell r="B428" t="str">
            <v>שכר מחלקת נוער</v>
          </cell>
          <cell r="C428">
            <v>150000</v>
          </cell>
          <cell r="D428">
            <v>215666.53</v>
          </cell>
          <cell r="E428">
            <v>0</v>
          </cell>
          <cell r="F428">
            <v>215666.53</v>
          </cell>
        </row>
        <row r="429">
          <cell r="A429">
            <v>1818810110</v>
          </cell>
          <cell r="B429" t="str">
            <v>רכז פר"י ישובי</v>
          </cell>
          <cell r="C429">
            <v>3000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1818810810</v>
          </cell>
          <cell r="B430" t="str">
            <v>פר"ח השתתפות</v>
          </cell>
          <cell r="C430">
            <v>21000</v>
          </cell>
          <cell r="D430">
            <v>16550</v>
          </cell>
          <cell r="E430">
            <v>0</v>
          </cell>
          <cell r="F430">
            <v>16550</v>
          </cell>
        </row>
        <row r="431">
          <cell r="A431">
            <v>1819000750</v>
          </cell>
          <cell r="B431" t="str">
            <v>פרויקט מ.החינוך בי"ס בחופש הגד</v>
          </cell>
          <cell r="C431">
            <v>1100000</v>
          </cell>
          <cell r="D431">
            <v>992309.94</v>
          </cell>
          <cell r="E431">
            <v>9602.25</v>
          </cell>
          <cell r="F431">
            <v>1001912.19</v>
          </cell>
        </row>
        <row r="432">
          <cell r="A432">
            <v>1821000110</v>
          </cell>
          <cell r="B432" t="str">
            <v>שכר תרבות</v>
          </cell>
          <cell r="C432">
            <v>512300</v>
          </cell>
          <cell r="D432">
            <v>565811.56000000006</v>
          </cell>
          <cell r="E432">
            <v>0</v>
          </cell>
          <cell r="F432">
            <v>565811.56000000006</v>
          </cell>
        </row>
        <row r="433">
          <cell r="A433">
            <v>1821000750</v>
          </cell>
          <cell r="B433" t="str">
            <v>אחזקה קבלניות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1822000780</v>
          </cell>
          <cell r="B434" t="str">
            <v>פעולות תרבות-שונות</v>
          </cell>
          <cell r="C434">
            <v>385000</v>
          </cell>
          <cell r="D434">
            <v>267395.20000000001</v>
          </cell>
          <cell r="E434">
            <v>116656.5</v>
          </cell>
          <cell r="F434">
            <v>384051.7</v>
          </cell>
        </row>
        <row r="435">
          <cell r="A435">
            <v>1823000110</v>
          </cell>
          <cell r="B435" t="str">
            <v>שכר ספרית מקצועית</v>
          </cell>
          <cell r="C435">
            <v>127000</v>
          </cell>
          <cell r="D435">
            <v>132309.82999999999</v>
          </cell>
          <cell r="E435">
            <v>0</v>
          </cell>
          <cell r="F435">
            <v>132309.82999999999</v>
          </cell>
        </row>
        <row r="436">
          <cell r="A436">
            <v>1823000540</v>
          </cell>
          <cell r="B436" t="str">
            <v>ספריה עירונית-תקשורת</v>
          </cell>
          <cell r="C436">
            <v>8000</v>
          </cell>
          <cell r="D436">
            <v>4227.8900000000003</v>
          </cell>
          <cell r="E436">
            <v>0</v>
          </cell>
          <cell r="F436">
            <v>4227.8900000000003</v>
          </cell>
        </row>
        <row r="437">
          <cell r="A437">
            <v>1824000430</v>
          </cell>
          <cell r="B437" t="str">
            <v>חשמל-מתנ"ס</v>
          </cell>
          <cell r="C437">
            <v>70000</v>
          </cell>
          <cell r="D437">
            <v>76629.100000000006</v>
          </cell>
          <cell r="E437">
            <v>0</v>
          </cell>
          <cell r="F437">
            <v>76629.100000000006</v>
          </cell>
        </row>
        <row r="438">
          <cell r="A438">
            <v>1824000720</v>
          </cell>
          <cell r="B438" t="str">
            <v>אחזקה מ.תרבות קבלניות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1824000780</v>
          </cell>
          <cell r="B439" t="str">
            <v>אחזקה מ.תרבות קבלניות</v>
          </cell>
          <cell r="C439">
            <v>10000</v>
          </cell>
          <cell r="D439">
            <v>5079</v>
          </cell>
          <cell r="E439">
            <v>4668.88</v>
          </cell>
          <cell r="F439">
            <v>9747.8799999999992</v>
          </cell>
        </row>
        <row r="440">
          <cell r="A440">
            <v>1824100430</v>
          </cell>
          <cell r="B440" t="str">
            <v>מים מרכז תרבות</v>
          </cell>
          <cell r="C440">
            <v>20000</v>
          </cell>
          <cell r="D440">
            <v>8133.3</v>
          </cell>
          <cell r="E440">
            <v>0</v>
          </cell>
          <cell r="F440">
            <v>8133.3</v>
          </cell>
        </row>
        <row r="441">
          <cell r="A441">
            <v>1824140051</v>
          </cell>
          <cell r="B441" t="str">
            <v>כיבודים</v>
          </cell>
          <cell r="C441">
            <v>2000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1825000110</v>
          </cell>
          <cell r="B442" t="str">
            <v>שכר מדריכים מ. הגיל הרך</v>
          </cell>
          <cell r="C442">
            <v>30000</v>
          </cell>
          <cell r="D442">
            <v>29950.5</v>
          </cell>
          <cell r="E442">
            <v>0</v>
          </cell>
          <cell r="F442">
            <v>29950.5</v>
          </cell>
        </row>
        <row r="443">
          <cell r="A443">
            <v>1825000750</v>
          </cell>
          <cell r="B443" t="str">
            <v>פעולות שונות מ. הגיל הרך</v>
          </cell>
          <cell r="C443">
            <v>70000</v>
          </cell>
          <cell r="D443">
            <v>43239.49</v>
          </cell>
          <cell r="E443">
            <v>29068.1</v>
          </cell>
          <cell r="F443">
            <v>72307.59</v>
          </cell>
        </row>
        <row r="444">
          <cell r="A444">
            <v>1828200110</v>
          </cell>
          <cell r="B444" t="str">
            <v>מוקדי הפעלת נוער-שכר</v>
          </cell>
          <cell r="C444">
            <v>16000</v>
          </cell>
          <cell r="D444">
            <v>-15.58</v>
          </cell>
          <cell r="E444">
            <v>0</v>
          </cell>
          <cell r="F444">
            <v>-15.58</v>
          </cell>
        </row>
        <row r="445">
          <cell r="A445">
            <v>1828200720</v>
          </cell>
          <cell r="B445" t="str">
            <v>מעדונית משותפת -מזון</v>
          </cell>
          <cell r="C445">
            <v>30000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1828200750</v>
          </cell>
          <cell r="B446" t="str">
            <v>מצילה פעילות</v>
          </cell>
          <cell r="C446">
            <v>18000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1828210110</v>
          </cell>
          <cell r="B447" t="str">
            <v>מבוטל-שכר מחלקת נוער</v>
          </cell>
          <cell r="C447">
            <v>131200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1828400750</v>
          </cell>
          <cell r="B448" t="str">
            <v>פעילות קייטנה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1828410750</v>
          </cell>
          <cell r="B449" t="str">
            <v>פעילות קייטנת העמותה לתפנית בח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1828500750</v>
          </cell>
          <cell r="B450" t="str">
            <v>עיר ללא אלימות-רכש</v>
          </cell>
          <cell r="C450">
            <v>50000</v>
          </cell>
          <cell r="D450">
            <v>55243.56</v>
          </cell>
          <cell r="E450">
            <v>1200</v>
          </cell>
          <cell r="F450">
            <v>56443.56</v>
          </cell>
        </row>
        <row r="451">
          <cell r="A451">
            <v>1828501750</v>
          </cell>
          <cell r="B451" t="str">
            <v>עיר ללא אלימות-פעילות</v>
          </cell>
          <cell r="C451">
            <v>21090</v>
          </cell>
          <cell r="D451">
            <v>9992</v>
          </cell>
          <cell r="E451">
            <v>3713.18</v>
          </cell>
          <cell r="F451">
            <v>13705.18</v>
          </cell>
        </row>
        <row r="452">
          <cell r="A452">
            <v>1828504110</v>
          </cell>
          <cell r="B452" t="str">
            <v>עיר ללא אלימות-שכר א.אוכלוסיה</v>
          </cell>
          <cell r="C452">
            <v>323020</v>
          </cell>
          <cell r="D452">
            <v>386057.61</v>
          </cell>
          <cell r="E452">
            <v>0</v>
          </cell>
          <cell r="F452">
            <v>386057.61</v>
          </cell>
        </row>
        <row r="453">
          <cell r="A453">
            <v>1828506410</v>
          </cell>
          <cell r="B453" t="str">
            <v>שכר דירה מלחמה בסמים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1829200432</v>
          </cell>
          <cell r="B454" t="str">
            <v>מים וחשמל -איצטדיון כדורגל</v>
          </cell>
          <cell r="C454">
            <v>0</v>
          </cell>
          <cell r="D454">
            <v>111886.3</v>
          </cell>
          <cell r="E454">
            <v>0</v>
          </cell>
          <cell r="F454">
            <v>111886.3</v>
          </cell>
        </row>
        <row r="455">
          <cell r="A455">
            <v>1829200750</v>
          </cell>
          <cell r="B455" t="str">
            <v>ספורט קבלניות</v>
          </cell>
          <cell r="C455">
            <v>100000</v>
          </cell>
          <cell r="D455">
            <v>120527</v>
          </cell>
          <cell r="E455">
            <v>9284.99</v>
          </cell>
          <cell r="F455">
            <v>129811.99</v>
          </cell>
        </row>
        <row r="456">
          <cell r="A456">
            <v>1829200780</v>
          </cell>
          <cell r="B456" t="str">
            <v>הוצאות שונות -מגרש</v>
          </cell>
          <cell r="C456">
            <v>8000</v>
          </cell>
          <cell r="D456">
            <v>1065</v>
          </cell>
          <cell r="E456">
            <v>0</v>
          </cell>
          <cell r="F456">
            <v>1065</v>
          </cell>
        </row>
        <row r="457">
          <cell r="A457">
            <v>1829210750</v>
          </cell>
          <cell r="B457" t="str">
            <v>חוגים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1829230750</v>
          </cell>
          <cell r="B458" t="str">
            <v>צעדת הכרמל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1829240750</v>
          </cell>
          <cell r="B459" t="str">
            <v>פסטיבל דליה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1829250750</v>
          </cell>
          <cell r="B460" t="str">
            <v>במות ראשיות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1829260110</v>
          </cell>
          <cell r="B461" t="str">
            <v>שכר חוגי בלט</v>
          </cell>
          <cell r="C461">
            <v>49750</v>
          </cell>
          <cell r="D461">
            <v>62365.86</v>
          </cell>
          <cell r="E461">
            <v>0</v>
          </cell>
          <cell r="F461">
            <v>62365.86</v>
          </cell>
        </row>
        <row r="462">
          <cell r="A462">
            <v>1832000410</v>
          </cell>
          <cell r="B462" t="str">
            <v>מרפאה-שכירות</v>
          </cell>
          <cell r="C462">
            <v>44000</v>
          </cell>
          <cell r="D462">
            <v>35000</v>
          </cell>
          <cell r="E462">
            <v>0</v>
          </cell>
          <cell r="F462">
            <v>35000</v>
          </cell>
        </row>
        <row r="463">
          <cell r="A463">
            <v>1832000430</v>
          </cell>
          <cell r="B463" t="str">
            <v>מבוטל-מרפאות-חשמל ומים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1832000431</v>
          </cell>
          <cell r="B464" t="str">
            <v>מרפאות-חשמל</v>
          </cell>
          <cell r="C464">
            <v>30000</v>
          </cell>
          <cell r="D464">
            <v>24380.720000000001</v>
          </cell>
          <cell r="E464">
            <v>0</v>
          </cell>
          <cell r="F464">
            <v>24380.720000000001</v>
          </cell>
        </row>
        <row r="465">
          <cell r="A465">
            <v>1832000432</v>
          </cell>
          <cell r="B465" t="str">
            <v>מרפאות -מים</v>
          </cell>
          <cell r="C465">
            <v>3000</v>
          </cell>
          <cell r="D465">
            <v>1526.5</v>
          </cell>
          <cell r="E465">
            <v>0</v>
          </cell>
          <cell r="F465">
            <v>1526.5</v>
          </cell>
        </row>
        <row r="466">
          <cell r="A466">
            <v>1832000540</v>
          </cell>
          <cell r="B466" t="str">
            <v>מרפאות-תקשורת</v>
          </cell>
          <cell r="C466">
            <v>3000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1832000720</v>
          </cell>
          <cell r="B467" t="str">
            <v>חומרים</v>
          </cell>
          <cell r="C467">
            <v>3000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1832400110</v>
          </cell>
          <cell r="B468" t="str">
            <v>שכר תחנת אם-בריאות</v>
          </cell>
          <cell r="C468">
            <v>189866</v>
          </cell>
          <cell r="D468">
            <v>193360.48</v>
          </cell>
          <cell r="E468">
            <v>0</v>
          </cell>
          <cell r="F468">
            <v>193360.48</v>
          </cell>
        </row>
        <row r="469">
          <cell r="A469">
            <v>1832400410</v>
          </cell>
          <cell r="B469" t="str">
            <v>שכ"ד תחנת אם וילד</v>
          </cell>
          <cell r="C469">
            <v>0</v>
          </cell>
          <cell r="D469">
            <v>22500</v>
          </cell>
          <cell r="E469">
            <v>0</v>
          </cell>
          <cell r="F469">
            <v>22500</v>
          </cell>
        </row>
        <row r="470">
          <cell r="A470">
            <v>1841000110</v>
          </cell>
          <cell r="B470" t="str">
            <v>שכר לשכת רווחה</v>
          </cell>
          <cell r="C470">
            <v>1389333</v>
          </cell>
          <cell r="D470">
            <v>1648609.53</v>
          </cell>
          <cell r="E470">
            <v>0</v>
          </cell>
          <cell r="F470">
            <v>1648609.53</v>
          </cell>
        </row>
        <row r="471">
          <cell r="A471">
            <v>1841000410</v>
          </cell>
          <cell r="B471" t="str">
            <v>שכ"ד רווחה</v>
          </cell>
          <cell r="C471">
            <v>75000</v>
          </cell>
          <cell r="D471">
            <v>77750</v>
          </cell>
          <cell r="E471">
            <v>0</v>
          </cell>
          <cell r="F471">
            <v>77750</v>
          </cell>
        </row>
        <row r="472">
          <cell r="A472">
            <v>1841000430</v>
          </cell>
          <cell r="B472" t="str">
            <v>חשמל ומים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1841000431</v>
          </cell>
          <cell r="B473" t="str">
            <v>חשמל רווחה</v>
          </cell>
          <cell r="C473">
            <v>5000</v>
          </cell>
          <cell r="D473">
            <v>2896.98</v>
          </cell>
          <cell r="E473">
            <v>0</v>
          </cell>
          <cell r="F473">
            <v>2896.98</v>
          </cell>
        </row>
        <row r="474">
          <cell r="A474">
            <v>1841000432</v>
          </cell>
          <cell r="B474" t="str">
            <v>מים רווחה</v>
          </cell>
          <cell r="C474">
            <v>5000</v>
          </cell>
          <cell r="D474">
            <v>101.8</v>
          </cell>
          <cell r="E474">
            <v>0</v>
          </cell>
          <cell r="F474">
            <v>101.8</v>
          </cell>
        </row>
        <row r="475">
          <cell r="A475">
            <v>1841000470</v>
          </cell>
          <cell r="B475" t="str">
            <v>ציוד משרדי רווחה</v>
          </cell>
          <cell r="C475">
            <v>2000</v>
          </cell>
          <cell r="D475">
            <v>-2352</v>
          </cell>
          <cell r="E475">
            <v>2000</v>
          </cell>
          <cell r="F475">
            <v>-352</v>
          </cell>
        </row>
        <row r="476">
          <cell r="A476">
            <v>1841000510</v>
          </cell>
          <cell r="B476" t="str">
            <v>אשל וכיבודים</v>
          </cell>
          <cell r="C476">
            <v>3000</v>
          </cell>
          <cell r="D476">
            <v>700</v>
          </cell>
          <cell r="E476">
            <v>1100</v>
          </cell>
          <cell r="F476">
            <v>1800</v>
          </cell>
        </row>
        <row r="477">
          <cell r="A477">
            <v>1841000520</v>
          </cell>
          <cell r="B477" t="str">
            <v>מינהל רווחה השתלמויות</v>
          </cell>
          <cell r="C477">
            <v>3000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1841000540</v>
          </cell>
          <cell r="B478" t="str">
            <v>רווחה-תקשורת</v>
          </cell>
          <cell r="C478">
            <v>8000</v>
          </cell>
          <cell r="D478">
            <v>13635.12</v>
          </cell>
          <cell r="E478">
            <v>0</v>
          </cell>
          <cell r="F478">
            <v>13635.12</v>
          </cell>
        </row>
        <row r="479">
          <cell r="A479">
            <v>1841000560</v>
          </cell>
          <cell r="B479" t="str">
            <v>רווחה פעולות ארגוניות</v>
          </cell>
          <cell r="C479">
            <v>5000</v>
          </cell>
          <cell r="D479">
            <v>10345</v>
          </cell>
          <cell r="E479">
            <v>2699.94</v>
          </cell>
          <cell r="F479">
            <v>13044.94</v>
          </cell>
        </row>
        <row r="480">
          <cell r="A480">
            <v>1841000840</v>
          </cell>
          <cell r="B480" t="str">
            <v>בטחון עובדים ושמירה</v>
          </cell>
          <cell r="C480">
            <v>8440</v>
          </cell>
          <cell r="D480">
            <v>8445.07</v>
          </cell>
          <cell r="E480">
            <v>0</v>
          </cell>
          <cell r="F480">
            <v>8445.07</v>
          </cell>
        </row>
        <row r="481">
          <cell r="A481">
            <v>1841100440</v>
          </cell>
          <cell r="B481" t="str">
            <v>הוצאות מנהליות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1842200840</v>
          </cell>
          <cell r="B482" t="str">
            <v>סיוע למשפחה עם ילד</v>
          </cell>
          <cell r="C482">
            <v>42000</v>
          </cell>
          <cell r="D482">
            <v>115606</v>
          </cell>
          <cell r="E482">
            <v>0</v>
          </cell>
          <cell r="F482">
            <v>115606</v>
          </cell>
        </row>
        <row r="483">
          <cell r="A483">
            <v>1842201810</v>
          </cell>
          <cell r="B483" t="str">
            <v>מבוטל-מקלט לנשים מוכות</v>
          </cell>
          <cell r="C483">
            <v>0</v>
          </cell>
          <cell r="D483">
            <v>3194</v>
          </cell>
          <cell r="E483">
            <v>0</v>
          </cell>
          <cell r="F483">
            <v>3194</v>
          </cell>
        </row>
        <row r="484">
          <cell r="A484">
            <v>1842201840</v>
          </cell>
          <cell r="B484" t="str">
            <v>מקלטים לנשים מוכות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1842210840</v>
          </cell>
          <cell r="B485" t="str">
            <v>משפחות במצוקה</v>
          </cell>
          <cell r="C485">
            <v>40800</v>
          </cell>
          <cell r="D485">
            <v>41839</v>
          </cell>
          <cell r="E485">
            <v>0</v>
          </cell>
          <cell r="F485">
            <v>41839</v>
          </cell>
        </row>
        <row r="486">
          <cell r="A486">
            <v>1842212840</v>
          </cell>
          <cell r="B486" t="str">
            <v>סיוע חד פעמי לחימום</v>
          </cell>
          <cell r="C486">
            <v>3000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1842400410</v>
          </cell>
          <cell r="B487" t="str">
            <v>שכ"ד מועדון-מלביש</v>
          </cell>
          <cell r="C487">
            <v>27600</v>
          </cell>
          <cell r="D487">
            <v>29940</v>
          </cell>
          <cell r="E487">
            <v>0</v>
          </cell>
          <cell r="F487">
            <v>29940</v>
          </cell>
        </row>
        <row r="488">
          <cell r="A488">
            <v>1842400810</v>
          </cell>
          <cell r="B488" t="str">
            <v>סדנאות לטפול במשפ/קיטנות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1842400840</v>
          </cell>
          <cell r="B489" t="str">
            <v>מרכזי טיפול באלימות</v>
          </cell>
          <cell r="C489">
            <v>105333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1842410110</v>
          </cell>
          <cell r="B490" t="str">
            <v>מבוטל-נתיבים להורות-שמיד</v>
          </cell>
          <cell r="C490">
            <v>0</v>
          </cell>
          <cell r="D490">
            <v>35845.760000000002</v>
          </cell>
          <cell r="E490">
            <v>0</v>
          </cell>
          <cell r="F490">
            <v>35845.760000000002</v>
          </cell>
        </row>
        <row r="491">
          <cell r="A491">
            <v>1842410840</v>
          </cell>
          <cell r="B491" t="str">
            <v>סדנאות לטיפול במשפחה</v>
          </cell>
          <cell r="C491">
            <v>0</v>
          </cell>
          <cell r="D491">
            <v>1296</v>
          </cell>
          <cell r="E491">
            <v>0</v>
          </cell>
          <cell r="F491">
            <v>1296</v>
          </cell>
        </row>
        <row r="492">
          <cell r="A492">
            <v>1842500810</v>
          </cell>
          <cell r="B492" t="str">
            <v>תחנה לטיפול משפחתי</v>
          </cell>
          <cell r="C492">
            <v>0</v>
          </cell>
          <cell r="D492">
            <v>-780</v>
          </cell>
          <cell r="E492">
            <v>0</v>
          </cell>
          <cell r="F492">
            <v>-780</v>
          </cell>
        </row>
        <row r="493">
          <cell r="A493">
            <v>1843500110</v>
          </cell>
          <cell r="B493" t="str">
            <v>שכר נתיבים להורות</v>
          </cell>
          <cell r="C493">
            <v>24000</v>
          </cell>
          <cell r="D493">
            <v>47263.06</v>
          </cell>
          <cell r="E493">
            <v>0</v>
          </cell>
          <cell r="F493">
            <v>47263.06</v>
          </cell>
        </row>
        <row r="494">
          <cell r="A494">
            <v>1843500840</v>
          </cell>
          <cell r="B494" t="str">
            <v>טיפול במשפחות</v>
          </cell>
          <cell r="C494">
            <v>303664</v>
          </cell>
          <cell r="D494">
            <v>0</v>
          </cell>
          <cell r="E494">
            <v>3728.8</v>
          </cell>
          <cell r="F494">
            <v>3728.8</v>
          </cell>
        </row>
        <row r="495">
          <cell r="A495">
            <v>1843520840</v>
          </cell>
          <cell r="B495" t="str">
            <v>טיפול בילד בקהילה</v>
          </cell>
          <cell r="C495">
            <v>281200</v>
          </cell>
          <cell r="D495">
            <v>341119</v>
          </cell>
          <cell r="E495">
            <v>0</v>
          </cell>
          <cell r="F495">
            <v>341119</v>
          </cell>
        </row>
        <row r="496">
          <cell r="A496">
            <v>1843530840</v>
          </cell>
          <cell r="B496" t="str">
            <v>מועדוניות משותפות</v>
          </cell>
          <cell r="C496">
            <v>105333</v>
          </cell>
          <cell r="D496">
            <v>33012</v>
          </cell>
          <cell r="E496">
            <v>19759.29</v>
          </cell>
          <cell r="F496">
            <v>52771.29</v>
          </cell>
        </row>
        <row r="497">
          <cell r="A497">
            <v>1843600810</v>
          </cell>
          <cell r="B497" t="str">
            <v>יצירת קשר הורים</v>
          </cell>
          <cell r="C497">
            <v>39712</v>
          </cell>
          <cell r="D497">
            <v>5919</v>
          </cell>
          <cell r="E497">
            <v>0</v>
          </cell>
          <cell r="F497">
            <v>5919</v>
          </cell>
        </row>
        <row r="498">
          <cell r="A498">
            <v>1843800840</v>
          </cell>
          <cell r="B498" t="str">
            <v>אחזקת ילדים בפנימיות</v>
          </cell>
          <cell r="C498">
            <v>489664</v>
          </cell>
          <cell r="D498">
            <v>792221</v>
          </cell>
          <cell r="E498">
            <v>0</v>
          </cell>
          <cell r="F498">
            <v>792221</v>
          </cell>
        </row>
        <row r="499">
          <cell r="A499">
            <v>1843810840</v>
          </cell>
          <cell r="B499" t="str">
            <v>תוכנית עם הפנים לקהילה</v>
          </cell>
          <cell r="C499">
            <v>115291</v>
          </cell>
          <cell r="D499">
            <v>53641</v>
          </cell>
          <cell r="E499">
            <v>15001</v>
          </cell>
          <cell r="F499">
            <v>68642</v>
          </cell>
        </row>
        <row r="500">
          <cell r="A500">
            <v>1843900840</v>
          </cell>
          <cell r="B500" t="str">
            <v>ילדים במעונות יום</v>
          </cell>
          <cell r="C500">
            <v>699328</v>
          </cell>
          <cell r="D500">
            <v>671142</v>
          </cell>
          <cell r="E500">
            <v>0</v>
          </cell>
          <cell r="F500">
            <v>671142</v>
          </cell>
        </row>
        <row r="501">
          <cell r="A501">
            <v>1843901810</v>
          </cell>
          <cell r="B501" t="str">
            <v>טיפול בפגיעות מיניות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1843902810</v>
          </cell>
          <cell r="B502" t="str">
            <v>תכנית לאומית ילדים בסיכון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1844300840</v>
          </cell>
          <cell r="B503" t="str">
            <v>אחזקת זקנים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1844400410</v>
          </cell>
          <cell r="B504" t="str">
            <v>מועדון זקנים</v>
          </cell>
          <cell r="C504">
            <v>42000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1844400750</v>
          </cell>
          <cell r="B505" t="str">
            <v>פעולות מועדון זקנים</v>
          </cell>
          <cell r="C505">
            <v>13333</v>
          </cell>
          <cell r="D505">
            <v>4100</v>
          </cell>
          <cell r="E505">
            <v>6488.72</v>
          </cell>
          <cell r="F505">
            <v>10588.72</v>
          </cell>
        </row>
        <row r="506">
          <cell r="A506">
            <v>1844400840</v>
          </cell>
          <cell r="B506" t="str">
            <v>שכונה תומכת</v>
          </cell>
          <cell r="C506">
            <v>30267</v>
          </cell>
          <cell r="D506">
            <v>57878</v>
          </cell>
          <cell r="E506">
            <v>0</v>
          </cell>
          <cell r="F506">
            <v>57878</v>
          </cell>
        </row>
        <row r="507">
          <cell r="A507">
            <v>1844410410</v>
          </cell>
          <cell r="B507" t="str">
            <v>טיפול בזקן בקהילה</v>
          </cell>
          <cell r="C507">
            <v>27600</v>
          </cell>
          <cell r="D507">
            <v>42000</v>
          </cell>
          <cell r="E507">
            <v>0</v>
          </cell>
          <cell r="F507">
            <v>42000</v>
          </cell>
        </row>
        <row r="508">
          <cell r="A508">
            <v>1844410840</v>
          </cell>
          <cell r="B508" t="str">
            <v>טיפול בזקן בקהילה</v>
          </cell>
          <cell r="C508">
            <v>0</v>
          </cell>
          <cell r="D508">
            <v>53416</v>
          </cell>
          <cell r="E508">
            <v>0</v>
          </cell>
          <cell r="F508">
            <v>53416</v>
          </cell>
        </row>
        <row r="509">
          <cell r="A509">
            <v>1844430840</v>
          </cell>
          <cell r="B509" t="str">
            <v>מרכזי ועדות חוק סעוד</v>
          </cell>
          <cell r="C509">
            <v>37000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1844510840</v>
          </cell>
          <cell r="B510" t="str">
            <v>מסגרות יומיות לזקן</v>
          </cell>
          <cell r="C510">
            <v>209067</v>
          </cell>
          <cell r="D510">
            <v>469331</v>
          </cell>
          <cell r="E510">
            <v>0</v>
          </cell>
          <cell r="F510">
            <v>469331</v>
          </cell>
        </row>
        <row r="511">
          <cell r="A511">
            <v>1845100840</v>
          </cell>
          <cell r="B511" t="str">
            <v>סידור מפגרים במוסדות</v>
          </cell>
          <cell r="C511">
            <v>3497280</v>
          </cell>
          <cell r="D511">
            <v>2746213</v>
          </cell>
          <cell r="E511">
            <v>0</v>
          </cell>
          <cell r="F511">
            <v>2746213</v>
          </cell>
        </row>
        <row r="512">
          <cell r="A512">
            <v>1845120840</v>
          </cell>
          <cell r="B512" t="str">
            <v>מפגרים במוסד ממשלתי</v>
          </cell>
          <cell r="C512">
            <v>156000</v>
          </cell>
          <cell r="D512">
            <v>146318</v>
          </cell>
          <cell r="E512">
            <v>0</v>
          </cell>
          <cell r="F512">
            <v>146318</v>
          </cell>
        </row>
        <row r="513">
          <cell r="A513">
            <v>1845130840</v>
          </cell>
          <cell r="B513" t="str">
            <v>מועדונים לילדים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1845140840</v>
          </cell>
          <cell r="B514" t="str">
            <v>החזקת אוטיסטים במסגרת</v>
          </cell>
          <cell r="C514">
            <v>288024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1845200810</v>
          </cell>
          <cell r="B515" t="str">
            <v>מפגרים במעון טיפולי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1845200840</v>
          </cell>
          <cell r="B516" t="str">
            <v>מפגרים במעון טיפולי</v>
          </cell>
          <cell r="C516">
            <v>273280</v>
          </cell>
          <cell r="D516">
            <v>215830</v>
          </cell>
          <cell r="E516">
            <v>0</v>
          </cell>
          <cell r="F516">
            <v>215830</v>
          </cell>
        </row>
        <row r="517">
          <cell r="A517">
            <v>1845210840</v>
          </cell>
          <cell r="B517" t="str">
            <v>מפגרים במעון אמוני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1845240810</v>
          </cell>
          <cell r="B518" t="str">
            <v>מעשי"ם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1845240840</v>
          </cell>
          <cell r="B519" t="str">
            <v>מעשי"ם</v>
          </cell>
          <cell r="C519">
            <v>263808</v>
          </cell>
          <cell r="D519">
            <v>336635</v>
          </cell>
          <cell r="E519">
            <v>0</v>
          </cell>
          <cell r="F519">
            <v>336635</v>
          </cell>
        </row>
        <row r="520">
          <cell r="A520">
            <v>1845300840</v>
          </cell>
          <cell r="B520" t="str">
            <v>שירותים תומכים למפגר</v>
          </cell>
          <cell r="C520">
            <v>10000</v>
          </cell>
          <cell r="D520">
            <v>15825</v>
          </cell>
          <cell r="E520">
            <v>0</v>
          </cell>
          <cell r="F520">
            <v>15825</v>
          </cell>
        </row>
        <row r="521">
          <cell r="A521">
            <v>1845310840</v>
          </cell>
          <cell r="B521" t="str">
            <v>נופשונים למפגר</v>
          </cell>
          <cell r="C521">
            <v>17952</v>
          </cell>
          <cell r="D521">
            <v>16681</v>
          </cell>
          <cell r="E521">
            <v>0</v>
          </cell>
          <cell r="F521">
            <v>16681</v>
          </cell>
        </row>
        <row r="522">
          <cell r="A522">
            <v>1845311840</v>
          </cell>
          <cell r="B522" t="str">
            <v>הסעות למ.יום למפגר</v>
          </cell>
          <cell r="C522">
            <v>77200</v>
          </cell>
          <cell r="D522">
            <v>154149</v>
          </cell>
          <cell r="E522">
            <v>0</v>
          </cell>
          <cell r="F522">
            <v>154149</v>
          </cell>
        </row>
        <row r="523">
          <cell r="A523">
            <v>1845320840</v>
          </cell>
          <cell r="B523" t="str">
            <v>מועדון חברתי למפגרים</v>
          </cell>
          <cell r="C523">
            <v>20000</v>
          </cell>
          <cell r="D523">
            <v>13337</v>
          </cell>
          <cell r="E523">
            <v>0</v>
          </cell>
          <cell r="F523">
            <v>13337</v>
          </cell>
        </row>
        <row r="524">
          <cell r="A524">
            <v>1846290840</v>
          </cell>
          <cell r="B524" t="str">
            <v>שיקום העיוור בקהילה</v>
          </cell>
          <cell r="C524">
            <v>55333</v>
          </cell>
          <cell r="D524">
            <v>41166</v>
          </cell>
          <cell r="E524">
            <v>0</v>
          </cell>
          <cell r="F524">
            <v>41166</v>
          </cell>
        </row>
        <row r="525">
          <cell r="A525">
            <v>1846300840</v>
          </cell>
          <cell r="B525" t="str">
            <v>דמי ליווי לעוור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1846310840</v>
          </cell>
          <cell r="B526" t="str">
            <v>הדרכת עוור ובני ביתו</v>
          </cell>
          <cell r="C526">
            <v>32569</v>
          </cell>
          <cell r="D526">
            <v>37695</v>
          </cell>
          <cell r="E526">
            <v>0</v>
          </cell>
          <cell r="F526">
            <v>37695</v>
          </cell>
        </row>
        <row r="527">
          <cell r="A527">
            <v>1846600840</v>
          </cell>
          <cell r="B527" t="str">
            <v>תעסוקה מוגנת למוגבל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1846610810</v>
          </cell>
          <cell r="B528" t="str">
            <v>תוכנית לילד החריג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1846700840</v>
          </cell>
          <cell r="B529" t="str">
            <v>מ.יום שיקומי לנכים</v>
          </cell>
          <cell r="C529">
            <v>44768</v>
          </cell>
          <cell r="D529">
            <v>33171</v>
          </cell>
          <cell r="E529">
            <v>0</v>
          </cell>
          <cell r="F529">
            <v>33171</v>
          </cell>
        </row>
        <row r="530">
          <cell r="A530">
            <v>1846710840</v>
          </cell>
          <cell r="B530" t="str">
            <v>הסעות למ.יום שיקומי לנכים</v>
          </cell>
          <cell r="C530">
            <v>100000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1846720840</v>
          </cell>
          <cell r="B531" t="str">
            <v>ליווי למ.יום שיקומי</v>
          </cell>
          <cell r="C531">
            <v>40000</v>
          </cell>
          <cell r="D531">
            <v>23969</v>
          </cell>
          <cell r="E531">
            <v>0</v>
          </cell>
          <cell r="F531">
            <v>23969</v>
          </cell>
        </row>
        <row r="532">
          <cell r="A532">
            <v>1846740840</v>
          </cell>
          <cell r="B532" t="str">
            <v>מועדון חברתי לבוגרים</v>
          </cell>
          <cell r="C532">
            <v>36000</v>
          </cell>
          <cell r="D532">
            <v>60000</v>
          </cell>
          <cell r="E532">
            <v>0</v>
          </cell>
          <cell r="F532">
            <v>60000</v>
          </cell>
        </row>
        <row r="533">
          <cell r="A533">
            <v>1846750840</v>
          </cell>
          <cell r="B533" t="str">
            <v>תעסוקה נתמכת לנכים</v>
          </cell>
          <cell r="C533">
            <v>6667</v>
          </cell>
          <cell r="D533">
            <v>9622</v>
          </cell>
          <cell r="E533">
            <v>0</v>
          </cell>
          <cell r="F533">
            <v>9622</v>
          </cell>
        </row>
        <row r="534">
          <cell r="A534">
            <v>1846760840</v>
          </cell>
          <cell r="B534" t="str">
            <v>תוכנית מעבר</v>
          </cell>
          <cell r="C534">
            <v>6000</v>
          </cell>
          <cell r="D534">
            <v>5614</v>
          </cell>
          <cell r="E534">
            <v>0</v>
          </cell>
          <cell r="F534">
            <v>5614</v>
          </cell>
        </row>
        <row r="535">
          <cell r="A535">
            <v>1846800810</v>
          </cell>
          <cell r="B535" t="str">
            <v>דמי תקשורת לחירשים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1846800840</v>
          </cell>
          <cell r="B536" t="str">
            <v>מרכזי איבחון ושיקום</v>
          </cell>
          <cell r="C536">
            <v>28000</v>
          </cell>
          <cell r="D536">
            <v>27931</v>
          </cell>
          <cell r="E536">
            <v>0</v>
          </cell>
          <cell r="F536">
            <v>27931</v>
          </cell>
        </row>
        <row r="537">
          <cell r="A537">
            <v>1846805840</v>
          </cell>
          <cell r="B537" t="str">
            <v>מרכזי אבחון ושיקום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1846810840</v>
          </cell>
          <cell r="B538" t="str">
            <v>שיקום נכים</v>
          </cell>
          <cell r="C538">
            <v>16667</v>
          </cell>
          <cell r="D538">
            <v>7702</v>
          </cell>
          <cell r="E538">
            <v>0</v>
          </cell>
          <cell r="F538">
            <v>7702</v>
          </cell>
        </row>
        <row r="539">
          <cell r="A539">
            <v>1846820840</v>
          </cell>
          <cell r="B539" t="str">
            <v>נכים קשים בקהילה</v>
          </cell>
          <cell r="C539">
            <v>0</v>
          </cell>
          <cell r="D539">
            <v>1170</v>
          </cell>
          <cell r="E539">
            <v>0</v>
          </cell>
          <cell r="F539">
            <v>1170</v>
          </cell>
        </row>
        <row r="540">
          <cell r="A540">
            <v>1846825840</v>
          </cell>
          <cell r="B540" t="str">
            <v>בוגרים עוורים בקהילה</v>
          </cell>
          <cell r="C540">
            <v>42667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1846830840</v>
          </cell>
          <cell r="B541" t="str">
            <v>ילדים עוורים בקהילה</v>
          </cell>
          <cell r="C541">
            <v>41333</v>
          </cell>
          <cell r="D541">
            <v>38357</v>
          </cell>
          <cell r="E541">
            <v>0</v>
          </cell>
          <cell r="F541">
            <v>38357</v>
          </cell>
        </row>
        <row r="542">
          <cell r="A542">
            <v>1847100840</v>
          </cell>
          <cell r="B542" t="str">
            <v>טיפול בנוער ובצעירים</v>
          </cell>
          <cell r="C542">
            <v>10667</v>
          </cell>
          <cell r="D542">
            <v>0</v>
          </cell>
          <cell r="E542">
            <v>10473.68</v>
          </cell>
          <cell r="F542">
            <v>10473.68</v>
          </cell>
        </row>
        <row r="543">
          <cell r="A543">
            <v>1847110840</v>
          </cell>
          <cell r="B543" t="str">
            <v>טיפול בנערות במצוקה</v>
          </cell>
          <cell r="C543">
            <v>12287</v>
          </cell>
          <cell r="D543">
            <v>3600</v>
          </cell>
          <cell r="E543">
            <v>4000</v>
          </cell>
          <cell r="F543">
            <v>7600</v>
          </cell>
        </row>
        <row r="544">
          <cell r="A544">
            <v>1847130840</v>
          </cell>
          <cell r="B544" t="str">
            <v>טיפול בחבורות רחוב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1847140840</v>
          </cell>
          <cell r="B545" t="str">
            <v>פרויקט וינגיט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1847300750</v>
          </cell>
          <cell r="B546" t="str">
            <v>פעילות תוכנית סמים ואלכהוול</v>
          </cell>
          <cell r="C546">
            <v>16000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1847300840</v>
          </cell>
          <cell r="B547" t="str">
            <v>טיפול בנוער מתמכר</v>
          </cell>
          <cell r="C547">
            <v>12000</v>
          </cell>
          <cell r="D547">
            <v>133</v>
          </cell>
          <cell r="E547">
            <v>0</v>
          </cell>
          <cell r="F547">
            <v>133</v>
          </cell>
        </row>
        <row r="548">
          <cell r="A548">
            <v>1847310840</v>
          </cell>
          <cell r="B548" t="str">
            <v>מקלט לנערות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>
            <v>1847320840</v>
          </cell>
          <cell r="B549" t="str">
            <v>התמכרויות - מבוגרים</v>
          </cell>
          <cell r="C549">
            <v>26667</v>
          </cell>
          <cell r="D549">
            <v>30975</v>
          </cell>
          <cell r="E549">
            <v>0</v>
          </cell>
          <cell r="F549">
            <v>30975</v>
          </cell>
        </row>
        <row r="550">
          <cell r="A550">
            <v>1847330840</v>
          </cell>
          <cell r="B550" t="str">
            <v>מ.יום לנוער -סמים</v>
          </cell>
          <cell r="C550">
            <v>0</v>
          </cell>
          <cell r="D550">
            <v>2796</v>
          </cell>
          <cell r="E550">
            <v>0</v>
          </cell>
          <cell r="F550">
            <v>2796</v>
          </cell>
        </row>
        <row r="551">
          <cell r="A551">
            <v>1847400110</v>
          </cell>
          <cell r="B551" t="str">
            <v>שכר למפתן(מית"ר)</v>
          </cell>
          <cell r="C551">
            <v>593230</v>
          </cell>
          <cell r="D551">
            <v>562500.84</v>
          </cell>
          <cell r="E551">
            <v>0</v>
          </cell>
          <cell r="F551">
            <v>562500.84</v>
          </cell>
        </row>
        <row r="552">
          <cell r="A552">
            <v>1847400430</v>
          </cell>
          <cell r="B552" t="str">
            <v>מית"ר - חשמל</v>
          </cell>
          <cell r="C552">
            <v>25000</v>
          </cell>
          <cell r="D552">
            <v>2982.62</v>
          </cell>
          <cell r="E552">
            <v>0</v>
          </cell>
          <cell r="F552">
            <v>2982.62</v>
          </cell>
        </row>
        <row r="553">
          <cell r="A553">
            <v>1847400470</v>
          </cell>
          <cell r="B553" t="str">
            <v>מית"ר - ציוד משרדי</v>
          </cell>
          <cell r="C553">
            <v>6000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>
            <v>1847400541</v>
          </cell>
          <cell r="B554" t="str">
            <v>מית"ר טלפונים</v>
          </cell>
          <cell r="C554">
            <v>5400</v>
          </cell>
          <cell r="D554">
            <v>4017.9</v>
          </cell>
          <cell r="E554">
            <v>0</v>
          </cell>
          <cell r="F554">
            <v>4017.9</v>
          </cell>
        </row>
        <row r="555">
          <cell r="A555">
            <v>1847400720</v>
          </cell>
          <cell r="B555" t="str">
            <v>מית"ר חומרים וציוד</v>
          </cell>
          <cell r="C555">
            <v>54000</v>
          </cell>
          <cell r="D555">
            <v>14286.01</v>
          </cell>
          <cell r="E555">
            <v>13100.91</v>
          </cell>
          <cell r="F555">
            <v>27386.92</v>
          </cell>
        </row>
        <row r="556">
          <cell r="A556">
            <v>1847400750</v>
          </cell>
          <cell r="B556" t="str">
            <v>מית"ר - קבלניות</v>
          </cell>
          <cell r="C556">
            <v>128000</v>
          </cell>
          <cell r="D556">
            <v>36477</v>
          </cell>
          <cell r="E556">
            <v>42961.4</v>
          </cell>
          <cell r="F556">
            <v>79438.399999999994</v>
          </cell>
        </row>
        <row r="557">
          <cell r="A557">
            <v>1847400780</v>
          </cell>
          <cell r="B557" t="str">
            <v>מזון מית"ר</v>
          </cell>
          <cell r="C557">
            <v>48000</v>
          </cell>
          <cell r="D557">
            <v>36493</v>
          </cell>
          <cell r="E557">
            <v>10250</v>
          </cell>
          <cell r="F557">
            <v>46743</v>
          </cell>
        </row>
        <row r="558">
          <cell r="A558">
            <v>1847400930</v>
          </cell>
          <cell r="B558" t="str">
            <v>מפתן מקומי-מית"ר</v>
          </cell>
          <cell r="C558">
            <v>3250</v>
          </cell>
          <cell r="D558">
            <v>3450</v>
          </cell>
          <cell r="E558">
            <v>0</v>
          </cell>
          <cell r="F558">
            <v>3450</v>
          </cell>
        </row>
        <row r="559">
          <cell r="A559">
            <v>1847410750</v>
          </cell>
          <cell r="B559" t="str">
            <v>מית"ר הסעות</v>
          </cell>
          <cell r="C559">
            <v>48000</v>
          </cell>
          <cell r="D559">
            <v>9103.2199999999993</v>
          </cell>
          <cell r="E559">
            <v>15850</v>
          </cell>
          <cell r="F559">
            <v>24953.22</v>
          </cell>
        </row>
        <row r="560">
          <cell r="A560">
            <v>1847410840</v>
          </cell>
          <cell r="B560" t="str">
            <v>מניעת אלימות במפתנים</v>
          </cell>
          <cell r="C560">
            <v>16000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1847500540</v>
          </cell>
          <cell r="B561" t="str">
            <v>טלפון מית"ר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1848200840</v>
          </cell>
          <cell r="B562" t="str">
            <v>עבודה קהילתית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1848210840</v>
          </cell>
          <cell r="B563" t="str">
            <v>צח"י צפון ועוטף עז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1848300840</v>
          </cell>
          <cell r="B564" t="str">
            <v>פעולות התנדבות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1851000430</v>
          </cell>
          <cell r="B565" t="str">
            <v>מועצה דתית-חשמל ומים</v>
          </cell>
          <cell r="C565">
            <v>0</v>
          </cell>
          <cell r="D565">
            <v>7070.08</v>
          </cell>
          <cell r="E565">
            <v>0</v>
          </cell>
          <cell r="F565">
            <v>7070.08</v>
          </cell>
        </row>
        <row r="566">
          <cell r="A566">
            <v>1851000431</v>
          </cell>
          <cell r="B566" t="str">
            <v>מועצה דתית - חשמל</v>
          </cell>
          <cell r="C566">
            <v>6000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1851000432</v>
          </cell>
          <cell r="B567" t="str">
            <v>מועצה דתית - מים</v>
          </cell>
          <cell r="C567">
            <v>25000</v>
          </cell>
          <cell r="D567">
            <v>20354</v>
          </cell>
          <cell r="E567">
            <v>0</v>
          </cell>
          <cell r="F567">
            <v>20354</v>
          </cell>
        </row>
        <row r="568">
          <cell r="A568">
            <v>1851000810</v>
          </cell>
          <cell r="B568" t="str">
            <v>השתתפות בתקציב הדתות</v>
          </cell>
          <cell r="C568">
            <v>16000</v>
          </cell>
          <cell r="D568">
            <v>14000</v>
          </cell>
          <cell r="E568">
            <v>0</v>
          </cell>
          <cell r="F568">
            <v>14000</v>
          </cell>
        </row>
        <row r="569">
          <cell r="A569">
            <v>1879000780</v>
          </cell>
          <cell r="B569" t="str">
            <v>איכות הסביבה שונות</v>
          </cell>
          <cell r="C569">
            <v>85000</v>
          </cell>
          <cell r="D569">
            <v>16955.07</v>
          </cell>
          <cell r="E569">
            <v>25273.52</v>
          </cell>
          <cell r="F569">
            <v>42228.59</v>
          </cell>
        </row>
        <row r="570">
          <cell r="A570">
            <v>1913000110</v>
          </cell>
          <cell r="B570" t="str">
            <v>שכר משק המים וביוב</v>
          </cell>
          <cell r="C570">
            <v>316000</v>
          </cell>
          <cell r="D570">
            <v>274122.83</v>
          </cell>
          <cell r="E570">
            <v>0</v>
          </cell>
          <cell r="F570">
            <v>274122.83</v>
          </cell>
        </row>
        <row r="571">
          <cell r="A571">
            <v>1913000420</v>
          </cell>
          <cell r="B571" t="str">
            <v>מים-תיקונים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1913000431</v>
          </cell>
          <cell r="B572" t="str">
            <v>**מבוטל***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1913000719</v>
          </cell>
          <cell r="B573" t="str">
            <v>חומרים מחלקת מים</v>
          </cell>
          <cell r="C573">
            <v>48000</v>
          </cell>
          <cell r="D573">
            <v>17854.25</v>
          </cell>
          <cell r="E573">
            <v>4175</v>
          </cell>
          <cell r="F573">
            <v>22029.25</v>
          </cell>
        </row>
        <row r="574">
          <cell r="A574">
            <v>1913000730</v>
          </cell>
          <cell r="B574" t="str">
            <v>תחזוקת רכב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1913000731</v>
          </cell>
          <cell r="B575" t="str">
            <v>דלק וכביש 6 רכב מח' מים</v>
          </cell>
          <cell r="C575">
            <v>24000</v>
          </cell>
          <cell r="D575">
            <v>22610.45</v>
          </cell>
          <cell r="E575">
            <v>0</v>
          </cell>
          <cell r="F575">
            <v>22610.45</v>
          </cell>
        </row>
        <row r="576">
          <cell r="A576">
            <v>1913000732</v>
          </cell>
          <cell r="B576" t="str">
            <v>מים תיקונים</v>
          </cell>
          <cell r="C576">
            <v>98000</v>
          </cell>
          <cell r="D576">
            <v>96239.2</v>
          </cell>
          <cell r="E576">
            <v>106</v>
          </cell>
          <cell r="F576">
            <v>96345.2</v>
          </cell>
        </row>
        <row r="577">
          <cell r="A577">
            <v>1913000735</v>
          </cell>
          <cell r="B577" t="str">
            <v>שכירות רכב מח' מים</v>
          </cell>
          <cell r="C577">
            <v>54000</v>
          </cell>
          <cell r="D577">
            <v>42345.31</v>
          </cell>
          <cell r="E577">
            <v>0</v>
          </cell>
          <cell r="F577">
            <v>42345.31</v>
          </cell>
        </row>
        <row r="578">
          <cell r="A578">
            <v>1913000750</v>
          </cell>
          <cell r="B578" t="str">
            <v>קבלניות מח' מים</v>
          </cell>
          <cell r="C578">
            <v>250000</v>
          </cell>
          <cell r="D578">
            <v>227745.2</v>
          </cell>
          <cell r="E578">
            <v>19847.400000000001</v>
          </cell>
          <cell r="F578">
            <v>247592.6</v>
          </cell>
        </row>
        <row r="579">
          <cell r="A579">
            <v>1913000780</v>
          </cell>
          <cell r="B579" t="str">
            <v>מדי מים</v>
          </cell>
          <cell r="C579">
            <v>50000</v>
          </cell>
          <cell r="D579">
            <v>38037.5</v>
          </cell>
          <cell r="E579">
            <v>11320</v>
          </cell>
          <cell r="F579">
            <v>49357.5</v>
          </cell>
        </row>
        <row r="580">
          <cell r="A580">
            <v>1913100729</v>
          </cell>
          <cell r="B580" t="str">
            <v>קנית מים</v>
          </cell>
          <cell r="C580">
            <v>13300000</v>
          </cell>
          <cell r="D580">
            <v>11433191</v>
          </cell>
          <cell r="E580">
            <v>0</v>
          </cell>
          <cell r="F580">
            <v>11433191</v>
          </cell>
        </row>
        <row r="581">
          <cell r="A581">
            <v>1913200750</v>
          </cell>
          <cell r="B581" t="str">
            <v>בדיקות מים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1913200770</v>
          </cell>
          <cell r="B582" t="str">
            <v>חשמל-תחנת שאיבה</v>
          </cell>
          <cell r="C582">
            <v>20000</v>
          </cell>
          <cell r="D582">
            <v>8875.5</v>
          </cell>
          <cell r="E582">
            <v>0</v>
          </cell>
          <cell r="F582">
            <v>8875.5</v>
          </cell>
        </row>
        <row r="583">
          <cell r="A583">
            <v>1943100410</v>
          </cell>
          <cell r="B583" t="str">
            <v>שכירות -שירותים ציבוריים וחניה</v>
          </cell>
          <cell r="C583">
            <v>9000</v>
          </cell>
          <cell r="D583">
            <v>15000</v>
          </cell>
          <cell r="E583">
            <v>0</v>
          </cell>
          <cell r="F583">
            <v>15000</v>
          </cell>
        </row>
        <row r="584">
          <cell r="A584">
            <v>1944000970</v>
          </cell>
          <cell r="B584" t="str">
            <v>הוצ' עודפות מס הכנסה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1972000694</v>
          </cell>
          <cell r="B585" t="str">
            <v>ביוב קרן</v>
          </cell>
          <cell r="C585">
            <v>1630000</v>
          </cell>
          <cell r="D585">
            <v>1601089.52</v>
          </cell>
          <cell r="E585">
            <v>0</v>
          </cell>
          <cell r="F585">
            <v>1601089.52</v>
          </cell>
        </row>
        <row r="586">
          <cell r="A586">
            <v>1972000695</v>
          </cell>
          <cell r="B586" t="str">
            <v>ביוב ריבית</v>
          </cell>
          <cell r="C586">
            <v>1315000</v>
          </cell>
          <cell r="D586">
            <v>1309946</v>
          </cell>
          <cell r="E586">
            <v>0</v>
          </cell>
          <cell r="F586">
            <v>1309946</v>
          </cell>
        </row>
        <row r="587">
          <cell r="A587">
            <v>1972000696</v>
          </cell>
          <cell r="B587" t="str">
            <v>ביוב הצמדה</v>
          </cell>
          <cell r="C587">
            <v>212000</v>
          </cell>
          <cell r="D587">
            <v>202936.18</v>
          </cell>
          <cell r="E587">
            <v>0</v>
          </cell>
          <cell r="F587">
            <v>202936.18</v>
          </cell>
        </row>
        <row r="588">
          <cell r="A588">
            <v>1972000720</v>
          </cell>
          <cell r="B588" t="str">
            <v>ביוב עירוני</v>
          </cell>
          <cell r="C588">
            <v>2000</v>
          </cell>
          <cell r="D588">
            <v>1876.2</v>
          </cell>
          <cell r="E588">
            <v>0</v>
          </cell>
          <cell r="F588">
            <v>1876.2</v>
          </cell>
        </row>
        <row r="589">
          <cell r="A589">
            <v>1972000750</v>
          </cell>
          <cell r="B589" t="str">
            <v>אחזקת ביוב</v>
          </cell>
          <cell r="C589">
            <v>353000</v>
          </cell>
          <cell r="D589">
            <v>253574</v>
          </cell>
          <cell r="E589">
            <v>45276</v>
          </cell>
          <cell r="F589">
            <v>298850</v>
          </cell>
        </row>
        <row r="590">
          <cell r="A590">
            <v>1972000780</v>
          </cell>
          <cell r="B590" t="str">
            <v>ביוב-שונות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1973000770</v>
          </cell>
          <cell r="B591" t="str">
            <v>חשמל-מכון שפכים</v>
          </cell>
          <cell r="C591">
            <v>610000</v>
          </cell>
          <cell r="D591">
            <v>564178.78</v>
          </cell>
          <cell r="E591">
            <v>0</v>
          </cell>
          <cell r="F591">
            <v>564178.78</v>
          </cell>
        </row>
        <row r="592">
          <cell r="A592">
            <v>1973100750</v>
          </cell>
          <cell r="B592" t="str">
            <v>אגרת ביוב/חוף כרמל</v>
          </cell>
          <cell r="C592">
            <v>310000</v>
          </cell>
          <cell r="D592">
            <v>115008</v>
          </cell>
          <cell r="E592">
            <v>0</v>
          </cell>
          <cell r="F592">
            <v>115008</v>
          </cell>
        </row>
        <row r="593">
          <cell r="A593">
            <v>1973100770</v>
          </cell>
          <cell r="B593" t="str">
            <v>חשמל מכון שפכים דאליה</v>
          </cell>
          <cell r="C593">
            <v>0</v>
          </cell>
          <cell r="D593">
            <v>143.87</v>
          </cell>
          <cell r="E593">
            <v>0</v>
          </cell>
          <cell r="F593">
            <v>143.87</v>
          </cell>
        </row>
        <row r="594">
          <cell r="A594">
            <v>1993000780</v>
          </cell>
          <cell r="B594" t="str">
            <v>הוצ' בגין שנים קודמות</v>
          </cell>
          <cell r="C594">
            <v>500000</v>
          </cell>
          <cell r="D594">
            <v>177377.46</v>
          </cell>
          <cell r="E594">
            <v>0</v>
          </cell>
          <cell r="F594">
            <v>177377.46</v>
          </cell>
        </row>
        <row r="595">
          <cell r="A595">
            <v>1993000781</v>
          </cell>
          <cell r="B595" t="str">
            <v>הוצאות שכר שנים קודמות</v>
          </cell>
          <cell r="C595">
            <v>0</v>
          </cell>
          <cell r="D595">
            <v>27295</v>
          </cell>
          <cell r="E595">
            <v>0</v>
          </cell>
          <cell r="F595">
            <v>27295</v>
          </cell>
        </row>
        <row r="596">
          <cell r="A596">
            <v>1994000970</v>
          </cell>
          <cell r="B596" t="str">
            <v>עודפות מס הכנסה</v>
          </cell>
          <cell r="C596">
            <v>18000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1995000860</v>
          </cell>
          <cell r="B597" t="str">
            <v>הנחות ארנונה</v>
          </cell>
          <cell r="C597">
            <v>5880000</v>
          </cell>
          <cell r="D597">
            <v>4046027.77</v>
          </cell>
          <cell r="E597">
            <v>0</v>
          </cell>
          <cell r="F597">
            <v>4046027.77</v>
          </cell>
        </row>
        <row r="598">
          <cell r="A598">
            <v>1996000310</v>
          </cell>
          <cell r="B598" t="str">
            <v>משכורת פנסיונרים</v>
          </cell>
          <cell r="C598">
            <v>3140000</v>
          </cell>
          <cell r="D598">
            <v>3759141.63</v>
          </cell>
          <cell r="E598">
            <v>0</v>
          </cell>
          <cell r="F598">
            <v>3759141.63</v>
          </cell>
        </row>
        <row r="599">
          <cell r="A599">
            <v>1996001110</v>
          </cell>
          <cell r="B599" t="str">
            <v>שכר פנסיונרים נוספים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1998000310</v>
          </cell>
          <cell r="B600" t="str">
            <v>שכר פינסיונירם - התייעלות</v>
          </cell>
          <cell r="C600">
            <v>0</v>
          </cell>
          <cell r="D600">
            <v>-13103.02</v>
          </cell>
          <cell r="E600">
            <v>0</v>
          </cell>
          <cell r="F600">
            <v>-13103.02</v>
          </cell>
        </row>
        <row r="601">
          <cell r="A601">
            <v>1998001110</v>
          </cell>
          <cell r="B601" t="str">
            <v>התייעלות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1998001310</v>
          </cell>
          <cell r="B602" t="str">
            <v>שכר פנסיונירים-משפטיות</v>
          </cell>
          <cell r="C602">
            <v>0</v>
          </cell>
          <cell r="D602">
            <v>3248.35</v>
          </cell>
          <cell r="E602">
            <v>0</v>
          </cell>
          <cell r="F602">
            <v>3248.35</v>
          </cell>
        </row>
        <row r="603">
          <cell r="A603">
            <v>1999000980</v>
          </cell>
          <cell r="B603" t="str">
            <v>מענק כסוי גרעון</v>
          </cell>
          <cell r="C603">
            <v>2000000</v>
          </cell>
          <cell r="D603">
            <v>3737000</v>
          </cell>
          <cell r="E603">
            <v>0</v>
          </cell>
          <cell r="F603">
            <v>3737000</v>
          </cell>
        </row>
        <row r="604">
          <cell r="A604">
            <v>1999100590</v>
          </cell>
          <cell r="B604" t="str">
            <v>הוצאות מהסכמי פשרה</v>
          </cell>
          <cell r="C604">
            <v>4000000</v>
          </cell>
          <cell r="D604">
            <v>4118652.08</v>
          </cell>
          <cell r="E604">
            <v>0</v>
          </cell>
          <cell r="F604">
            <v>4118652.08</v>
          </cell>
        </row>
        <row r="605">
          <cell r="A605">
            <v>1999100980</v>
          </cell>
          <cell r="B605" t="str">
            <v>הוצאות מותנות בגביה</v>
          </cell>
          <cell r="C605">
            <v>1971000</v>
          </cell>
          <cell r="D605">
            <v>0</v>
          </cell>
          <cell r="E605">
            <v>0</v>
          </cell>
          <cell r="F6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6:R71"/>
  <sheetViews>
    <sheetView rightToLeft="1" view="pageBreakPreview" topLeftCell="A5" zoomScaleNormal="100" zoomScaleSheetLayoutView="100" workbookViewId="0">
      <selection activeCell="D98" sqref="D98"/>
    </sheetView>
  </sheetViews>
  <sheetFormatPr defaultColWidth="9" defaultRowHeight="14" x14ac:dyDescent="0.3"/>
  <cols>
    <col min="1" max="16384" width="9" style="39"/>
  </cols>
  <sheetData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spans="1:18" ht="16.5" customHeight="1" x14ac:dyDescent="0.3"/>
    <row r="50" spans="1:18" ht="16.5" customHeight="1" x14ac:dyDescent="0.3"/>
    <row r="59" spans="1:18" x14ac:dyDescent="0.3">
      <c r="A59" s="531" t="s">
        <v>695</v>
      </c>
      <c r="B59" s="531"/>
      <c r="C59" s="531"/>
      <c r="D59" s="531"/>
      <c r="E59" s="531"/>
      <c r="F59" s="531"/>
      <c r="G59" s="531"/>
      <c r="H59" s="531"/>
      <c r="I59" s="531"/>
      <c r="J59" s="531"/>
      <c r="K59" s="531"/>
      <c r="L59" s="531"/>
      <c r="M59" s="531"/>
      <c r="N59" s="531"/>
      <c r="O59" s="531"/>
      <c r="P59" s="531"/>
      <c r="Q59" s="531"/>
      <c r="R59" s="531"/>
    </row>
    <row r="60" spans="1:18" x14ac:dyDescent="0.3">
      <c r="A60" s="532"/>
      <c r="B60" s="532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  <c r="R60" s="532"/>
    </row>
    <row r="61" spans="1:18" x14ac:dyDescent="0.3">
      <c r="A61" s="532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</row>
    <row r="62" spans="1:18" x14ac:dyDescent="0.3">
      <c r="A62" s="532"/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</row>
    <row r="63" spans="1:18" x14ac:dyDescent="0.3">
      <c r="A63" s="532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</row>
    <row r="64" spans="1:18" x14ac:dyDescent="0.3">
      <c r="A64" s="532"/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</row>
    <row r="65" spans="1:18" x14ac:dyDescent="0.3">
      <c r="A65" s="532"/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  <c r="R65" s="532"/>
    </row>
    <row r="66" spans="1:18" x14ac:dyDescent="0.3">
      <c r="A66" s="532"/>
      <c r="B66" s="53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2"/>
    </row>
    <row r="67" spans="1:18" x14ac:dyDescent="0.3">
      <c r="A67" s="532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</row>
    <row r="68" spans="1:18" x14ac:dyDescent="0.3">
      <c r="A68" s="532"/>
      <c r="B68" s="532"/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</row>
    <row r="69" spans="1:18" x14ac:dyDescent="0.3">
      <c r="A69" s="532"/>
      <c r="B69" s="532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  <c r="R69" s="532"/>
    </row>
    <row r="70" spans="1:18" x14ac:dyDescent="0.3">
      <c r="A70" s="532"/>
      <c r="B70" s="532"/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532"/>
      <c r="P70" s="532"/>
      <c r="Q70" s="532"/>
      <c r="R70" s="532"/>
    </row>
    <row r="71" spans="1:18" x14ac:dyDescent="0.3">
      <c r="A71" s="533"/>
      <c r="B71" s="533"/>
      <c r="C71" s="533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  <c r="R71" s="533"/>
    </row>
  </sheetData>
  <mergeCells count="1">
    <mergeCell ref="A59:R7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עמוד &amp;P מתוך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rightToLeft="1" workbookViewId="0">
      <selection activeCell="S8" sqref="S8"/>
    </sheetView>
  </sheetViews>
  <sheetFormatPr defaultRowHeight="14" x14ac:dyDescent="0.3"/>
  <cols>
    <col min="1" max="1" width="12.08203125" customWidth="1"/>
    <col min="2" max="2" width="10.83203125" style="171" bestFit="1" customWidth="1"/>
    <col min="3" max="3" width="3.83203125" customWidth="1"/>
    <col min="4" max="4" width="9.58203125" bestFit="1" customWidth="1"/>
    <col min="5" max="5" width="11.5" customWidth="1"/>
    <col min="6" max="6" width="11.33203125" customWidth="1"/>
    <col min="7" max="8" width="9.08203125" bestFit="1" customWidth="1"/>
    <col min="9" max="10" width="0" hidden="1" customWidth="1"/>
    <col min="11" max="12" width="9.08203125" bestFit="1" customWidth="1"/>
    <col min="13" max="14" width="0" hidden="1" customWidth="1"/>
    <col min="15" max="17" width="9.08203125" bestFit="1" customWidth="1"/>
  </cols>
  <sheetData>
    <row r="1" spans="1:17" ht="14.5" thickBot="1" x14ac:dyDescent="0.35">
      <c r="A1" s="185" t="s">
        <v>2175</v>
      </c>
    </row>
    <row r="2" spans="1:17" ht="62" x14ac:dyDescent="0.3">
      <c r="D2" s="275" t="s">
        <v>0</v>
      </c>
      <c r="E2" s="276"/>
      <c r="F2" s="275" t="s">
        <v>34</v>
      </c>
      <c r="G2" s="275" t="s">
        <v>605</v>
      </c>
      <c r="H2" s="275" t="s">
        <v>606</v>
      </c>
      <c r="I2" s="275" t="s">
        <v>609</v>
      </c>
      <c r="J2" s="275" t="s">
        <v>2144</v>
      </c>
      <c r="K2" s="275" t="s">
        <v>713</v>
      </c>
      <c r="L2" s="275" t="s">
        <v>2145</v>
      </c>
      <c r="M2" s="275" t="s">
        <v>2177</v>
      </c>
      <c r="N2" s="275" t="s">
        <v>2178</v>
      </c>
      <c r="O2" s="275" t="s">
        <v>608</v>
      </c>
      <c r="P2" s="275" t="s">
        <v>2179</v>
      </c>
      <c r="Q2" s="275" t="s">
        <v>2180</v>
      </c>
    </row>
    <row r="3" spans="1:17" ht="15.5" x14ac:dyDescent="0.35">
      <c r="A3" t="s">
        <v>2174</v>
      </c>
      <c r="B3" s="171">
        <v>251726</v>
      </c>
      <c r="D3" s="261">
        <v>1611000540</v>
      </c>
      <c r="E3" s="261" t="s">
        <v>18</v>
      </c>
      <c r="F3" s="261" t="s">
        <v>241</v>
      </c>
      <c r="G3" s="262">
        <v>4000</v>
      </c>
      <c r="H3" s="262">
        <v>4000</v>
      </c>
      <c r="I3" s="263"/>
      <c r="J3" s="263"/>
      <c r="K3" s="262">
        <v>1153</v>
      </c>
      <c r="L3" s="262">
        <v>4000</v>
      </c>
      <c r="M3" s="274">
        <f>G3-K3</f>
        <v>2847</v>
      </c>
      <c r="N3" s="274">
        <f>M3+K3</f>
        <v>4000</v>
      </c>
      <c r="O3" s="262">
        <v>7800</v>
      </c>
      <c r="P3" s="262">
        <f>O3</f>
        <v>7800</v>
      </c>
      <c r="Q3" s="262">
        <f>O3-K3</f>
        <v>6647</v>
      </c>
    </row>
    <row r="4" spans="1:17" ht="15.5" x14ac:dyDescent="0.35">
      <c r="A4" t="s">
        <v>1072</v>
      </c>
      <c r="B4" s="171">
        <f>B3/5</f>
        <v>50345.2</v>
      </c>
      <c r="D4" s="261">
        <v>1613000540</v>
      </c>
      <c r="E4" s="261" t="s">
        <v>18</v>
      </c>
      <c r="F4" s="261" t="s">
        <v>262</v>
      </c>
      <c r="G4" s="262">
        <v>380000</v>
      </c>
      <c r="H4" s="262">
        <v>380000</v>
      </c>
      <c r="I4" s="263"/>
      <c r="J4" s="263"/>
      <c r="K4" s="277">
        <v>613068.69999999995</v>
      </c>
      <c r="L4" s="262">
        <v>615000</v>
      </c>
      <c r="M4" s="274">
        <f t="shared" ref="M4:M12" si="0">G4-K4</f>
        <v>-233068.69999999995</v>
      </c>
      <c r="N4" s="274">
        <f t="shared" ref="N4:N12" si="1">M4+K4</f>
        <v>380000</v>
      </c>
      <c r="O4" s="262">
        <f>452100-7723</f>
        <v>444377</v>
      </c>
      <c r="P4" s="262">
        <f t="shared" ref="P4:P12" si="2">O4</f>
        <v>444377</v>
      </c>
      <c r="Q4" s="262">
        <f t="shared" ref="Q4:Q12" si="3">O4-K4</f>
        <v>-168691.69999999995</v>
      </c>
    </row>
    <row r="5" spans="1:17" ht="15.5" x14ac:dyDescent="0.35">
      <c r="A5" t="s">
        <v>2170</v>
      </c>
      <c r="B5" s="171">
        <f>B4*12</f>
        <v>604142.39999999991</v>
      </c>
      <c r="D5" s="261">
        <v>1621000540</v>
      </c>
      <c r="E5" s="261" t="s">
        <v>18</v>
      </c>
      <c r="F5" s="261" t="s">
        <v>287</v>
      </c>
      <c r="G5" s="262">
        <v>600</v>
      </c>
      <c r="H5" s="262">
        <v>600</v>
      </c>
      <c r="I5" s="263"/>
      <c r="J5" s="263"/>
      <c r="K5" s="262">
        <v>400</v>
      </c>
      <c r="L5" s="262">
        <v>600</v>
      </c>
      <c r="M5" s="274">
        <f t="shared" si="0"/>
        <v>200</v>
      </c>
      <c r="N5" s="274">
        <f t="shared" si="1"/>
        <v>600</v>
      </c>
      <c r="O5" s="262">
        <v>900</v>
      </c>
      <c r="P5" s="262">
        <f t="shared" si="2"/>
        <v>900</v>
      </c>
      <c r="Q5" s="262">
        <f t="shared" si="3"/>
        <v>500</v>
      </c>
    </row>
    <row r="6" spans="1:17" ht="15.5" x14ac:dyDescent="0.35">
      <c r="D6" s="261">
        <v>1711000540</v>
      </c>
      <c r="E6" s="261" t="s">
        <v>18</v>
      </c>
      <c r="F6" s="261" t="s">
        <v>241</v>
      </c>
      <c r="G6" s="262">
        <v>55000</v>
      </c>
      <c r="H6" s="262">
        <v>55000</v>
      </c>
      <c r="I6" s="263"/>
      <c r="J6" s="263"/>
      <c r="K6" s="262">
        <v>896.97600000000011</v>
      </c>
      <c r="L6" s="262">
        <v>1000</v>
      </c>
      <c r="M6" s="274">
        <f t="shared" si="0"/>
        <v>54103.023999999998</v>
      </c>
      <c r="N6" s="274">
        <f t="shared" si="1"/>
        <v>55000</v>
      </c>
      <c r="O6" s="262">
        <v>59800</v>
      </c>
      <c r="P6" s="262">
        <f t="shared" si="2"/>
        <v>59800</v>
      </c>
      <c r="Q6" s="262">
        <f t="shared" si="3"/>
        <v>58903.023999999998</v>
      </c>
    </row>
    <row r="7" spans="1:17" ht="15.5" x14ac:dyDescent="0.35">
      <c r="D7" s="261">
        <v>1811000540</v>
      </c>
      <c r="E7" s="261" t="s">
        <v>22</v>
      </c>
      <c r="F7" s="261" t="s">
        <v>405</v>
      </c>
      <c r="G7" s="262">
        <v>2000</v>
      </c>
      <c r="H7" s="262">
        <v>2000</v>
      </c>
      <c r="I7" s="263"/>
      <c r="J7" s="263"/>
      <c r="K7" s="262">
        <v>0</v>
      </c>
      <c r="L7" s="262">
        <v>1000</v>
      </c>
      <c r="M7" s="274">
        <f t="shared" si="0"/>
        <v>2000</v>
      </c>
      <c r="N7" s="274">
        <f t="shared" si="1"/>
        <v>2000</v>
      </c>
      <c r="O7" s="262">
        <v>3800</v>
      </c>
      <c r="P7" s="262">
        <f t="shared" si="2"/>
        <v>3800</v>
      </c>
      <c r="Q7" s="262">
        <f t="shared" si="3"/>
        <v>3800</v>
      </c>
    </row>
    <row r="8" spans="1:17" ht="15.5" x14ac:dyDescent="0.35">
      <c r="D8" s="261">
        <v>1812200540</v>
      </c>
      <c r="E8" s="261" t="s">
        <v>22</v>
      </c>
      <c r="F8" s="261" t="s">
        <v>419</v>
      </c>
      <c r="G8" s="262">
        <v>46282.05</v>
      </c>
      <c r="H8" s="262">
        <v>43017.948717948719</v>
      </c>
      <c r="I8" s="263"/>
      <c r="J8" s="263"/>
      <c r="K8" s="262">
        <v>0</v>
      </c>
      <c r="L8" s="262">
        <v>0</v>
      </c>
      <c r="M8" s="274">
        <f t="shared" si="0"/>
        <v>46282.05</v>
      </c>
      <c r="N8" s="274">
        <f t="shared" si="1"/>
        <v>46282.05</v>
      </c>
      <c r="O8" s="262">
        <v>49800</v>
      </c>
      <c r="P8" s="262">
        <f t="shared" si="2"/>
        <v>49800</v>
      </c>
      <c r="Q8" s="262">
        <f t="shared" si="3"/>
        <v>49800</v>
      </c>
    </row>
    <row r="9" spans="1:17" ht="15.5" x14ac:dyDescent="0.35">
      <c r="D9" s="261">
        <v>1813600540</v>
      </c>
      <c r="E9" s="261" t="s">
        <v>22</v>
      </c>
      <c r="F9" s="261" t="s">
        <v>472</v>
      </c>
      <c r="G9" s="262">
        <v>3000</v>
      </c>
      <c r="H9" s="262">
        <v>3000</v>
      </c>
      <c r="I9" s="263"/>
      <c r="J9" s="263"/>
      <c r="K9" s="277">
        <v>6252.69</v>
      </c>
      <c r="L9" s="262">
        <v>6000</v>
      </c>
      <c r="M9" s="274">
        <f t="shared" si="0"/>
        <v>-3252.6899999999996</v>
      </c>
      <c r="N9" s="274">
        <f t="shared" si="1"/>
        <v>3000</v>
      </c>
      <c r="O9" s="262">
        <v>3900</v>
      </c>
      <c r="P9" s="262">
        <f t="shared" si="2"/>
        <v>3900</v>
      </c>
      <c r="Q9" s="262">
        <f t="shared" si="3"/>
        <v>-2352.6899999999996</v>
      </c>
    </row>
    <row r="10" spans="1:17" ht="15.5" x14ac:dyDescent="0.35">
      <c r="D10" s="261">
        <v>1817300540</v>
      </c>
      <c r="E10" s="261" t="s">
        <v>22</v>
      </c>
      <c r="F10" s="261" t="s">
        <v>493</v>
      </c>
      <c r="G10" s="262">
        <v>7000</v>
      </c>
      <c r="H10" s="262">
        <v>7000</v>
      </c>
      <c r="I10" s="263"/>
      <c r="J10" s="263"/>
      <c r="K10" s="262">
        <v>447.86400000000003</v>
      </c>
      <c r="L10" s="262">
        <v>500</v>
      </c>
      <c r="M10" s="274">
        <f t="shared" si="0"/>
        <v>6552.1360000000004</v>
      </c>
      <c r="N10" s="274">
        <f t="shared" si="1"/>
        <v>7000</v>
      </c>
      <c r="O10" s="262">
        <v>7900</v>
      </c>
      <c r="P10" s="262">
        <f t="shared" si="2"/>
        <v>7900</v>
      </c>
      <c r="Q10" s="262">
        <f t="shared" si="3"/>
        <v>7452.1360000000004</v>
      </c>
    </row>
    <row r="11" spans="1:17" ht="15.5" x14ac:dyDescent="0.35">
      <c r="D11" s="261">
        <v>1829200540</v>
      </c>
      <c r="E11" s="261" t="s">
        <v>18</v>
      </c>
      <c r="F11" s="261" t="s">
        <v>526</v>
      </c>
      <c r="G11" s="262">
        <v>4000</v>
      </c>
      <c r="H11" s="262">
        <v>4000</v>
      </c>
      <c r="I11" s="263"/>
      <c r="J11" s="263"/>
      <c r="K11" s="277">
        <v>2122.7800000000002</v>
      </c>
      <c r="L11" s="262">
        <v>2000</v>
      </c>
      <c r="M11" s="274">
        <f t="shared" si="0"/>
        <v>1877.2199999999998</v>
      </c>
      <c r="N11" s="274">
        <f t="shared" si="1"/>
        <v>4000</v>
      </c>
      <c r="O11" s="262">
        <v>5500</v>
      </c>
      <c r="P11" s="262">
        <f t="shared" si="2"/>
        <v>5500</v>
      </c>
      <c r="Q11" s="262">
        <f t="shared" si="3"/>
        <v>3377.22</v>
      </c>
    </row>
    <row r="12" spans="1:17" ht="15.5" x14ac:dyDescent="0.35">
      <c r="D12" s="261">
        <v>1841000540</v>
      </c>
      <c r="E12" s="261" t="s">
        <v>24</v>
      </c>
      <c r="F12" s="261" t="s">
        <v>241</v>
      </c>
      <c r="G12" s="262">
        <v>35000</v>
      </c>
      <c r="H12" s="262">
        <v>35000</v>
      </c>
      <c r="I12" s="263"/>
      <c r="J12" s="263"/>
      <c r="K12" s="277">
        <v>1435.3</v>
      </c>
      <c r="L12" s="262">
        <v>1500</v>
      </c>
      <c r="M12" s="274">
        <f t="shared" si="0"/>
        <v>33564.699999999997</v>
      </c>
      <c r="N12" s="274">
        <f t="shared" si="1"/>
        <v>35000</v>
      </c>
      <c r="O12" s="262">
        <v>42000</v>
      </c>
      <c r="P12" s="262">
        <f t="shared" si="2"/>
        <v>42000</v>
      </c>
      <c r="Q12" s="262">
        <f t="shared" si="3"/>
        <v>40564.699999999997</v>
      </c>
    </row>
    <row r="15" spans="1:17" x14ac:dyDescent="0.3">
      <c r="G15" s="274">
        <f>SUM(G3:G14)</f>
        <v>536882.05000000005</v>
      </c>
      <c r="H15" s="274">
        <f t="shared" ref="H15:O15" si="4">SUM(H3:H14)</f>
        <v>533617.94871794875</v>
      </c>
      <c r="I15" s="274">
        <f t="shared" si="4"/>
        <v>0</v>
      </c>
      <c r="J15" s="274">
        <f t="shared" si="4"/>
        <v>0</v>
      </c>
      <c r="K15" s="274">
        <f t="shared" si="4"/>
        <v>625777.30999999994</v>
      </c>
      <c r="L15" s="274">
        <f t="shared" si="4"/>
        <v>631600</v>
      </c>
      <c r="M15" s="274">
        <f t="shared" si="4"/>
        <v>-88895.259999999951</v>
      </c>
      <c r="N15" s="274">
        <f t="shared" si="4"/>
        <v>536882.05000000005</v>
      </c>
      <c r="O15" s="274">
        <f t="shared" si="4"/>
        <v>625777</v>
      </c>
      <c r="P15" s="274">
        <f>SUM(P3:P14)</f>
        <v>625777</v>
      </c>
      <c r="Q15" s="274">
        <f>SUM(Q3:Q14)</f>
        <v>-0.30999999995401595</v>
      </c>
    </row>
    <row r="17" spans="11:11" x14ac:dyDescent="0.3">
      <c r="K17" s="274">
        <f>G15-K15</f>
        <v>-88895.259999999893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rightToLeft="1" workbookViewId="0">
      <selection activeCell="D24" sqref="D24"/>
    </sheetView>
  </sheetViews>
  <sheetFormatPr defaultRowHeight="14" x14ac:dyDescent="0.3"/>
  <cols>
    <col min="2" max="2" width="11.58203125" customWidth="1"/>
    <col min="3" max="3" width="15.5" style="171" customWidth="1"/>
    <col min="4" max="4" width="14.08203125" customWidth="1"/>
    <col min="5" max="5" width="11.5" bestFit="1" customWidth="1"/>
    <col min="8" max="8" width="12.08203125" style="239" customWidth="1"/>
    <col min="9" max="9" width="15.5" style="239" customWidth="1"/>
    <col min="10" max="10" width="21.58203125" style="239" customWidth="1"/>
    <col min="11" max="11" width="16.08203125" style="239" bestFit="1" customWidth="1"/>
    <col min="12" max="12" width="13.58203125" style="239" bestFit="1" customWidth="1"/>
    <col min="13" max="13" width="14.58203125" style="239" bestFit="1" customWidth="1"/>
    <col min="14" max="14" width="11.75" style="239" customWidth="1"/>
    <col min="15" max="16" width="6.08203125" style="239" bestFit="1" customWidth="1"/>
    <col min="17" max="17" width="12.25" style="239" customWidth="1"/>
  </cols>
  <sheetData>
    <row r="1" spans="1:17" ht="23.5" thickBot="1" x14ac:dyDescent="0.55000000000000004">
      <c r="A1" s="273" t="s">
        <v>2172</v>
      </c>
      <c r="D1">
        <v>2019</v>
      </c>
    </row>
    <row r="2" spans="1:17" ht="42.5" thickBot="1" x14ac:dyDescent="0.35">
      <c r="A2" t="s">
        <v>2165</v>
      </c>
      <c r="C2" s="258">
        <v>317224.95</v>
      </c>
      <c r="D2" s="278">
        <v>434879.81</v>
      </c>
      <c r="E2" s="279">
        <f>C2/D2</f>
        <v>0.72945430600698624</v>
      </c>
      <c r="F2" s="278"/>
      <c r="H2" s="264" t="s">
        <v>0</v>
      </c>
      <c r="I2" s="265"/>
      <c r="J2" s="264" t="s">
        <v>34</v>
      </c>
      <c r="K2" s="264" t="s">
        <v>605</v>
      </c>
      <c r="L2" s="264" t="s">
        <v>606</v>
      </c>
      <c r="M2" s="264" t="s">
        <v>713</v>
      </c>
      <c r="N2" s="264" t="s">
        <v>2145</v>
      </c>
      <c r="O2" s="264" t="s">
        <v>715</v>
      </c>
      <c r="P2" s="264" t="s">
        <v>716</v>
      </c>
      <c r="Q2" s="264" t="s">
        <v>717</v>
      </c>
    </row>
    <row r="3" spans="1:17" ht="14.5" thickBot="1" x14ac:dyDescent="0.35">
      <c r="A3" t="s">
        <v>2166</v>
      </c>
      <c r="C3" s="259">
        <v>365742.4599999999</v>
      </c>
      <c r="D3" s="278">
        <v>331926.36</v>
      </c>
      <c r="E3" s="279">
        <f>C3/D3</f>
        <v>1.1018783202394649</v>
      </c>
      <c r="H3" s="266">
        <v>1613000431</v>
      </c>
      <c r="I3" s="135" t="s">
        <v>18</v>
      </c>
      <c r="J3" s="135" t="s">
        <v>252</v>
      </c>
      <c r="K3" s="267">
        <v>252042.5</v>
      </c>
      <c r="L3" s="267">
        <v>252042.49600000004</v>
      </c>
      <c r="M3" s="268">
        <v>275574.92</v>
      </c>
      <c r="N3" s="267">
        <v>276000</v>
      </c>
      <c r="O3" s="267">
        <v>12</v>
      </c>
      <c r="P3" s="267">
        <v>12</v>
      </c>
      <c r="Q3" s="269">
        <v>276000</v>
      </c>
    </row>
    <row r="4" spans="1:17" ht="14.5" thickBot="1" x14ac:dyDescent="0.35">
      <c r="A4" t="s">
        <v>2167</v>
      </c>
      <c r="C4" s="260">
        <v>343519.93999999989</v>
      </c>
      <c r="D4" s="278">
        <v>451236</v>
      </c>
      <c r="E4" s="279">
        <f>C4/D4</f>
        <v>0.76128664379615074</v>
      </c>
      <c r="H4" s="266">
        <v>1613000435</v>
      </c>
      <c r="I4" s="135" t="s">
        <v>18</v>
      </c>
      <c r="J4" s="135" t="s">
        <v>255</v>
      </c>
      <c r="K4" s="267">
        <v>19000</v>
      </c>
      <c r="L4" s="267">
        <v>19000</v>
      </c>
      <c r="M4" s="267">
        <v>20000</v>
      </c>
      <c r="N4" s="267">
        <v>20000</v>
      </c>
      <c r="O4" s="267">
        <v>12</v>
      </c>
      <c r="P4" s="267">
        <v>12</v>
      </c>
      <c r="Q4" s="269">
        <v>20000</v>
      </c>
    </row>
    <row r="5" spans="1:17" ht="14.5" thickBot="1" x14ac:dyDescent="0.35">
      <c r="A5" t="s">
        <v>2168</v>
      </c>
      <c r="C5" s="259">
        <v>112303.65999999996</v>
      </c>
      <c r="D5" s="278">
        <v>284987.11</v>
      </c>
      <c r="E5" s="279">
        <f>C5/D5</f>
        <v>0.39406575265807625</v>
      </c>
      <c r="H5" s="266">
        <v>1711000431</v>
      </c>
      <c r="I5" s="135" t="s">
        <v>18</v>
      </c>
      <c r="J5" s="135" t="s">
        <v>302</v>
      </c>
      <c r="K5" s="267">
        <v>34691.769999999997</v>
      </c>
      <c r="L5" s="267">
        <v>34691.772000000004</v>
      </c>
      <c r="M5" s="268">
        <v>44230.17</v>
      </c>
      <c r="N5" s="267">
        <v>45000</v>
      </c>
      <c r="O5" s="267">
        <v>12</v>
      </c>
      <c r="P5" s="267">
        <v>12</v>
      </c>
      <c r="Q5" s="269">
        <v>45000</v>
      </c>
    </row>
    <row r="6" spans="1:17" ht="14.5" thickBot="1" x14ac:dyDescent="0.35">
      <c r="A6" t="s">
        <v>2169</v>
      </c>
      <c r="C6" s="259">
        <v>163975.42000000004</v>
      </c>
      <c r="D6" s="278">
        <v>299017.69</v>
      </c>
      <c r="E6" s="279">
        <f>C6/D6</f>
        <v>0.54838033161181887</v>
      </c>
      <c r="H6" s="266">
        <v>1723000431</v>
      </c>
      <c r="I6" s="135" t="s">
        <v>18</v>
      </c>
      <c r="J6" s="135" t="s">
        <v>335</v>
      </c>
      <c r="K6" s="267">
        <v>103178.38</v>
      </c>
      <c r="L6" s="267">
        <v>103178.376</v>
      </c>
      <c r="M6" s="268">
        <v>150872.5</v>
      </c>
      <c r="N6" s="267">
        <v>151000</v>
      </c>
      <c r="O6" s="267">
        <v>12</v>
      </c>
      <c r="P6" s="267">
        <v>12</v>
      </c>
      <c r="Q6" s="269">
        <v>151000</v>
      </c>
    </row>
    <row r="7" spans="1:17" ht="14.5" thickBot="1" x14ac:dyDescent="0.35">
      <c r="H7" s="266">
        <v>1727000431</v>
      </c>
      <c r="I7" s="135" t="s">
        <v>18</v>
      </c>
      <c r="J7" s="135" t="s">
        <v>346</v>
      </c>
      <c r="K7" s="267">
        <v>888.14</v>
      </c>
      <c r="L7" s="267">
        <v>888.14399999999978</v>
      </c>
      <c r="M7" s="268">
        <v>18327.88</v>
      </c>
      <c r="N7" s="267">
        <v>20000</v>
      </c>
      <c r="O7" s="267">
        <v>12</v>
      </c>
      <c r="P7" s="267">
        <v>12</v>
      </c>
      <c r="Q7" s="269">
        <v>20000</v>
      </c>
    </row>
    <row r="8" spans="1:17" ht="14.5" thickBot="1" x14ac:dyDescent="0.35">
      <c r="H8" s="266">
        <v>1743000431</v>
      </c>
      <c r="I8" s="135" t="s">
        <v>18</v>
      </c>
      <c r="J8" s="270" t="s">
        <v>366</v>
      </c>
      <c r="K8" s="271">
        <v>1333657.08</v>
      </c>
      <c r="L8" s="271">
        <v>983657.08400000026</v>
      </c>
      <c r="M8" s="272">
        <v>1615513</v>
      </c>
      <c r="N8" s="271">
        <v>1125000</v>
      </c>
      <c r="O8" s="267">
        <v>12</v>
      </c>
      <c r="P8" s="267">
        <v>12</v>
      </c>
      <c r="Q8" s="269">
        <v>1125000</v>
      </c>
    </row>
    <row r="9" spans="1:17" ht="14.5" thickBot="1" x14ac:dyDescent="0.35">
      <c r="H9" s="266">
        <v>1812200431</v>
      </c>
      <c r="I9" s="135" t="s">
        <v>22</v>
      </c>
      <c r="J9" s="135" t="s">
        <v>417</v>
      </c>
      <c r="K9" s="267">
        <v>266709.99</v>
      </c>
      <c r="L9" s="267">
        <v>247899.91888000001</v>
      </c>
      <c r="M9" s="268">
        <v>272992.24</v>
      </c>
      <c r="N9" s="267">
        <v>280000</v>
      </c>
      <c r="O9" s="267">
        <v>10</v>
      </c>
      <c r="P9" s="267">
        <v>12</v>
      </c>
      <c r="Q9" s="269">
        <v>233333.33333333334</v>
      </c>
    </row>
    <row r="10" spans="1:17" ht="14.5" thickBot="1" x14ac:dyDescent="0.35">
      <c r="C10" s="171">
        <f>SUM(C2:C9)</f>
        <v>1302766.4299999997</v>
      </c>
      <c r="D10" s="171">
        <f>SUM(D2:D9)</f>
        <v>1802046.9699999997</v>
      </c>
      <c r="E10" s="176">
        <f>C10-D10</f>
        <v>-499280.54000000004</v>
      </c>
      <c r="H10" s="266">
        <v>1812600431</v>
      </c>
      <c r="I10" s="135" t="s">
        <v>22</v>
      </c>
      <c r="J10" s="135" t="s">
        <v>429</v>
      </c>
      <c r="K10" s="267">
        <v>15456.92</v>
      </c>
      <c r="L10" s="267">
        <v>15456.923999999999</v>
      </c>
      <c r="M10" s="268">
        <v>19774</v>
      </c>
      <c r="N10" s="267">
        <v>20000</v>
      </c>
      <c r="O10" s="267">
        <v>12</v>
      </c>
      <c r="P10" s="267">
        <v>12</v>
      </c>
      <c r="Q10" s="269">
        <v>20000</v>
      </c>
    </row>
    <row r="11" spans="1:17" ht="14.5" thickBot="1" x14ac:dyDescent="0.35">
      <c r="B11" t="s">
        <v>1072</v>
      </c>
      <c r="C11" s="171">
        <f>C10/5</f>
        <v>260553.28599999993</v>
      </c>
      <c r="D11" s="171">
        <f>D10/5</f>
        <v>360409.39399999997</v>
      </c>
      <c r="H11" s="266">
        <v>1813210431</v>
      </c>
      <c r="I11" s="135" t="s">
        <v>8</v>
      </c>
      <c r="J11" s="135" t="s">
        <v>435</v>
      </c>
      <c r="K11" s="267" t="s">
        <v>8</v>
      </c>
      <c r="L11" s="267">
        <v>0</v>
      </c>
      <c r="M11" s="267">
        <v>0</v>
      </c>
      <c r="N11" s="267">
        <v>0</v>
      </c>
      <c r="O11" s="267">
        <v>12</v>
      </c>
      <c r="P11" s="267">
        <v>12</v>
      </c>
      <c r="Q11" s="269">
        <v>0</v>
      </c>
    </row>
    <row r="12" spans="1:17" ht="14.5" thickBot="1" x14ac:dyDescent="0.35">
      <c r="B12" t="s">
        <v>2171</v>
      </c>
      <c r="C12" s="171">
        <f>C11*12</f>
        <v>3126639.4319999991</v>
      </c>
      <c r="D12" s="171">
        <f>D11*12</f>
        <v>4324912.7280000001</v>
      </c>
      <c r="H12" s="266">
        <v>1813220431</v>
      </c>
      <c r="I12" s="135" t="s">
        <v>8</v>
      </c>
      <c r="J12" s="135" t="s">
        <v>439</v>
      </c>
      <c r="K12" s="267" t="s">
        <v>8</v>
      </c>
      <c r="L12" s="267">
        <v>0</v>
      </c>
      <c r="M12" s="267">
        <v>0</v>
      </c>
      <c r="N12" s="267">
        <v>0</v>
      </c>
      <c r="O12" s="267">
        <v>12</v>
      </c>
      <c r="P12" s="267">
        <v>12</v>
      </c>
      <c r="Q12" s="269">
        <v>0</v>
      </c>
    </row>
    <row r="13" spans="1:17" ht="14.5" thickBot="1" x14ac:dyDescent="0.35">
      <c r="H13" s="266">
        <v>1813230431</v>
      </c>
      <c r="I13" s="135" t="s">
        <v>22</v>
      </c>
      <c r="J13" s="135" t="s">
        <v>442</v>
      </c>
      <c r="K13" s="267">
        <v>151.86000000000001</v>
      </c>
      <c r="L13" s="267">
        <v>151.85999999999999</v>
      </c>
      <c r="M13" s="267">
        <v>0</v>
      </c>
      <c r="N13" s="267">
        <v>0</v>
      </c>
      <c r="O13" s="267">
        <v>12</v>
      </c>
      <c r="P13" s="267">
        <v>12</v>
      </c>
      <c r="Q13" s="269">
        <v>0</v>
      </c>
    </row>
    <row r="14" spans="1:17" ht="14.5" thickBot="1" x14ac:dyDescent="0.35">
      <c r="H14" s="266">
        <v>1813240431</v>
      </c>
      <c r="I14" s="135" t="s">
        <v>8</v>
      </c>
      <c r="J14" s="135" t="s">
        <v>445</v>
      </c>
      <c r="K14" s="267" t="s">
        <v>8</v>
      </c>
      <c r="L14" s="267">
        <v>0</v>
      </c>
      <c r="M14" s="267">
        <v>0</v>
      </c>
      <c r="N14" s="267">
        <v>0</v>
      </c>
      <c r="O14" s="267">
        <v>12</v>
      </c>
      <c r="P14" s="267">
        <v>12</v>
      </c>
      <c r="Q14" s="269">
        <v>0</v>
      </c>
    </row>
    <row r="15" spans="1:17" ht="14.5" thickBot="1" x14ac:dyDescent="0.35">
      <c r="H15" s="266">
        <v>1813250431</v>
      </c>
      <c r="I15" s="135" t="s">
        <v>8</v>
      </c>
      <c r="J15" s="135" t="s">
        <v>449</v>
      </c>
      <c r="K15" s="267" t="s">
        <v>8</v>
      </c>
      <c r="L15" s="267">
        <v>0</v>
      </c>
      <c r="M15" s="267">
        <v>0</v>
      </c>
      <c r="N15" s="267">
        <v>0</v>
      </c>
      <c r="O15" s="267">
        <v>12</v>
      </c>
      <c r="P15" s="267">
        <v>12</v>
      </c>
      <c r="Q15" s="269">
        <v>0</v>
      </c>
    </row>
    <row r="16" spans="1:17" ht="14.5" thickBot="1" x14ac:dyDescent="0.35">
      <c r="H16" s="266">
        <v>1813260431</v>
      </c>
      <c r="I16" s="135" t="s">
        <v>8</v>
      </c>
      <c r="J16" s="135" t="s">
        <v>453</v>
      </c>
      <c r="K16" s="267" t="s">
        <v>8</v>
      </c>
      <c r="L16" s="267">
        <v>0</v>
      </c>
      <c r="M16" s="267">
        <v>0</v>
      </c>
      <c r="N16" s="267">
        <v>0</v>
      </c>
      <c r="O16" s="267">
        <v>12</v>
      </c>
      <c r="P16" s="267">
        <v>12</v>
      </c>
      <c r="Q16" s="269">
        <v>0</v>
      </c>
    </row>
    <row r="17" spans="8:17" ht="14.5" thickBot="1" x14ac:dyDescent="0.35">
      <c r="H17" s="266">
        <v>1813270431</v>
      </c>
      <c r="I17" s="135" t="s">
        <v>8</v>
      </c>
      <c r="J17" s="135" t="s">
        <v>458</v>
      </c>
      <c r="K17" s="267" t="s">
        <v>8</v>
      </c>
      <c r="L17" s="267">
        <v>0</v>
      </c>
      <c r="M17" s="267">
        <v>0</v>
      </c>
      <c r="N17" s="267">
        <v>0</v>
      </c>
      <c r="O17" s="267">
        <v>12</v>
      </c>
      <c r="P17" s="267">
        <v>12</v>
      </c>
      <c r="Q17" s="269">
        <v>0</v>
      </c>
    </row>
    <row r="18" spans="8:17" ht="14.5" thickBot="1" x14ac:dyDescent="0.35">
      <c r="H18" s="266">
        <v>1813300431</v>
      </c>
      <c r="I18" s="135" t="s">
        <v>22</v>
      </c>
      <c r="J18" s="135" t="s">
        <v>466</v>
      </c>
      <c r="K18" s="267">
        <v>84282.05</v>
      </c>
      <c r="L18" s="267">
        <v>84282.047999999981</v>
      </c>
      <c r="M18" s="268">
        <v>90385.62</v>
      </c>
      <c r="N18" s="267">
        <v>91000</v>
      </c>
      <c r="O18" s="267">
        <v>12</v>
      </c>
      <c r="P18" s="267">
        <v>12</v>
      </c>
      <c r="Q18" s="269">
        <v>91000</v>
      </c>
    </row>
    <row r="19" spans="8:17" ht="14.5" thickBot="1" x14ac:dyDescent="0.35">
      <c r="H19" s="266">
        <v>1813600431</v>
      </c>
      <c r="I19" s="135" t="s">
        <v>22</v>
      </c>
      <c r="J19" s="135" t="s">
        <v>470</v>
      </c>
      <c r="K19" s="267">
        <v>8596.6200000000008</v>
      </c>
      <c r="L19" s="267">
        <v>8596.619999999999</v>
      </c>
      <c r="M19" s="268">
        <v>12068.24</v>
      </c>
      <c r="N19" s="267">
        <v>12000</v>
      </c>
      <c r="O19" s="267">
        <v>12</v>
      </c>
      <c r="P19" s="267">
        <v>12</v>
      </c>
      <c r="Q19" s="269">
        <v>12000</v>
      </c>
    </row>
    <row r="20" spans="8:17" ht="14.5" thickBot="1" x14ac:dyDescent="0.35">
      <c r="H20" s="266">
        <v>1817200431</v>
      </c>
      <c r="I20" s="135" t="s">
        <v>22</v>
      </c>
      <c r="J20" s="135" t="s">
        <v>488</v>
      </c>
      <c r="K20" s="267">
        <v>25206</v>
      </c>
      <c r="L20" s="267">
        <v>25206</v>
      </c>
      <c r="M20" s="268">
        <v>26121.07</v>
      </c>
      <c r="N20" s="267">
        <v>26000</v>
      </c>
      <c r="O20" s="267">
        <v>12</v>
      </c>
      <c r="P20" s="267">
        <v>12</v>
      </c>
      <c r="Q20" s="269">
        <v>26000</v>
      </c>
    </row>
    <row r="21" spans="8:17" ht="14.5" thickBot="1" x14ac:dyDescent="0.35">
      <c r="H21" s="266">
        <v>1817300431</v>
      </c>
      <c r="I21" s="135" t="s">
        <v>22</v>
      </c>
      <c r="J21" s="135" t="s">
        <v>491</v>
      </c>
      <c r="K21" s="267">
        <v>9662.3799999999992</v>
      </c>
      <c r="L21" s="267">
        <v>9662.3760000000002</v>
      </c>
      <c r="M21" s="268">
        <v>10490.84</v>
      </c>
      <c r="N21" s="267">
        <v>11000</v>
      </c>
      <c r="O21" s="267">
        <v>12</v>
      </c>
      <c r="P21" s="267">
        <v>12</v>
      </c>
      <c r="Q21" s="269">
        <v>11000</v>
      </c>
    </row>
    <row r="22" spans="8:17" ht="14.5" thickBot="1" x14ac:dyDescent="0.35">
      <c r="H22" s="266">
        <v>1828200431</v>
      </c>
      <c r="I22" s="135" t="s">
        <v>18</v>
      </c>
      <c r="J22" s="135" t="s">
        <v>517</v>
      </c>
      <c r="K22" s="267">
        <v>3919.91</v>
      </c>
      <c r="L22" s="267">
        <v>3919.9079999999999</v>
      </c>
      <c r="M22" s="268">
        <v>6720.67</v>
      </c>
      <c r="N22" s="267">
        <v>7000</v>
      </c>
      <c r="O22" s="267">
        <v>12</v>
      </c>
      <c r="P22" s="267">
        <v>12</v>
      </c>
      <c r="Q22" s="269">
        <v>7000</v>
      </c>
    </row>
    <row r="23" spans="8:17" ht="14.5" thickBot="1" x14ac:dyDescent="0.35">
      <c r="H23" s="266">
        <v>1829200431</v>
      </c>
      <c r="I23" s="135" t="s">
        <v>18</v>
      </c>
      <c r="J23" s="135" t="s">
        <v>524</v>
      </c>
      <c r="K23" s="267">
        <v>7893.73</v>
      </c>
      <c r="L23" s="267">
        <v>7893.732</v>
      </c>
      <c r="M23" s="268">
        <v>10974.75</v>
      </c>
      <c r="N23" s="267">
        <v>11000</v>
      </c>
      <c r="O23" s="267">
        <v>12</v>
      </c>
      <c r="P23" s="267">
        <v>12</v>
      </c>
      <c r="Q23" s="269">
        <v>11000</v>
      </c>
    </row>
    <row r="24" spans="8:17" ht="14.5" thickBot="1" x14ac:dyDescent="0.35">
      <c r="H24" s="266">
        <v>1829300431</v>
      </c>
      <c r="I24" s="135" t="s">
        <v>18</v>
      </c>
      <c r="J24" s="270" t="s">
        <v>528</v>
      </c>
      <c r="K24" s="271">
        <v>121674.01</v>
      </c>
      <c r="L24" s="271">
        <v>121674.012</v>
      </c>
      <c r="M24" s="272">
        <v>184261.97</v>
      </c>
      <c r="N24" s="271">
        <v>150000</v>
      </c>
      <c r="O24" s="267">
        <v>12</v>
      </c>
      <c r="P24" s="267">
        <v>12</v>
      </c>
      <c r="Q24" s="269">
        <v>150000</v>
      </c>
    </row>
    <row r="25" spans="8:17" x14ac:dyDescent="0.3">
      <c r="H25" s="266">
        <v>1841000431</v>
      </c>
      <c r="I25" s="135" t="s">
        <v>24</v>
      </c>
      <c r="J25" s="135" t="s">
        <v>537</v>
      </c>
      <c r="K25" s="267">
        <v>15832.24</v>
      </c>
      <c r="L25" s="267">
        <v>15832.236000000001</v>
      </c>
      <c r="M25" s="268">
        <v>29263.919999999998</v>
      </c>
      <c r="N25" s="267">
        <v>30000</v>
      </c>
      <c r="O25" s="267">
        <v>12</v>
      </c>
      <c r="P25" s="267">
        <v>12</v>
      </c>
      <c r="Q25" s="269">
        <v>30000</v>
      </c>
    </row>
    <row r="27" spans="8:17" x14ac:dyDescent="0.3">
      <c r="K27" s="241">
        <f>SUM(K3:K26)</f>
        <v>2302843.58</v>
      </c>
      <c r="L27" s="241">
        <f>SUM(L3:L26)</f>
        <v>1934033.5068800007</v>
      </c>
      <c r="M27" s="241">
        <f>SUM(M3:M26)</f>
        <v>2787571.79</v>
      </c>
      <c r="N27" s="241">
        <f>SUM(N3:N26)</f>
        <v>2275000</v>
      </c>
      <c r="Q27" s="241">
        <f>SUM(Q3:Q26)</f>
        <v>2228333.333333333</v>
      </c>
    </row>
    <row r="28" spans="8:17" x14ac:dyDescent="0.3">
      <c r="M28" s="279">
        <f>N27/M27</f>
        <v>0.816122479127255</v>
      </c>
      <c r="N28" s="279">
        <f>M27/N27</f>
        <v>1.2253062813186812</v>
      </c>
    </row>
    <row r="30" spans="8:17" x14ac:dyDescent="0.3">
      <c r="N30" s="241">
        <f>M27-N27</f>
        <v>512571.79000000004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rightToLeft="1" workbookViewId="0">
      <selection activeCell="H9" sqref="H9"/>
    </sheetView>
  </sheetViews>
  <sheetFormatPr defaultRowHeight="14" x14ac:dyDescent="0.3"/>
  <cols>
    <col min="1" max="1" width="19.5" customWidth="1"/>
    <col min="2" max="2" width="13.25" customWidth="1"/>
    <col min="4" max="4" width="30.5" customWidth="1"/>
    <col min="9" max="10" width="9.83203125" bestFit="1" customWidth="1"/>
  </cols>
  <sheetData>
    <row r="1" spans="1:10" x14ac:dyDescent="0.3">
      <c r="A1" t="s">
        <v>1011</v>
      </c>
    </row>
    <row r="2" spans="1:10" x14ac:dyDescent="0.3">
      <c r="A2" t="s">
        <v>1012</v>
      </c>
      <c r="E2" t="s">
        <v>1013</v>
      </c>
    </row>
    <row r="5" spans="1:10" x14ac:dyDescent="0.3">
      <c r="I5" s="171"/>
    </row>
    <row r="6" spans="1:10" x14ac:dyDescent="0.3">
      <c r="A6" s="160" t="s">
        <v>963</v>
      </c>
      <c r="J6" s="176"/>
    </row>
    <row r="7" spans="1:10" ht="15.5" x14ac:dyDescent="0.35">
      <c r="A7" s="161"/>
      <c r="B7" s="161"/>
      <c r="C7" s="161"/>
      <c r="D7" s="161"/>
    </row>
    <row r="8" spans="1:10" ht="18" x14ac:dyDescent="0.4">
      <c r="A8" s="162" t="s">
        <v>964</v>
      </c>
      <c r="B8" s="162"/>
      <c r="C8" s="162"/>
      <c r="D8" s="162"/>
    </row>
    <row r="9" spans="1:10" ht="16" thickBot="1" x14ac:dyDescent="0.4">
      <c r="A9" s="161"/>
      <c r="B9" s="161"/>
      <c r="C9" s="161"/>
      <c r="D9" s="161"/>
    </row>
    <row r="10" spans="1:10" ht="93" x14ac:dyDescent="0.35">
      <c r="A10" s="163" t="s">
        <v>965</v>
      </c>
      <c r="B10" s="164" t="s">
        <v>966</v>
      </c>
      <c r="C10" s="164" t="s">
        <v>967</v>
      </c>
      <c r="D10" s="164" t="s">
        <v>968</v>
      </c>
    </row>
    <row r="11" spans="1:10" ht="15.5" x14ac:dyDescent="0.35">
      <c r="A11" s="165">
        <v>1</v>
      </c>
      <c r="B11" s="166" t="s">
        <v>969</v>
      </c>
      <c r="C11" s="166">
        <v>24</v>
      </c>
      <c r="D11" s="166">
        <f>1005*C11*12</f>
        <v>289440</v>
      </c>
    </row>
    <row r="12" spans="1:10" ht="15.5" x14ac:dyDescent="0.35">
      <c r="A12" s="165">
        <v>2</v>
      </c>
      <c r="B12" s="166" t="s">
        <v>970</v>
      </c>
      <c r="C12" s="166">
        <v>23</v>
      </c>
      <c r="D12" s="166">
        <f t="shared" ref="D12:D17" si="0">1005*C12*12</f>
        <v>277380</v>
      </c>
    </row>
    <row r="13" spans="1:10" ht="15.5" x14ac:dyDescent="0.35">
      <c r="A13" s="165">
        <v>3</v>
      </c>
      <c r="B13" s="166" t="s">
        <v>971</v>
      </c>
      <c r="C13" s="166">
        <v>27</v>
      </c>
      <c r="D13" s="166">
        <f t="shared" si="0"/>
        <v>325620</v>
      </c>
    </row>
    <row r="14" spans="1:10" ht="15.5" x14ac:dyDescent="0.35">
      <c r="A14" s="165">
        <v>4</v>
      </c>
      <c r="B14" s="166" t="s">
        <v>972</v>
      </c>
      <c r="C14" s="166">
        <v>27</v>
      </c>
      <c r="D14" s="166">
        <f t="shared" si="0"/>
        <v>325620</v>
      </c>
    </row>
    <row r="15" spans="1:10" ht="15.5" x14ac:dyDescent="0.35">
      <c r="A15" s="165">
        <v>5</v>
      </c>
      <c r="B15" s="166" t="s">
        <v>973</v>
      </c>
      <c r="C15" s="166">
        <v>27</v>
      </c>
      <c r="D15" s="166">
        <f t="shared" si="0"/>
        <v>325620</v>
      </c>
    </row>
    <row r="16" spans="1:10" ht="15.5" x14ac:dyDescent="0.35">
      <c r="A16" s="165">
        <v>6</v>
      </c>
      <c r="B16" s="166" t="s">
        <v>974</v>
      </c>
      <c r="C16" s="166">
        <v>27</v>
      </c>
      <c r="D16" s="166">
        <f t="shared" si="0"/>
        <v>325620</v>
      </c>
    </row>
    <row r="17" spans="1:7" ht="16" thickBot="1" x14ac:dyDescent="0.4">
      <c r="A17" s="167">
        <v>7</v>
      </c>
      <c r="B17" s="168" t="s">
        <v>975</v>
      </c>
      <c r="C17" s="168">
        <v>27</v>
      </c>
      <c r="D17" s="168">
        <f t="shared" si="0"/>
        <v>325620</v>
      </c>
    </row>
    <row r="18" spans="1:7" ht="16" thickBot="1" x14ac:dyDescent="0.4">
      <c r="A18" s="169" t="s">
        <v>976</v>
      </c>
      <c r="B18" s="170"/>
      <c r="C18" s="170">
        <f>SUM(C11:C17)</f>
        <v>182</v>
      </c>
      <c r="D18" s="170">
        <f>SUM(D11:D17)</f>
        <v>2194920</v>
      </c>
    </row>
    <row r="23" spans="1:7" ht="28" x14ac:dyDescent="0.6">
      <c r="A23" s="173">
        <v>1312200920</v>
      </c>
      <c r="B23" s="174" t="s">
        <v>94</v>
      </c>
      <c r="C23" s="160"/>
      <c r="D23" s="160"/>
    </row>
    <row r="25" spans="1:7" x14ac:dyDescent="0.3">
      <c r="A25" s="171">
        <v>5663</v>
      </c>
      <c r="B25">
        <v>3</v>
      </c>
      <c r="C25" t="s">
        <v>980</v>
      </c>
    </row>
    <row r="26" spans="1:7" x14ac:dyDescent="0.3">
      <c r="A26" s="171">
        <v>1771</v>
      </c>
      <c r="B26">
        <v>19</v>
      </c>
      <c r="C26" t="s">
        <v>979</v>
      </c>
    </row>
    <row r="27" spans="1:7" x14ac:dyDescent="0.3">
      <c r="A27" s="171">
        <v>442</v>
      </c>
      <c r="C27" t="s">
        <v>982</v>
      </c>
    </row>
    <row r="28" spans="1:7" x14ac:dyDescent="0.3">
      <c r="A28" s="171">
        <v>326</v>
      </c>
      <c r="C28" t="s">
        <v>983</v>
      </c>
    </row>
    <row r="29" spans="1:7" x14ac:dyDescent="0.3">
      <c r="A29" s="172">
        <v>444</v>
      </c>
      <c r="E29">
        <v>9250</v>
      </c>
      <c r="F29">
        <v>4</v>
      </c>
      <c r="G29">
        <v>12</v>
      </c>
    </row>
    <row r="30" spans="1:7" x14ac:dyDescent="0.3">
      <c r="A30" s="171">
        <v>433</v>
      </c>
    </row>
    <row r="31" spans="1:7" x14ac:dyDescent="0.3">
      <c r="A31" s="171">
        <v>276</v>
      </c>
    </row>
    <row r="32" spans="1:7" x14ac:dyDescent="0.3">
      <c r="A32" s="171">
        <v>13</v>
      </c>
    </row>
    <row r="33" spans="1:15" x14ac:dyDescent="0.3">
      <c r="A33" s="171"/>
    </row>
    <row r="34" spans="1:15" x14ac:dyDescent="0.3">
      <c r="A34" s="171">
        <f>SUM(A25:A33)</f>
        <v>9368</v>
      </c>
    </row>
    <row r="37" spans="1:15" x14ac:dyDescent="0.3">
      <c r="A37" t="s">
        <v>1005</v>
      </c>
    </row>
    <row r="38" spans="1:15" x14ac:dyDescent="0.3">
      <c r="A38" t="s">
        <v>987</v>
      </c>
      <c r="B38" t="s">
        <v>988</v>
      </c>
      <c r="C38" t="s">
        <v>989</v>
      </c>
      <c r="D38" t="s">
        <v>990</v>
      </c>
      <c r="E38" t="s">
        <v>991</v>
      </c>
      <c r="F38" t="s">
        <v>992</v>
      </c>
      <c r="G38" t="s">
        <v>993</v>
      </c>
      <c r="H38" t="s">
        <v>994</v>
      </c>
      <c r="I38" t="s">
        <v>995</v>
      </c>
      <c r="J38" t="s">
        <v>699</v>
      </c>
      <c r="K38" t="s">
        <v>996</v>
      </c>
      <c r="L38" t="s">
        <v>997</v>
      </c>
      <c r="M38" t="s">
        <v>998</v>
      </c>
      <c r="N38" t="s">
        <v>999</v>
      </c>
      <c r="O38" t="s">
        <v>1000</v>
      </c>
    </row>
    <row r="39" spans="1:15" x14ac:dyDescent="0.3">
      <c r="A39" s="175">
        <v>43922</v>
      </c>
      <c r="B39" t="s">
        <v>1001</v>
      </c>
      <c r="C39">
        <v>10428001</v>
      </c>
      <c r="D39" s="175">
        <v>43466</v>
      </c>
      <c r="E39">
        <v>3</v>
      </c>
      <c r="F39" t="s">
        <v>1002</v>
      </c>
      <c r="G39">
        <v>47</v>
      </c>
      <c r="H39" t="s">
        <v>1003</v>
      </c>
      <c r="I39">
        <v>201901</v>
      </c>
      <c r="J39">
        <v>21067.78</v>
      </c>
      <c r="K39">
        <v>8.25</v>
      </c>
      <c r="L39">
        <v>68</v>
      </c>
      <c r="M39">
        <v>118190.25</v>
      </c>
      <c r="N39">
        <v>118190.25</v>
      </c>
      <c r="O39">
        <v>0</v>
      </c>
    </row>
    <row r="40" spans="1:15" x14ac:dyDescent="0.3">
      <c r="A40" s="175">
        <v>43922</v>
      </c>
      <c r="B40" t="s">
        <v>1001</v>
      </c>
      <c r="C40">
        <v>10428001</v>
      </c>
      <c r="D40" s="175">
        <v>43497</v>
      </c>
      <c r="E40">
        <v>3</v>
      </c>
      <c r="F40" t="s">
        <v>1002</v>
      </c>
      <c r="G40">
        <v>47</v>
      </c>
      <c r="H40" t="s">
        <v>1003</v>
      </c>
      <c r="I40">
        <v>201902</v>
      </c>
      <c r="J40">
        <v>21067.78</v>
      </c>
      <c r="K40">
        <v>8.25</v>
      </c>
      <c r="L40">
        <v>68</v>
      </c>
      <c r="M40">
        <v>118190.25</v>
      </c>
      <c r="N40">
        <v>118190.25</v>
      </c>
      <c r="O40">
        <v>0</v>
      </c>
    </row>
    <row r="41" spans="1:15" x14ac:dyDescent="0.3">
      <c r="A41" s="175">
        <v>43922</v>
      </c>
      <c r="B41" t="s">
        <v>1001</v>
      </c>
      <c r="C41">
        <v>10428001</v>
      </c>
      <c r="D41" s="175">
        <v>43525</v>
      </c>
      <c r="E41">
        <v>3</v>
      </c>
      <c r="F41" t="s">
        <v>1002</v>
      </c>
      <c r="G41">
        <v>47</v>
      </c>
      <c r="H41" t="s">
        <v>1003</v>
      </c>
      <c r="I41">
        <v>201903</v>
      </c>
      <c r="J41">
        <v>21067.78</v>
      </c>
      <c r="K41">
        <v>8.25</v>
      </c>
      <c r="L41">
        <v>68</v>
      </c>
      <c r="M41">
        <v>118190.25</v>
      </c>
      <c r="N41">
        <v>118190.25</v>
      </c>
      <c r="O41">
        <v>0</v>
      </c>
    </row>
    <row r="42" spans="1:15" x14ac:dyDescent="0.3">
      <c r="A42" s="175">
        <v>43922</v>
      </c>
      <c r="B42" t="s">
        <v>1001</v>
      </c>
      <c r="C42">
        <v>10428001</v>
      </c>
      <c r="D42" s="175">
        <v>43556</v>
      </c>
      <c r="E42">
        <v>3</v>
      </c>
      <c r="F42" t="s">
        <v>1002</v>
      </c>
      <c r="G42">
        <v>47</v>
      </c>
      <c r="H42" t="s">
        <v>1003</v>
      </c>
      <c r="I42">
        <v>201904</v>
      </c>
      <c r="J42">
        <v>21067.78</v>
      </c>
      <c r="K42">
        <v>8.25</v>
      </c>
      <c r="L42">
        <v>68</v>
      </c>
      <c r="M42">
        <v>118190.25</v>
      </c>
      <c r="N42">
        <v>118190.25</v>
      </c>
      <c r="O42">
        <v>0</v>
      </c>
    </row>
    <row r="43" spans="1:15" x14ac:dyDescent="0.3">
      <c r="A43" s="175">
        <v>43922</v>
      </c>
      <c r="B43" t="s">
        <v>1001</v>
      </c>
      <c r="C43">
        <v>10428001</v>
      </c>
      <c r="D43" s="175">
        <v>43586</v>
      </c>
      <c r="E43">
        <v>3</v>
      </c>
      <c r="F43" t="s">
        <v>1002</v>
      </c>
      <c r="G43">
        <v>47</v>
      </c>
      <c r="H43" t="s">
        <v>1003</v>
      </c>
      <c r="I43">
        <v>201905</v>
      </c>
      <c r="J43">
        <v>21067.78</v>
      </c>
      <c r="K43">
        <v>8.25</v>
      </c>
      <c r="L43">
        <v>68</v>
      </c>
      <c r="M43">
        <v>118190.25</v>
      </c>
      <c r="N43">
        <v>118190.25</v>
      </c>
      <c r="O43">
        <v>0</v>
      </c>
    </row>
    <row r="44" spans="1:15" x14ac:dyDescent="0.3">
      <c r="A44" s="175">
        <v>43922</v>
      </c>
      <c r="B44" t="s">
        <v>1001</v>
      </c>
      <c r="C44">
        <v>10428001</v>
      </c>
      <c r="D44" s="175">
        <v>43617</v>
      </c>
      <c r="E44">
        <v>3</v>
      </c>
      <c r="F44" t="s">
        <v>1002</v>
      </c>
      <c r="G44">
        <v>47</v>
      </c>
      <c r="H44" t="s">
        <v>1003</v>
      </c>
      <c r="I44">
        <v>201906</v>
      </c>
      <c r="J44">
        <v>28857.26</v>
      </c>
      <c r="K44">
        <v>8.25</v>
      </c>
      <c r="L44">
        <v>68</v>
      </c>
      <c r="M44">
        <v>161889.23000000001</v>
      </c>
      <c r="N44">
        <v>161889.23000000001</v>
      </c>
      <c r="O44">
        <v>0</v>
      </c>
    </row>
    <row r="45" spans="1:15" x14ac:dyDescent="0.3">
      <c r="A45" s="175">
        <v>43922</v>
      </c>
      <c r="B45" t="s">
        <v>1001</v>
      </c>
      <c r="C45">
        <v>10428001</v>
      </c>
      <c r="D45" s="175">
        <v>43647</v>
      </c>
      <c r="E45">
        <v>3</v>
      </c>
      <c r="F45" t="s">
        <v>1002</v>
      </c>
      <c r="G45">
        <v>47</v>
      </c>
      <c r="H45" t="s">
        <v>1003</v>
      </c>
      <c r="I45">
        <v>201907</v>
      </c>
      <c r="J45">
        <v>24372.76</v>
      </c>
      <c r="K45">
        <v>8.25</v>
      </c>
      <c r="L45">
        <v>68</v>
      </c>
      <c r="M45">
        <v>136731.18</v>
      </c>
      <c r="N45">
        <v>136731.18</v>
      </c>
      <c r="O45">
        <v>0</v>
      </c>
    </row>
    <row r="46" spans="1:15" x14ac:dyDescent="0.3">
      <c r="A46" s="175">
        <v>43922</v>
      </c>
      <c r="B46" t="s">
        <v>1001</v>
      </c>
      <c r="C46">
        <v>10428001</v>
      </c>
      <c r="D46" s="175">
        <v>43678</v>
      </c>
      <c r="E46">
        <v>3</v>
      </c>
      <c r="F46" t="s">
        <v>1002</v>
      </c>
      <c r="G46">
        <v>47</v>
      </c>
      <c r="H46" t="s">
        <v>1003</v>
      </c>
      <c r="I46">
        <v>201908</v>
      </c>
      <c r="J46">
        <v>21347.82</v>
      </c>
      <c r="K46">
        <v>8.25</v>
      </c>
      <c r="L46">
        <v>68</v>
      </c>
      <c r="M46">
        <v>119761.27</v>
      </c>
      <c r="N46">
        <v>119761.27</v>
      </c>
      <c r="O46">
        <v>0</v>
      </c>
    </row>
    <row r="47" spans="1:15" x14ac:dyDescent="0.3">
      <c r="A47" s="175">
        <v>43922</v>
      </c>
      <c r="B47" t="s">
        <v>1001</v>
      </c>
      <c r="C47">
        <v>10428001</v>
      </c>
      <c r="D47" s="175">
        <v>43709</v>
      </c>
      <c r="E47">
        <v>3</v>
      </c>
      <c r="F47" t="s">
        <v>1002</v>
      </c>
      <c r="G47">
        <v>47</v>
      </c>
      <c r="H47" t="s">
        <v>1003</v>
      </c>
      <c r="I47">
        <v>201909</v>
      </c>
      <c r="J47">
        <v>21347.82</v>
      </c>
      <c r="K47">
        <v>8.25</v>
      </c>
      <c r="L47">
        <v>68</v>
      </c>
      <c r="M47">
        <v>119761.27</v>
      </c>
      <c r="N47">
        <v>119761.27</v>
      </c>
      <c r="O47">
        <v>0</v>
      </c>
    </row>
    <row r="48" spans="1:15" x14ac:dyDescent="0.3">
      <c r="A48" s="175">
        <v>43922</v>
      </c>
      <c r="B48" t="s">
        <v>1001</v>
      </c>
      <c r="C48">
        <v>10428001</v>
      </c>
      <c r="D48" s="175">
        <v>43739</v>
      </c>
      <c r="E48">
        <v>3</v>
      </c>
      <c r="F48" t="s">
        <v>1002</v>
      </c>
      <c r="G48">
        <v>47</v>
      </c>
      <c r="H48" t="s">
        <v>1003</v>
      </c>
      <c r="I48">
        <v>201910</v>
      </c>
      <c r="J48">
        <v>22427.919999999998</v>
      </c>
      <c r="K48">
        <v>8.25</v>
      </c>
      <c r="L48">
        <v>68</v>
      </c>
      <c r="M48">
        <v>125820.63</v>
      </c>
      <c r="N48">
        <v>125820.63</v>
      </c>
      <c r="O48">
        <v>0</v>
      </c>
    </row>
    <row r="49" spans="1:17" x14ac:dyDescent="0.3">
      <c r="A49" s="175">
        <v>43922</v>
      </c>
      <c r="B49" t="s">
        <v>1001</v>
      </c>
      <c r="C49">
        <v>10428001</v>
      </c>
      <c r="D49" s="175">
        <v>43770</v>
      </c>
      <c r="E49">
        <v>3</v>
      </c>
      <c r="F49" t="s">
        <v>1002</v>
      </c>
      <c r="G49">
        <v>47</v>
      </c>
      <c r="H49" t="s">
        <v>1003</v>
      </c>
      <c r="I49">
        <v>201911</v>
      </c>
      <c r="J49">
        <v>21347.82</v>
      </c>
      <c r="K49">
        <v>8.25</v>
      </c>
      <c r="L49">
        <v>68</v>
      </c>
      <c r="M49">
        <v>119761.27</v>
      </c>
      <c r="N49">
        <v>119761.27</v>
      </c>
      <c r="O49">
        <v>0</v>
      </c>
    </row>
    <row r="50" spans="1:17" x14ac:dyDescent="0.3">
      <c r="A50" s="175">
        <v>43922</v>
      </c>
      <c r="B50" t="s">
        <v>1001</v>
      </c>
      <c r="C50">
        <v>10428001</v>
      </c>
      <c r="D50" s="175">
        <v>43800</v>
      </c>
      <c r="E50">
        <v>3</v>
      </c>
      <c r="F50" t="s">
        <v>1002</v>
      </c>
      <c r="G50">
        <v>47</v>
      </c>
      <c r="H50" t="s">
        <v>1003</v>
      </c>
      <c r="I50">
        <v>201912</v>
      </c>
      <c r="J50">
        <v>21650.2</v>
      </c>
      <c r="K50">
        <v>8.25</v>
      </c>
      <c r="L50">
        <v>68</v>
      </c>
      <c r="M50">
        <v>121457.62</v>
      </c>
      <c r="N50">
        <v>121457.62</v>
      </c>
      <c r="O50">
        <v>0</v>
      </c>
    </row>
    <row r="51" spans="1:17" x14ac:dyDescent="0.3">
      <c r="A51" s="175">
        <v>43922</v>
      </c>
      <c r="B51" t="s">
        <v>1001</v>
      </c>
      <c r="C51">
        <v>10428001</v>
      </c>
      <c r="D51" s="175">
        <v>43831</v>
      </c>
      <c r="E51">
        <v>3</v>
      </c>
      <c r="F51" t="s">
        <v>1002</v>
      </c>
      <c r="G51">
        <v>47</v>
      </c>
      <c r="H51" t="s">
        <v>1003</v>
      </c>
      <c r="I51">
        <v>202001</v>
      </c>
      <c r="J51">
        <v>21649.06</v>
      </c>
      <c r="K51">
        <v>8.25</v>
      </c>
      <c r="L51">
        <v>68</v>
      </c>
      <c r="M51">
        <v>121451.23</v>
      </c>
      <c r="N51">
        <v>121451.23</v>
      </c>
      <c r="O51">
        <v>0</v>
      </c>
    </row>
    <row r="52" spans="1:17" x14ac:dyDescent="0.3">
      <c r="A52" s="175">
        <v>43922</v>
      </c>
      <c r="B52" t="s">
        <v>1001</v>
      </c>
      <c r="C52">
        <v>10428001</v>
      </c>
      <c r="D52" s="175">
        <v>43862</v>
      </c>
      <c r="E52">
        <v>3</v>
      </c>
      <c r="F52" t="s">
        <v>1002</v>
      </c>
      <c r="G52">
        <v>47</v>
      </c>
      <c r="H52" t="s">
        <v>1003</v>
      </c>
      <c r="I52">
        <v>202002</v>
      </c>
      <c r="J52">
        <v>21649.06</v>
      </c>
      <c r="K52">
        <v>8.25</v>
      </c>
      <c r="L52">
        <v>68</v>
      </c>
      <c r="M52">
        <v>121451.23</v>
      </c>
      <c r="N52">
        <v>121451.23</v>
      </c>
      <c r="O52">
        <v>0</v>
      </c>
    </row>
    <row r="53" spans="1:17" x14ac:dyDescent="0.3">
      <c r="A53" s="175">
        <v>43922</v>
      </c>
      <c r="B53" t="s">
        <v>1001</v>
      </c>
      <c r="C53">
        <v>10428001</v>
      </c>
      <c r="D53" s="175">
        <v>43891</v>
      </c>
      <c r="E53">
        <v>3</v>
      </c>
      <c r="F53" t="s">
        <v>1002</v>
      </c>
      <c r="G53">
        <v>47</v>
      </c>
      <c r="H53" t="s">
        <v>1003</v>
      </c>
      <c r="I53">
        <v>202003</v>
      </c>
      <c r="J53">
        <v>21649.06</v>
      </c>
      <c r="K53">
        <v>8.25</v>
      </c>
      <c r="L53">
        <v>68</v>
      </c>
      <c r="M53">
        <v>121451.23</v>
      </c>
      <c r="N53">
        <v>121451.23</v>
      </c>
      <c r="O53">
        <v>0</v>
      </c>
    </row>
    <row r="54" spans="1:17" x14ac:dyDescent="0.3">
      <c r="A54" s="175">
        <v>43922</v>
      </c>
      <c r="B54" t="s">
        <v>1001</v>
      </c>
      <c r="C54">
        <v>10428001</v>
      </c>
      <c r="D54" s="175">
        <v>43922</v>
      </c>
      <c r="E54">
        <v>3</v>
      </c>
      <c r="F54" t="s">
        <v>1002</v>
      </c>
      <c r="G54">
        <v>47</v>
      </c>
      <c r="H54" t="s">
        <v>1003</v>
      </c>
      <c r="I54">
        <v>202004</v>
      </c>
      <c r="J54">
        <v>21649.06</v>
      </c>
      <c r="K54">
        <v>8.25</v>
      </c>
      <c r="L54">
        <v>68</v>
      </c>
      <c r="M54">
        <v>121451.23</v>
      </c>
      <c r="N54">
        <v>0</v>
      </c>
      <c r="O54">
        <v>121451.23</v>
      </c>
      <c r="P54">
        <v>13</v>
      </c>
      <c r="Q54" s="171">
        <f>P54*O54</f>
        <v>1578865.99</v>
      </c>
    </row>
    <row r="55" spans="1:17" x14ac:dyDescent="0.3">
      <c r="A55" s="175">
        <v>43922</v>
      </c>
      <c r="B55" t="s">
        <v>1001</v>
      </c>
      <c r="C55">
        <v>10428001</v>
      </c>
      <c r="D55" s="175">
        <v>43466</v>
      </c>
      <c r="E55">
        <v>3</v>
      </c>
      <c r="F55" t="s">
        <v>1002</v>
      </c>
      <c r="G55">
        <v>91</v>
      </c>
      <c r="H55" t="s">
        <v>1004</v>
      </c>
      <c r="I55">
        <v>201901</v>
      </c>
      <c r="J55">
        <v>354.75</v>
      </c>
      <c r="K55">
        <v>14</v>
      </c>
      <c r="L55">
        <v>100</v>
      </c>
      <c r="M55">
        <v>4966.5</v>
      </c>
      <c r="N55">
        <v>4966.5</v>
      </c>
      <c r="O55">
        <v>0</v>
      </c>
      <c r="Q55">
        <v>50000</v>
      </c>
    </row>
    <row r="56" spans="1:17" x14ac:dyDescent="0.3">
      <c r="A56" s="175">
        <v>43922</v>
      </c>
      <c r="B56" t="s">
        <v>1001</v>
      </c>
      <c r="C56">
        <v>10428001</v>
      </c>
      <c r="D56" s="175">
        <v>43497</v>
      </c>
      <c r="E56">
        <v>3</v>
      </c>
      <c r="F56" t="s">
        <v>1002</v>
      </c>
      <c r="G56">
        <v>91</v>
      </c>
      <c r="H56" t="s">
        <v>1004</v>
      </c>
      <c r="I56">
        <v>201902</v>
      </c>
      <c r="J56">
        <v>354.75</v>
      </c>
      <c r="K56">
        <v>14</v>
      </c>
      <c r="L56">
        <v>100</v>
      </c>
      <c r="M56">
        <v>4966.5</v>
      </c>
      <c r="N56">
        <v>4966.5</v>
      </c>
      <c r="O56">
        <v>0</v>
      </c>
      <c r="Q56" s="176">
        <f>Q54+Q55</f>
        <v>1628865.99</v>
      </c>
    </row>
    <row r="57" spans="1:17" x14ac:dyDescent="0.3">
      <c r="A57" s="175">
        <v>43922</v>
      </c>
      <c r="B57" t="s">
        <v>1001</v>
      </c>
      <c r="C57">
        <v>10428001</v>
      </c>
      <c r="D57" s="175">
        <v>43525</v>
      </c>
      <c r="E57">
        <v>3</v>
      </c>
      <c r="F57" t="s">
        <v>1002</v>
      </c>
      <c r="G57">
        <v>91</v>
      </c>
      <c r="H57" t="s">
        <v>1004</v>
      </c>
      <c r="I57">
        <v>201903</v>
      </c>
      <c r="J57">
        <v>354.75</v>
      </c>
      <c r="K57">
        <v>14</v>
      </c>
      <c r="L57">
        <v>100</v>
      </c>
      <c r="M57">
        <v>4966.5</v>
      </c>
      <c r="N57">
        <v>4966.5</v>
      </c>
      <c r="O57">
        <v>0</v>
      </c>
    </row>
    <row r="58" spans="1:17" x14ac:dyDescent="0.3">
      <c r="A58" s="175">
        <v>43922</v>
      </c>
      <c r="B58" t="s">
        <v>1001</v>
      </c>
      <c r="C58">
        <v>10428001</v>
      </c>
      <c r="D58" s="175">
        <v>43556</v>
      </c>
      <c r="E58">
        <v>3</v>
      </c>
      <c r="F58" t="s">
        <v>1002</v>
      </c>
      <c r="G58">
        <v>91</v>
      </c>
      <c r="H58" t="s">
        <v>1004</v>
      </c>
      <c r="I58">
        <v>201904</v>
      </c>
      <c r="J58">
        <v>354.75</v>
      </c>
      <c r="K58">
        <v>14</v>
      </c>
      <c r="L58">
        <v>100</v>
      </c>
      <c r="M58">
        <v>4966.5</v>
      </c>
      <c r="N58">
        <v>4966.5</v>
      </c>
      <c r="O58">
        <v>0</v>
      </c>
    </row>
    <row r="59" spans="1:17" x14ac:dyDescent="0.3">
      <c r="A59" s="175">
        <v>43922</v>
      </c>
      <c r="B59" t="s">
        <v>1001</v>
      </c>
      <c r="C59">
        <v>10428001</v>
      </c>
      <c r="D59" s="175">
        <v>43586</v>
      </c>
      <c r="E59">
        <v>3</v>
      </c>
      <c r="F59" t="s">
        <v>1002</v>
      </c>
      <c r="G59">
        <v>91</v>
      </c>
      <c r="H59" t="s">
        <v>1004</v>
      </c>
      <c r="I59">
        <v>201905</v>
      </c>
      <c r="J59">
        <v>354.75</v>
      </c>
      <c r="K59">
        <v>14</v>
      </c>
      <c r="L59">
        <v>100</v>
      </c>
      <c r="M59">
        <v>4966.5</v>
      </c>
      <c r="N59">
        <v>4966.5</v>
      </c>
      <c r="O59">
        <v>0</v>
      </c>
    </row>
    <row r="60" spans="1:17" x14ac:dyDescent="0.3">
      <c r="A60" s="175">
        <v>43922</v>
      </c>
      <c r="B60" t="s">
        <v>1001</v>
      </c>
      <c r="C60">
        <v>10428001</v>
      </c>
      <c r="D60" s="175">
        <v>43617</v>
      </c>
      <c r="E60">
        <v>3</v>
      </c>
      <c r="F60" t="s">
        <v>1002</v>
      </c>
      <c r="G60">
        <v>91</v>
      </c>
      <c r="H60" t="s">
        <v>1004</v>
      </c>
      <c r="I60">
        <v>201906</v>
      </c>
      <c r="J60">
        <v>354.75</v>
      </c>
      <c r="K60">
        <v>14</v>
      </c>
      <c r="L60">
        <v>100</v>
      </c>
      <c r="M60">
        <v>4966.5</v>
      </c>
      <c r="N60">
        <v>4966.5</v>
      </c>
      <c r="O60">
        <v>0</v>
      </c>
    </row>
    <row r="61" spans="1:17" x14ac:dyDescent="0.3">
      <c r="A61" s="175">
        <v>43922</v>
      </c>
      <c r="B61" t="s">
        <v>1001</v>
      </c>
      <c r="C61">
        <v>10428001</v>
      </c>
      <c r="D61" s="175">
        <v>43709</v>
      </c>
      <c r="E61">
        <v>3</v>
      </c>
      <c r="F61" t="s">
        <v>1002</v>
      </c>
      <c r="G61">
        <v>91</v>
      </c>
      <c r="H61" t="s">
        <v>1004</v>
      </c>
      <c r="I61">
        <v>201909</v>
      </c>
      <c r="J61">
        <v>354.75</v>
      </c>
      <c r="K61">
        <v>14</v>
      </c>
      <c r="L61">
        <v>100</v>
      </c>
      <c r="M61">
        <v>4966.5</v>
      </c>
      <c r="N61">
        <v>4966.5</v>
      </c>
      <c r="O61">
        <v>0</v>
      </c>
    </row>
    <row r="62" spans="1:17" x14ac:dyDescent="0.3">
      <c r="A62" s="175">
        <v>43922</v>
      </c>
      <c r="B62" t="s">
        <v>1001</v>
      </c>
      <c r="C62">
        <v>10428001</v>
      </c>
      <c r="D62" s="175">
        <v>43739</v>
      </c>
      <c r="E62">
        <v>3</v>
      </c>
      <c r="F62" t="s">
        <v>1002</v>
      </c>
      <c r="G62">
        <v>91</v>
      </c>
      <c r="H62" t="s">
        <v>1004</v>
      </c>
      <c r="I62">
        <v>201910</v>
      </c>
      <c r="J62">
        <v>354.75</v>
      </c>
      <c r="K62">
        <v>14</v>
      </c>
      <c r="L62">
        <v>100</v>
      </c>
      <c r="M62">
        <v>4966.5</v>
      </c>
      <c r="N62">
        <v>4966.5</v>
      </c>
      <c r="O62">
        <v>0</v>
      </c>
    </row>
    <row r="63" spans="1:17" x14ac:dyDescent="0.3">
      <c r="A63" s="175">
        <v>43922</v>
      </c>
      <c r="B63" t="s">
        <v>1001</v>
      </c>
      <c r="C63">
        <v>10428001</v>
      </c>
      <c r="D63" s="175">
        <v>43770</v>
      </c>
      <c r="E63">
        <v>3</v>
      </c>
      <c r="F63" t="s">
        <v>1002</v>
      </c>
      <c r="G63">
        <v>91</v>
      </c>
      <c r="H63" t="s">
        <v>1004</v>
      </c>
      <c r="I63">
        <v>201911</v>
      </c>
      <c r="J63">
        <v>354.75</v>
      </c>
      <c r="K63">
        <v>14</v>
      </c>
      <c r="L63">
        <v>100</v>
      </c>
      <c r="M63">
        <v>4966.5</v>
      </c>
      <c r="N63">
        <v>4966.5</v>
      </c>
      <c r="O63">
        <v>0</v>
      </c>
    </row>
    <row r="64" spans="1:17" x14ac:dyDescent="0.3">
      <c r="A64" s="175">
        <v>43922</v>
      </c>
      <c r="B64" t="s">
        <v>1001</v>
      </c>
      <c r="C64">
        <v>10428001</v>
      </c>
      <c r="D64" s="175">
        <v>43800</v>
      </c>
      <c r="E64">
        <v>3</v>
      </c>
      <c r="F64" t="s">
        <v>1002</v>
      </c>
      <c r="G64">
        <v>91</v>
      </c>
      <c r="H64" t="s">
        <v>1004</v>
      </c>
      <c r="I64">
        <v>201912</v>
      </c>
      <c r="J64">
        <v>354.75</v>
      </c>
      <c r="K64">
        <v>89</v>
      </c>
      <c r="L64">
        <v>100</v>
      </c>
      <c r="M64">
        <v>31572.75</v>
      </c>
      <c r="N64">
        <v>31572.75</v>
      </c>
      <c r="O64">
        <v>0</v>
      </c>
    </row>
    <row r="65" spans="1:15" x14ac:dyDescent="0.3">
      <c r="A65" s="175">
        <v>43922</v>
      </c>
      <c r="B65" t="s">
        <v>1001</v>
      </c>
      <c r="C65">
        <v>10428001</v>
      </c>
      <c r="D65" s="175">
        <v>43831</v>
      </c>
      <c r="E65">
        <v>3</v>
      </c>
      <c r="F65" t="s">
        <v>1002</v>
      </c>
      <c r="G65">
        <v>91</v>
      </c>
      <c r="H65" t="s">
        <v>1004</v>
      </c>
      <c r="I65">
        <v>202001</v>
      </c>
      <c r="J65">
        <v>354.75</v>
      </c>
      <c r="K65">
        <v>14</v>
      </c>
      <c r="L65">
        <v>100</v>
      </c>
      <c r="M65">
        <v>4966.5</v>
      </c>
      <c r="N65">
        <v>0</v>
      </c>
      <c r="O65">
        <v>4966.5</v>
      </c>
    </row>
    <row r="66" spans="1:15" x14ac:dyDescent="0.3">
      <c r="A66" s="175">
        <v>43922</v>
      </c>
      <c r="B66" t="s">
        <v>1001</v>
      </c>
      <c r="C66">
        <v>10428001</v>
      </c>
      <c r="D66" s="175">
        <v>43862</v>
      </c>
      <c r="E66">
        <v>3</v>
      </c>
      <c r="F66" t="s">
        <v>1002</v>
      </c>
      <c r="G66">
        <v>91</v>
      </c>
      <c r="H66" t="s">
        <v>1004</v>
      </c>
      <c r="I66">
        <v>202002</v>
      </c>
      <c r="J66">
        <v>354.75</v>
      </c>
      <c r="K66">
        <v>14</v>
      </c>
      <c r="L66">
        <v>100</v>
      </c>
      <c r="M66">
        <v>4966.5</v>
      </c>
      <c r="N66">
        <v>0</v>
      </c>
      <c r="O66">
        <v>4966.5</v>
      </c>
    </row>
    <row r="67" spans="1:15" x14ac:dyDescent="0.3">
      <c r="A67" s="175">
        <v>43922</v>
      </c>
      <c r="B67" t="s">
        <v>1001</v>
      </c>
      <c r="C67">
        <v>10428001</v>
      </c>
      <c r="D67" s="175">
        <v>43891</v>
      </c>
      <c r="E67">
        <v>3</v>
      </c>
      <c r="F67" t="s">
        <v>1002</v>
      </c>
      <c r="G67">
        <v>91</v>
      </c>
      <c r="H67" t="s">
        <v>1004</v>
      </c>
      <c r="I67">
        <v>202003</v>
      </c>
      <c r="J67">
        <v>354.75</v>
      </c>
      <c r="K67">
        <v>14</v>
      </c>
      <c r="L67">
        <v>100</v>
      </c>
      <c r="M67">
        <v>4966.5</v>
      </c>
      <c r="N67">
        <v>0</v>
      </c>
      <c r="O67">
        <v>4966.5</v>
      </c>
    </row>
    <row r="68" spans="1:15" x14ac:dyDescent="0.3">
      <c r="A68" s="175">
        <v>43922</v>
      </c>
      <c r="B68" t="s">
        <v>1001</v>
      </c>
      <c r="C68">
        <v>10428001</v>
      </c>
      <c r="D68" s="175">
        <v>43922</v>
      </c>
      <c r="E68">
        <v>3</v>
      </c>
      <c r="F68" t="s">
        <v>1002</v>
      </c>
      <c r="G68">
        <v>91</v>
      </c>
      <c r="H68" t="s">
        <v>1004</v>
      </c>
      <c r="I68">
        <v>202004</v>
      </c>
      <c r="J68">
        <v>354.75</v>
      </c>
      <c r="K68">
        <v>14</v>
      </c>
      <c r="L68">
        <v>100</v>
      </c>
      <c r="M68">
        <v>4966.5</v>
      </c>
      <c r="N68">
        <v>0</v>
      </c>
      <c r="O68">
        <v>4966.5</v>
      </c>
    </row>
    <row r="79" spans="1:15" x14ac:dyDescent="0.3">
      <c r="A79" t="s">
        <v>1008</v>
      </c>
      <c r="B79">
        <v>825</v>
      </c>
    </row>
    <row r="80" spans="1:15" x14ac:dyDescent="0.3">
      <c r="A80" t="s">
        <v>1009</v>
      </c>
      <c r="B80" s="171">
        <v>1056</v>
      </c>
    </row>
    <row r="81" spans="1:2" x14ac:dyDescent="0.3">
      <c r="A81" t="s">
        <v>1010</v>
      </c>
      <c r="B81">
        <v>833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rightToLeft="1" zoomScale="80" zoomScaleNormal="80" workbookViewId="0">
      <selection activeCell="E221" sqref="E221"/>
    </sheetView>
  </sheetViews>
  <sheetFormatPr defaultRowHeight="28" x14ac:dyDescent="0.6"/>
  <cols>
    <col min="2" max="2" width="21.75" style="108" bestFit="1" customWidth="1"/>
    <col min="3" max="3" width="51.58203125" style="108" bestFit="1" customWidth="1"/>
    <col min="4" max="4" width="26.83203125" style="108" bestFit="1" customWidth="1"/>
    <col min="5" max="6" width="26.83203125" style="115" bestFit="1" customWidth="1"/>
  </cols>
  <sheetData>
    <row r="1" spans="1:6" x14ac:dyDescent="0.6">
      <c r="A1" t="s">
        <v>908</v>
      </c>
      <c r="B1" s="108" t="s">
        <v>0</v>
      </c>
      <c r="C1" s="108" t="s">
        <v>34</v>
      </c>
      <c r="D1" s="108" t="s">
        <v>718</v>
      </c>
      <c r="E1" s="108" t="s">
        <v>719</v>
      </c>
      <c r="F1" s="108" t="s">
        <v>604</v>
      </c>
    </row>
    <row r="2" spans="1:6" s="113" customFormat="1" hidden="1" x14ac:dyDescent="0.6">
      <c r="B2" s="112">
        <v>1111100100</v>
      </c>
      <c r="C2" s="112" t="s">
        <v>35</v>
      </c>
      <c r="D2" s="111">
        <v>46189108.579999998</v>
      </c>
      <c r="E2" s="114">
        <v>46977410.960000001</v>
      </c>
      <c r="F2" s="114">
        <v>43918101.630000003</v>
      </c>
    </row>
    <row r="3" spans="1:6" s="113" customFormat="1" hidden="1" x14ac:dyDescent="0.6">
      <c r="B3" s="112">
        <v>1111200100</v>
      </c>
      <c r="C3" s="112" t="s">
        <v>36</v>
      </c>
      <c r="D3" s="111">
        <v>4000000</v>
      </c>
      <c r="E3" s="114">
        <v>5763419.6399999997</v>
      </c>
      <c r="F3" s="114">
        <v>4101041.79</v>
      </c>
    </row>
    <row r="4" spans="1:6" s="113" customFormat="1" hidden="1" x14ac:dyDescent="0.6">
      <c r="B4" s="112">
        <v>1111300100</v>
      </c>
      <c r="C4" s="112" t="s">
        <v>3</v>
      </c>
      <c r="D4" s="111">
        <v>11751641</v>
      </c>
      <c r="E4" s="114">
        <v>12466175</v>
      </c>
      <c r="F4" s="114">
        <v>11656437</v>
      </c>
    </row>
    <row r="5" spans="1:6" s="113" customFormat="1" hidden="1" x14ac:dyDescent="0.6">
      <c r="B5" s="112">
        <v>1121000220</v>
      </c>
      <c r="C5" s="112" t="s">
        <v>37</v>
      </c>
      <c r="D5" s="111">
        <v>54600</v>
      </c>
      <c r="E5" s="114">
        <v>9319</v>
      </c>
      <c r="F5" s="114">
        <v>20039.97</v>
      </c>
    </row>
    <row r="6" spans="1:6" s="113" customFormat="1" hidden="1" x14ac:dyDescent="0.6">
      <c r="B6" s="112">
        <v>1122000220</v>
      </c>
      <c r="C6" s="112" t="s">
        <v>38</v>
      </c>
      <c r="D6" s="111">
        <v>1050000</v>
      </c>
      <c r="E6" s="114">
        <v>1254316.02</v>
      </c>
      <c r="F6" s="114">
        <v>915061.36</v>
      </c>
    </row>
    <row r="7" spans="1:6" s="113" customFormat="1" hidden="1" x14ac:dyDescent="0.6">
      <c r="B7" s="112">
        <v>1124000220</v>
      </c>
      <c r="C7" s="112" t="s">
        <v>39</v>
      </c>
      <c r="D7" s="111">
        <v>20000</v>
      </c>
      <c r="E7" s="114"/>
      <c r="F7" s="114">
        <v>11100</v>
      </c>
    </row>
    <row r="8" spans="1:6" s="113" customFormat="1" hidden="1" x14ac:dyDescent="0.6">
      <c r="B8" s="112">
        <v>1129000220</v>
      </c>
      <c r="C8" s="112" t="s">
        <v>40</v>
      </c>
      <c r="D8" s="111">
        <v>150000</v>
      </c>
      <c r="E8" s="114">
        <v>223409.32</v>
      </c>
      <c r="F8" s="114">
        <v>237827.44</v>
      </c>
    </row>
    <row r="9" spans="1:6" s="113" customFormat="1" hidden="1" x14ac:dyDescent="0.6">
      <c r="B9" s="112">
        <v>1129000221</v>
      </c>
      <c r="C9" s="112" t="s">
        <v>41</v>
      </c>
      <c r="D9" s="112">
        <v>200</v>
      </c>
      <c r="E9" s="114"/>
      <c r="F9" s="114">
        <v>423.7</v>
      </c>
    </row>
    <row r="10" spans="1:6" s="113" customFormat="1" hidden="1" x14ac:dyDescent="0.6">
      <c r="B10" s="112">
        <v>1190000910</v>
      </c>
      <c r="C10" s="112" t="s">
        <v>43</v>
      </c>
      <c r="D10" s="111">
        <v>541878.66</v>
      </c>
      <c r="E10" s="114">
        <v>103480</v>
      </c>
      <c r="F10" s="114">
        <v>206990</v>
      </c>
    </row>
    <row r="11" spans="1:6" s="113" customFormat="1" hidden="1" x14ac:dyDescent="0.6">
      <c r="B11" s="112">
        <v>1191000910</v>
      </c>
      <c r="C11" s="112" t="s">
        <v>6</v>
      </c>
      <c r="D11" s="111">
        <v>29979000</v>
      </c>
      <c r="E11" s="114">
        <v>30204119</v>
      </c>
      <c r="F11" s="114">
        <v>29979119</v>
      </c>
    </row>
    <row r="12" spans="1:6" s="113" customFormat="1" hidden="1" x14ac:dyDescent="0.6">
      <c r="B12" s="112">
        <v>1191000912</v>
      </c>
      <c r="C12" s="112" t="s">
        <v>44</v>
      </c>
      <c r="D12" s="112"/>
      <c r="E12" s="114">
        <v>225000</v>
      </c>
      <c r="F12" s="114">
        <v>1350000</v>
      </c>
    </row>
    <row r="13" spans="1:6" s="113" customFormat="1" hidden="1" x14ac:dyDescent="0.6">
      <c r="B13" s="112">
        <v>1191000913</v>
      </c>
      <c r="C13" s="112" t="s">
        <v>45</v>
      </c>
      <c r="D13" s="111">
        <v>1777703</v>
      </c>
      <c r="E13" s="114">
        <f>2172140-E12</f>
        <v>1947140</v>
      </c>
      <c r="F13" s="114">
        <v>1908079</v>
      </c>
    </row>
    <row r="14" spans="1:6" s="113" customFormat="1" hidden="1" x14ac:dyDescent="0.6">
      <c r="B14" s="112">
        <v>1192000911</v>
      </c>
      <c r="C14" s="112" t="s">
        <v>46</v>
      </c>
      <c r="D14" s="111">
        <v>173311</v>
      </c>
      <c r="E14" s="114"/>
      <c r="F14" s="114"/>
    </row>
    <row r="15" spans="1:6" s="113" customFormat="1" hidden="1" x14ac:dyDescent="0.6">
      <c r="B15" s="112">
        <v>1192000915</v>
      </c>
      <c r="C15" s="112" t="s">
        <v>48</v>
      </c>
      <c r="D15" s="111">
        <v>26000</v>
      </c>
      <c r="E15" s="114">
        <v>35589</v>
      </c>
      <c r="F15" s="114">
        <v>24061</v>
      </c>
    </row>
    <row r="16" spans="1:6" s="113" customFormat="1" hidden="1" x14ac:dyDescent="0.6">
      <c r="B16" s="112">
        <v>1192000916</v>
      </c>
      <c r="C16" s="112" t="s">
        <v>49</v>
      </c>
      <c r="D16" s="112"/>
      <c r="E16" s="114"/>
      <c r="F16" s="114">
        <v>187140</v>
      </c>
    </row>
    <row r="17" spans="2:6" s="113" customFormat="1" hidden="1" x14ac:dyDescent="0.6">
      <c r="B17" s="112">
        <v>1194000911</v>
      </c>
      <c r="C17" s="112" t="s">
        <v>50</v>
      </c>
      <c r="D17" s="111">
        <v>20000</v>
      </c>
      <c r="E17" s="114">
        <v>15877</v>
      </c>
      <c r="F17" s="114">
        <v>19171</v>
      </c>
    </row>
    <row r="18" spans="2:6" s="113" customFormat="1" hidden="1" x14ac:dyDescent="0.6">
      <c r="B18" s="112">
        <v>1210000990</v>
      </c>
      <c r="C18" s="112" t="s">
        <v>51</v>
      </c>
      <c r="D18" s="112"/>
      <c r="E18" s="114"/>
      <c r="F18" s="114">
        <v>79135</v>
      </c>
    </row>
    <row r="19" spans="2:6" s="113" customFormat="1" hidden="1" x14ac:dyDescent="0.6">
      <c r="B19" s="112">
        <v>1212300610</v>
      </c>
      <c r="C19" s="112" t="s">
        <v>52</v>
      </c>
      <c r="D19" s="111">
        <v>200000</v>
      </c>
      <c r="E19" s="114">
        <v>190394.35</v>
      </c>
      <c r="F19" s="114">
        <v>242537.60000000001</v>
      </c>
    </row>
    <row r="20" spans="2:6" s="113" customFormat="1" hidden="1" x14ac:dyDescent="0.6">
      <c r="B20" s="112">
        <v>1214200220</v>
      </c>
      <c r="C20" s="112" t="s">
        <v>53</v>
      </c>
      <c r="D20" s="111">
        <v>1000</v>
      </c>
      <c r="E20" s="114">
        <v>31.53</v>
      </c>
      <c r="F20" s="114">
        <v>1191.55</v>
      </c>
    </row>
    <row r="21" spans="2:6" s="113" customFormat="1" hidden="1" x14ac:dyDescent="0.6">
      <c r="B21" s="112">
        <v>1214210220</v>
      </c>
      <c r="C21" s="112" t="s">
        <v>54</v>
      </c>
      <c r="D21" s="111">
        <v>40000</v>
      </c>
      <c r="E21" s="114">
        <v>167390</v>
      </c>
      <c r="F21" s="114">
        <v>52169</v>
      </c>
    </row>
    <row r="22" spans="2:6" s="113" customFormat="1" hidden="1" x14ac:dyDescent="0.6">
      <c r="B22" s="112">
        <v>1215000980</v>
      </c>
      <c r="C22" s="112" t="s">
        <v>56</v>
      </c>
      <c r="D22" s="112"/>
      <c r="E22" s="114">
        <v>50468</v>
      </c>
      <c r="F22" s="114">
        <v>62862</v>
      </c>
    </row>
    <row r="23" spans="2:6" s="113" customFormat="1" hidden="1" x14ac:dyDescent="0.6">
      <c r="B23" s="112">
        <v>1215100980</v>
      </c>
      <c r="C23" s="112" t="s">
        <v>57</v>
      </c>
      <c r="D23" s="111">
        <v>142486</v>
      </c>
      <c r="E23" s="114">
        <v>112379</v>
      </c>
      <c r="F23" s="114">
        <v>240377</v>
      </c>
    </row>
    <row r="24" spans="2:6" s="113" customFormat="1" hidden="1" x14ac:dyDescent="0.6">
      <c r="B24" s="112">
        <v>1215200980</v>
      </c>
      <c r="C24" s="112" t="s">
        <v>58</v>
      </c>
      <c r="D24" s="112"/>
      <c r="E24" s="114">
        <v>27300</v>
      </c>
      <c r="F24" s="114">
        <v>59600</v>
      </c>
    </row>
    <row r="25" spans="2:6" s="113" customFormat="1" hidden="1" x14ac:dyDescent="0.6">
      <c r="B25" s="112">
        <v>1227000970</v>
      </c>
      <c r="C25" s="112" t="s">
        <v>60</v>
      </c>
      <c r="D25" s="111">
        <v>92401</v>
      </c>
      <c r="E25" s="114">
        <f>46000+2444.2</f>
        <v>48444.2</v>
      </c>
      <c r="F25" s="114">
        <v>92401</v>
      </c>
    </row>
    <row r="26" spans="2:6" s="113" customFormat="1" hidden="1" x14ac:dyDescent="0.6">
      <c r="B26" s="112">
        <v>1231000220</v>
      </c>
      <c r="C26" s="112" t="s">
        <v>61</v>
      </c>
      <c r="D26" s="111">
        <v>20000</v>
      </c>
      <c r="E26" s="114">
        <v>49300</v>
      </c>
      <c r="F26" s="114">
        <v>24000</v>
      </c>
    </row>
    <row r="27" spans="2:6" s="113" customFormat="1" hidden="1" x14ac:dyDescent="0.6">
      <c r="B27" s="112">
        <v>1231000221</v>
      </c>
      <c r="C27" s="112" t="s">
        <v>62</v>
      </c>
      <c r="D27" s="111">
        <v>15000</v>
      </c>
      <c r="E27" s="114">
        <v>25294</v>
      </c>
      <c r="F27" s="114">
        <v>19341</v>
      </c>
    </row>
    <row r="28" spans="2:6" s="113" customFormat="1" hidden="1" x14ac:dyDescent="0.6">
      <c r="B28" s="112">
        <v>1231000591</v>
      </c>
      <c r="C28" s="112" t="s">
        <v>63</v>
      </c>
      <c r="D28" s="111">
        <v>650000</v>
      </c>
      <c r="E28" s="114">
        <v>793308.29</v>
      </c>
      <c r="F28" s="114">
        <v>690485</v>
      </c>
    </row>
    <row r="29" spans="2:6" s="113" customFormat="1" hidden="1" x14ac:dyDescent="0.6">
      <c r="B29" s="112">
        <v>1232000590</v>
      </c>
      <c r="C29" s="112" t="s">
        <v>64</v>
      </c>
      <c r="D29" s="111">
        <v>476100</v>
      </c>
      <c r="E29" s="114">
        <v>29033</v>
      </c>
      <c r="F29" s="114">
        <v>159634</v>
      </c>
    </row>
    <row r="30" spans="2:6" s="113" customFormat="1" hidden="1" x14ac:dyDescent="0.6">
      <c r="B30" s="112">
        <v>1233100220</v>
      </c>
      <c r="C30" s="112" t="s">
        <v>65</v>
      </c>
      <c r="D30" s="111">
        <v>1100000</v>
      </c>
      <c r="E30" s="114">
        <v>1282486.3799999999</v>
      </c>
      <c r="F30" s="114">
        <v>1321302.2</v>
      </c>
    </row>
    <row r="31" spans="2:6" s="113" customFormat="1" hidden="1" x14ac:dyDescent="0.6">
      <c r="B31" s="112">
        <v>1244000980</v>
      </c>
      <c r="C31" s="112" t="s">
        <v>66</v>
      </c>
      <c r="D31" s="111">
        <v>44000</v>
      </c>
      <c r="E31" s="114">
        <v>32931</v>
      </c>
      <c r="F31" s="114">
        <v>38000</v>
      </c>
    </row>
    <row r="32" spans="2:6" s="113" customFormat="1" hidden="1" x14ac:dyDescent="0.6">
      <c r="B32" s="112">
        <v>1265000690</v>
      </c>
      <c r="C32" s="112" t="s">
        <v>67</v>
      </c>
      <c r="D32" s="111">
        <v>1000000</v>
      </c>
      <c r="E32" s="114">
        <v>708948.99</v>
      </c>
      <c r="F32" s="114">
        <v>912012.91</v>
      </c>
    </row>
    <row r="33" spans="2:6" s="113" customFormat="1" hidden="1" x14ac:dyDescent="0.6">
      <c r="B33" s="112">
        <v>1267000690</v>
      </c>
      <c r="C33" s="112" t="s">
        <v>720</v>
      </c>
      <c r="D33" s="112"/>
      <c r="E33" s="114">
        <v>429679</v>
      </c>
      <c r="F33" s="114"/>
    </row>
    <row r="34" spans="2:6" s="113" customFormat="1" hidden="1" x14ac:dyDescent="0.6">
      <c r="B34" s="112">
        <v>1269000220</v>
      </c>
      <c r="C34" s="112" t="s">
        <v>68</v>
      </c>
      <c r="D34" s="111">
        <v>5000</v>
      </c>
      <c r="E34" s="114">
        <v>361</v>
      </c>
      <c r="F34" s="114">
        <v>1894</v>
      </c>
    </row>
    <row r="35" spans="2:6" s="113" customFormat="1" hidden="1" x14ac:dyDescent="0.6">
      <c r="B35" s="112">
        <v>1269000221</v>
      </c>
      <c r="C35" s="112" t="s">
        <v>69</v>
      </c>
      <c r="D35" s="111">
        <v>40000</v>
      </c>
      <c r="E35" s="114">
        <v>65722</v>
      </c>
      <c r="F35" s="114">
        <v>43620</v>
      </c>
    </row>
    <row r="36" spans="2:6" s="113" customFormat="1" hidden="1" x14ac:dyDescent="0.6">
      <c r="B36" s="112">
        <v>1269000690</v>
      </c>
      <c r="C36" s="112" t="s">
        <v>70</v>
      </c>
      <c r="D36" s="111">
        <v>139000</v>
      </c>
      <c r="E36" s="114">
        <v>91323.7</v>
      </c>
      <c r="F36" s="114">
        <v>386261.42</v>
      </c>
    </row>
    <row r="37" spans="2:6" s="113" customFormat="1" hidden="1" x14ac:dyDescent="0.6">
      <c r="B37" s="112">
        <v>1269000692</v>
      </c>
      <c r="C37" s="112" t="s">
        <v>72</v>
      </c>
      <c r="D37" s="111">
        <v>10000</v>
      </c>
      <c r="E37" s="114">
        <v>3366.75</v>
      </c>
      <c r="F37" s="114">
        <v>4972.8500000000004</v>
      </c>
    </row>
    <row r="38" spans="2:6" s="113" customFormat="1" hidden="1" x14ac:dyDescent="0.6">
      <c r="B38" s="112">
        <v>1269000693</v>
      </c>
      <c r="C38" s="112" t="s">
        <v>73</v>
      </c>
      <c r="D38" s="111">
        <v>800000</v>
      </c>
      <c r="E38" s="114">
        <v>867704.17</v>
      </c>
      <c r="F38" s="114"/>
    </row>
    <row r="39" spans="2:6" s="113" customFormat="1" hidden="1" x14ac:dyDescent="0.6">
      <c r="B39" s="112">
        <v>1269000696</v>
      </c>
      <c r="C39" s="112" t="s">
        <v>74</v>
      </c>
      <c r="D39" s="111">
        <v>148701</v>
      </c>
      <c r="E39" s="114">
        <v>93989.47</v>
      </c>
      <c r="F39" s="114">
        <v>178705</v>
      </c>
    </row>
    <row r="40" spans="2:6" s="113" customFormat="1" hidden="1" x14ac:dyDescent="0.6">
      <c r="B40" s="112">
        <v>1269000697</v>
      </c>
      <c r="C40" s="112" t="s">
        <v>75</v>
      </c>
      <c r="D40" s="111">
        <v>385940</v>
      </c>
      <c r="E40" s="114">
        <v>208936</v>
      </c>
      <c r="F40" s="114">
        <v>385940</v>
      </c>
    </row>
    <row r="41" spans="2:6" s="113" customFormat="1" hidden="1" x14ac:dyDescent="0.6">
      <c r="B41" s="112">
        <v>1269000698</v>
      </c>
      <c r="C41" s="112" t="s">
        <v>76</v>
      </c>
      <c r="D41" s="111">
        <v>208000</v>
      </c>
      <c r="E41" s="114">
        <v>208333.32</v>
      </c>
      <c r="F41" s="114">
        <v>208333.32</v>
      </c>
    </row>
    <row r="42" spans="2:6" s="113" customFormat="1" hidden="1" x14ac:dyDescent="0.6">
      <c r="B42" s="112">
        <v>1269000699</v>
      </c>
      <c r="C42" s="112" t="s">
        <v>76</v>
      </c>
      <c r="D42" s="111">
        <v>73000</v>
      </c>
      <c r="E42" s="114">
        <v>43606.53</v>
      </c>
      <c r="F42" s="114">
        <v>45140.160000000003</v>
      </c>
    </row>
    <row r="43" spans="2:6" s="113" customFormat="1" hidden="1" x14ac:dyDescent="0.6">
      <c r="B43" s="112">
        <v>1269000990</v>
      </c>
      <c r="C43" s="112" t="s">
        <v>77</v>
      </c>
      <c r="D43" s="111">
        <v>270781</v>
      </c>
      <c r="E43" s="114"/>
      <c r="F43" s="114"/>
    </row>
    <row r="44" spans="2:6" s="113" customFormat="1" hidden="1" x14ac:dyDescent="0.6">
      <c r="B44" s="112">
        <v>1272000990</v>
      </c>
      <c r="C44" s="112" t="s">
        <v>78</v>
      </c>
      <c r="D44" s="111">
        <v>620000</v>
      </c>
      <c r="E44" s="114">
        <v>348165</v>
      </c>
      <c r="F44" s="114">
        <v>487945</v>
      </c>
    </row>
    <row r="45" spans="2:6" s="113" customFormat="1" hidden="1" x14ac:dyDescent="0.6">
      <c r="B45" s="112">
        <v>1272000991</v>
      </c>
      <c r="C45" s="112" t="s">
        <v>79</v>
      </c>
      <c r="D45" s="111">
        <v>455000</v>
      </c>
      <c r="E45" s="114">
        <v>460199</v>
      </c>
      <c r="F45" s="114">
        <v>452502</v>
      </c>
    </row>
    <row r="46" spans="2:6" s="113" customFormat="1" hidden="1" x14ac:dyDescent="0.6">
      <c r="B46" s="112">
        <v>1272000992</v>
      </c>
      <c r="C46" s="112" t="s">
        <v>80</v>
      </c>
      <c r="D46" s="111">
        <v>175000</v>
      </c>
      <c r="E46" s="114"/>
      <c r="F46" s="114"/>
    </row>
    <row r="47" spans="2:6" s="113" customFormat="1" hidden="1" x14ac:dyDescent="0.6">
      <c r="B47" s="112">
        <v>1281000690</v>
      </c>
      <c r="C47" s="112" t="s">
        <v>721</v>
      </c>
      <c r="D47" s="111">
        <v>5000000</v>
      </c>
      <c r="E47" s="114">
        <v>5709162.9100000001</v>
      </c>
      <c r="F47" s="114">
        <v>5129963.87</v>
      </c>
    </row>
    <row r="48" spans="2:6" s="113" customFormat="1" hidden="1" x14ac:dyDescent="0.6">
      <c r="B48" s="112">
        <v>1282000690</v>
      </c>
      <c r="C48" s="112" t="s">
        <v>82</v>
      </c>
      <c r="D48" s="111">
        <v>50000</v>
      </c>
      <c r="E48" s="114">
        <v>110866.38</v>
      </c>
      <c r="F48" s="114">
        <v>28023.22</v>
      </c>
    </row>
    <row r="49" spans="2:6" s="113" customFormat="1" hidden="1" x14ac:dyDescent="0.6">
      <c r="B49" s="112">
        <v>1311000225</v>
      </c>
      <c r="C49" s="112" t="s">
        <v>83</v>
      </c>
      <c r="D49" s="111">
        <v>115533</v>
      </c>
      <c r="E49" s="114">
        <v>66394</v>
      </c>
      <c r="F49" s="114">
        <v>92623</v>
      </c>
    </row>
    <row r="50" spans="2:6" s="113" customFormat="1" hidden="1" x14ac:dyDescent="0.6">
      <c r="B50" s="112">
        <v>1311000410</v>
      </c>
      <c r="C50" s="112" t="s">
        <v>84</v>
      </c>
      <c r="D50" s="111">
        <v>900000</v>
      </c>
      <c r="E50" s="114">
        <v>991328.59</v>
      </c>
      <c r="F50" s="114">
        <v>1026589</v>
      </c>
    </row>
    <row r="51" spans="2:6" s="113" customFormat="1" hidden="1" x14ac:dyDescent="0.6">
      <c r="B51" s="112">
        <v>1311000920</v>
      </c>
      <c r="C51" s="112" t="s">
        <v>85</v>
      </c>
      <c r="D51" s="111">
        <v>60000</v>
      </c>
      <c r="E51" s="114">
        <v>27437.25</v>
      </c>
      <c r="F51" s="114">
        <v>69754.89</v>
      </c>
    </row>
    <row r="52" spans="2:6" s="113" customFormat="1" hidden="1" x14ac:dyDescent="0.6">
      <c r="B52" s="112">
        <v>1311000922</v>
      </c>
      <c r="C52" s="112" t="s">
        <v>87</v>
      </c>
      <c r="D52" s="111">
        <v>85000</v>
      </c>
      <c r="E52" s="114">
        <v>80458.33</v>
      </c>
      <c r="F52" s="114">
        <v>89284.83</v>
      </c>
    </row>
    <row r="53" spans="2:6" s="113" customFormat="1" hidden="1" x14ac:dyDescent="0.6">
      <c r="B53" s="112">
        <v>1311000925</v>
      </c>
      <c r="C53" s="112" t="s">
        <v>414</v>
      </c>
      <c r="D53" s="111">
        <v>400000</v>
      </c>
      <c r="E53" s="114">
        <v>411923.03</v>
      </c>
      <c r="F53" s="114">
        <v>425985.19</v>
      </c>
    </row>
    <row r="54" spans="2:6" s="113" customFormat="1" hidden="1" x14ac:dyDescent="0.6">
      <c r="B54" s="112">
        <v>1311000926</v>
      </c>
      <c r="C54" s="112" t="s">
        <v>89</v>
      </c>
      <c r="D54" s="111">
        <v>685000</v>
      </c>
      <c r="E54" s="114">
        <f>34000+516665.33</f>
        <v>550665.33000000007</v>
      </c>
      <c r="F54" s="114">
        <v>809907.07</v>
      </c>
    </row>
    <row r="55" spans="2:6" s="113" customFormat="1" hidden="1" x14ac:dyDescent="0.6">
      <c r="B55" s="112">
        <v>1311000990</v>
      </c>
      <c r="C55" s="112" t="s">
        <v>90</v>
      </c>
      <c r="D55" s="111">
        <v>2272400</v>
      </c>
      <c r="E55" s="114">
        <f>1995642.49+200000</f>
        <v>2195642.4900000002</v>
      </c>
      <c r="F55" s="114">
        <v>2213368.86</v>
      </c>
    </row>
    <row r="56" spans="2:6" hidden="1" x14ac:dyDescent="0.6">
      <c r="B56" s="108">
        <v>1312133921</v>
      </c>
      <c r="C56" s="108" t="s">
        <v>722</v>
      </c>
      <c r="E56" s="115">
        <v>10000</v>
      </c>
    </row>
    <row r="57" spans="2:6" s="113" customFormat="1" hidden="1" x14ac:dyDescent="0.6">
      <c r="B57" s="112">
        <v>1312200440</v>
      </c>
      <c r="C57" s="112" t="s">
        <v>91</v>
      </c>
      <c r="D57" s="111">
        <v>2027980</v>
      </c>
      <c r="E57" s="114">
        <v>2393952.25</v>
      </c>
      <c r="F57" s="114">
        <v>1902420.97</v>
      </c>
    </row>
    <row r="58" spans="2:6" s="113" customFormat="1" hidden="1" x14ac:dyDescent="0.6">
      <c r="B58" s="112">
        <v>1312200441</v>
      </c>
      <c r="C58" s="112" t="s">
        <v>92</v>
      </c>
      <c r="D58" s="111">
        <v>327977</v>
      </c>
      <c r="E58" s="114">
        <v>224817.45</v>
      </c>
      <c r="F58" s="114">
        <v>276199.48</v>
      </c>
    </row>
    <row r="59" spans="2:6" s="113" customFormat="1" hidden="1" x14ac:dyDescent="0.6">
      <c r="B59" s="112">
        <v>1312200442</v>
      </c>
      <c r="C59" s="112" t="s">
        <v>93</v>
      </c>
      <c r="D59" s="111">
        <v>902831</v>
      </c>
      <c r="E59" s="114">
        <v>622922.89</v>
      </c>
      <c r="F59" s="114">
        <v>732127.15</v>
      </c>
    </row>
    <row r="60" spans="2:6" s="113" customFormat="1" hidden="1" x14ac:dyDescent="0.6">
      <c r="B60" s="112">
        <v>1312200920</v>
      </c>
      <c r="C60" s="112" t="s">
        <v>94</v>
      </c>
      <c r="D60" s="111">
        <v>10837136.109999999</v>
      </c>
      <c r="E60" s="114">
        <v>10449635.73</v>
      </c>
      <c r="F60" s="114">
        <v>10993138.07</v>
      </c>
    </row>
    <row r="61" spans="2:6" s="113" customFormat="1" hidden="1" x14ac:dyDescent="0.6">
      <c r="B61" s="112">
        <v>1312200990</v>
      </c>
      <c r="C61" s="112" t="s">
        <v>96</v>
      </c>
      <c r="D61" s="111">
        <v>90000</v>
      </c>
      <c r="E61" s="114">
        <v>58700</v>
      </c>
      <c r="F61" s="114">
        <v>46700</v>
      </c>
    </row>
    <row r="62" spans="2:6" hidden="1" x14ac:dyDescent="0.6">
      <c r="B62" s="108">
        <v>1312201920</v>
      </c>
      <c r="C62" s="108" t="s">
        <v>723</v>
      </c>
      <c r="E62" s="115">
        <v>-1875</v>
      </c>
    </row>
    <row r="63" spans="2:6" hidden="1" x14ac:dyDescent="0.6">
      <c r="B63" s="108">
        <v>1312211920</v>
      </c>
      <c r="C63" s="108" t="s">
        <v>724</v>
      </c>
      <c r="E63" s="115">
        <v>375</v>
      </c>
    </row>
    <row r="64" spans="2:6" hidden="1" x14ac:dyDescent="0.6">
      <c r="B64" s="108">
        <v>1312212920</v>
      </c>
      <c r="C64" s="108" t="s">
        <v>725</v>
      </c>
      <c r="E64" s="115">
        <v>375</v>
      </c>
    </row>
    <row r="65" spans="2:6" hidden="1" x14ac:dyDescent="0.6">
      <c r="B65" s="108">
        <v>1312213920</v>
      </c>
      <c r="C65" s="108" t="s">
        <v>726</v>
      </c>
      <c r="E65" s="115">
        <v>375</v>
      </c>
    </row>
    <row r="66" spans="2:6" hidden="1" x14ac:dyDescent="0.6">
      <c r="B66" s="108">
        <v>1312214920</v>
      </c>
      <c r="C66" s="108" t="s">
        <v>727</v>
      </c>
      <c r="E66" s="115">
        <v>375</v>
      </c>
    </row>
    <row r="67" spans="2:6" hidden="1" x14ac:dyDescent="0.6">
      <c r="B67" s="108">
        <v>1312215920</v>
      </c>
      <c r="C67" s="108" t="s">
        <v>728</v>
      </c>
      <c r="E67" s="115">
        <v>375</v>
      </c>
    </row>
    <row r="68" spans="2:6" hidden="1" x14ac:dyDescent="0.6">
      <c r="B68" s="108">
        <v>1312230922</v>
      </c>
      <c r="C68" s="108" t="s">
        <v>729</v>
      </c>
      <c r="E68" s="115">
        <v>272.64</v>
      </c>
    </row>
    <row r="69" spans="2:6" hidden="1" x14ac:dyDescent="0.6">
      <c r="B69" s="108">
        <v>1312233922</v>
      </c>
      <c r="C69" s="108" t="s">
        <v>730</v>
      </c>
      <c r="E69" s="115">
        <v>-21339.88</v>
      </c>
    </row>
    <row r="70" spans="2:6" hidden="1" x14ac:dyDescent="0.6">
      <c r="B70" s="108">
        <v>1312234922</v>
      </c>
      <c r="C70" s="108" t="s">
        <v>731</v>
      </c>
      <c r="E70" s="115">
        <v>3212.04</v>
      </c>
    </row>
    <row r="71" spans="2:6" hidden="1" x14ac:dyDescent="0.6">
      <c r="B71" s="108">
        <v>1312235922</v>
      </c>
      <c r="C71" s="108" t="s">
        <v>732</v>
      </c>
      <c r="E71" s="115">
        <v>2615.64</v>
      </c>
    </row>
    <row r="72" spans="2:6" hidden="1" x14ac:dyDescent="0.6">
      <c r="B72" s="108">
        <v>1312236922</v>
      </c>
      <c r="C72" s="108" t="s">
        <v>733</v>
      </c>
      <c r="E72" s="115">
        <v>2411.16</v>
      </c>
    </row>
    <row r="73" spans="2:6" hidden="1" x14ac:dyDescent="0.6">
      <c r="B73" s="108">
        <v>1312237922</v>
      </c>
      <c r="C73" s="108" t="s">
        <v>734</v>
      </c>
      <c r="E73" s="115">
        <v>894.6</v>
      </c>
    </row>
    <row r="74" spans="2:6" hidden="1" x14ac:dyDescent="0.6">
      <c r="B74" s="108">
        <v>1312238922</v>
      </c>
      <c r="C74" s="108" t="s">
        <v>735</v>
      </c>
      <c r="E74" s="115">
        <v>2112.96</v>
      </c>
    </row>
    <row r="75" spans="2:6" hidden="1" x14ac:dyDescent="0.6">
      <c r="B75" s="108">
        <v>1312239922</v>
      </c>
      <c r="C75" s="108" t="s">
        <v>736</v>
      </c>
      <c r="E75" s="115">
        <v>920.16</v>
      </c>
    </row>
    <row r="76" spans="2:6" hidden="1" x14ac:dyDescent="0.6">
      <c r="B76" s="108">
        <v>1312330922</v>
      </c>
      <c r="C76" s="108" t="s">
        <v>737</v>
      </c>
      <c r="E76" s="115">
        <v>8119.56</v>
      </c>
    </row>
    <row r="77" spans="2:6" s="113" customFormat="1" hidden="1" x14ac:dyDescent="0.6">
      <c r="B77" s="112">
        <v>1313200440</v>
      </c>
      <c r="C77" s="112" t="s">
        <v>97</v>
      </c>
      <c r="D77" s="111">
        <v>478800</v>
      </c>
      <c r="E77" s="114">
        <v>386056.3</v>
      </c>
      <c r="F77" s="114">
        <v>421590</v>
      </c>
    </row>
    <row r="78" spans="2:6" s="113" customFormat="1" hidden="1" x14ac:dyDescent="0.6">
      <c r="B78" s="112">
        <v>1313200441</v>
      </c>
      <c r="C78" s="112" t="s">
        <v>98</v>
      </c>
      <c r="D78" s="111">
        <v>1159200</v>
      </c>
      <c r="E78" s="114">
        <v>1249964.44</v>
      </c>
      <c r="F78" s="114">
        <v>929952.1</v>
      </c>
    </row>
    <row r="79" spans="2:6" s="113" customFormat="1" hidden="1" x14ac:dyDescent="0.6">
      <c r="B79" s="112">
        <v>1313210440</v>
      </c>
      <c r="C79" s="112" t="s">
        <v>99</v>
      </c>
      <c r="D79" s="111">
        <v>70000</v>
      </c>
      <c r="E79" s="114">
        <v>68765</v>
      </c>
      <c r="F79" s="114"/>
    </row>
    <row r="80" spans="2:6" s="113" customFormat="1" hidden="1" x14ac:dyDescent="0.6">
      <c r="B80" s="112">
        <v>1313210920</v>
      </c>
      <c r="C80" s="112" t="s">
        <v>100</v>
      </c>
      <c r="D80" s="111">
        <v>340000</v>
      </c>
      <c r="E80" s="114">
        <v>356263.44</v>
      </c>
      <c r="F80" s="114">
        <v>321149.89</v>
      </c>
    </row>
    <row r="81" spans="2:6" s="113" customFormat="1" hidden="1" x14ac:dyDescent="0.6">
      <c r="B81" s="112">
        <v>1313220920</v>
      </c>
      <c r="C81" s="112" t="s">
        <v>101</v>
      </c>
      <c r="D81" s="111">
        <v>569752.80000000005</v>
      </c>
      <c r="E81" s="114">
        <v>681960.77</v>
      </c>
      <c r="F81" s="114">
        <v>632259.68000000005</v>
      </c>
    </row>
    <row r="82" spans="2:6" s="113" customFormat="1" hidden="1" x14ac:dyDescent="0.6">
      <c r="B82" s="112">
        <v>1313230920</v>
      </c>
      <c r="C82" s="112" t="s">
        <v>102</v>
      </c>
      <c r="D82" s="111">
        <v>562672</v>
      </c>
      <c r="E82" s="114">
        <v>584462.71</v>
      </c>
      <c r="F82" s="114">
        <v>549677.73</v>
      </c>
    </row>
    <row r="83" spans="2:6" s="113" customFormat="1" hidden="1" x14ac:dyDescent="0.6">
      <c r="B83" s="112">
        <v>1313240920</v>
      </c>
      <c r="C83" s="112" t="s">
        <v>103</v>
      </c>
      <c r="D83" s="111">
        <v>550528</v>
      </c>
      <c r="E83" s="114">
        <v>538577.66</v>
      </c>
      <c r="F83" s="114">
        <v>523311.78</v>
      </c>
    </row>
    <row r="84" spans="2:6" s="113" customFormat="1" hidden="1" x14ac:dyDescent="0.6">
      <c r="B84" s="112">
        <v>1313250920</v>
      </c>
      <c r="C84" s="112" t="s">
        <v>104</v>
      </c>
      <c r="D84" s="111">
        <v>420000</v>
      </c>
      <c r="E84" s="114">
        <v>504853.12</v>
      </c>
      <c r="F84" s="114">
        <v>478897.63</v>
      </c>
    </row>
    <row r="85" spans="2:6" s="113" customFormat="1" hidden="1" x14ac:dyDescent="0.6">
      <c r="B85" s="112">
        <v>1313260920</v>
      </c>
      <c r="C85" s="112" t="s">
        <v>105</v>
      </c>
      <c r="D85" s="111">
        <v>229000</v>
      </c>
      <c r="E85" s="114">
        <v>156339.72</v>
      </c>
      <c r="F85" s="114">
        <v>174767.64</v>
      </c>
    </row>
    <row r="86" spans="2:6" s="113" customFormat="1" hidden="1" x14ac:dyDescent="0.6">
      <c r="B86" s="112">
        <v>1313270920</v>
      </c>
      <c r="C86" s="112" t="s">
        <v>106</v>
      </c>
      <c r="D86" s="111">
        <v>510000</v>
      </c>
      <c r="E86" s="114">
        <v>499203.12</v>
      </c>
      <c r="F86" s="114">
        <v>460437.54</v>
      </c>
    </row>
    <row r="87" spans="2:6" s="113" customFormat="1" hidden="1" x14ac:dyDescent="0.6">
      <c r="B87" s="112">
        <v>1313280920</v>
      </c>
      <c r="C87" s="112" t="s">
        <v>107</v>
      </c>
      <c r="D87" s="111">
        <v>700000</v>
      </c>
      <c r="E87" s="114">
        <v>878718.53</v>
      </c>
      <c r="F87" s="114">
        <v>788368.73</v>
      </c>
    </row>
    <row r="88" spans="2:6" s="113" customFormat="1" hidden="1" x14ac:dyDescent="0.6">
      <c r="B88" s="112">
        <v>1313280925</v>
      </c>
      <c r="C88" s="112" t="s">
        <v>108</v>
      </c>
      <c r="D88" s="111">
        <v>150000</v>
      </c>
      <c r="E88" s="114">
        <v>214340.77</v>
      </c>
      <c r="F88" s="114">
        <v>171943.5</v>
      </c>
    </row>
    <row r="89" spans="2:6" s="113" customFormat="1" hidden="1" x14ac:dyDescent="0.6">
      <c r="B89" s="112">
        <v>1313300920</v>
      </c>
      <c r="C89" s="112" t="s">
        <v>109</v>
      </c>
      <c r="D89" s="111">
        <v>1720400</v>
      </c>
      <c r="E89" s="114">
        <v>1827289.49</v>
      </c>
      <c r="F89" s="114">
        <v>1746981.18</v>
      </c>
    </row>
    <row r="90" spans="2:6" s="113" customFormat="1" hidden="1" x14ac:dyDescent="0.6">
      <c r="B90" s="112">
        <v>1313300925</v>
      </c>
      <c r="C90" s="112" t="s">
        <v>110</v>
      </c>
      <c r="D90" s="111">
        <v>80000</v>
      </c>
      <c r="E90" s="114">
        <v>180742.58</v>
      </c>
      <c r="F90" s="114">
        <v>85048.7</v>
      </c>
    </row>
    <row r="91" spans="2:6" s="113" customFormat="1" hidden="1" x14ac:dyDescent="0.6">
      <c r="B91" s="112">
        <v>1313600920</v>
      </c>
      <c r="C91" s="112" t="s">
        <v>111</v>
      </c>
      <c r="D91" s="111">
        <v>250000</v>
      </c>
      <c r="E91" s="114">
        <v>257231.26</v>
      </c>
      <c r="F91" s="114">
        <v>259569.92000000001</v>
      </c>
    </row>
    <row r="92" spans="2:6" s="113" customFormat="1" hidden="1" x14ac:dyDescent="0.6">
      <c r="B92" s="112">
        <v>1313610920</v>
      </c>
      <c r="C92" s="112" t="s">
        <v>738</v>
      </c>
      <c r="D92" s="112"/>
      <c r="E92" s="114">
        <v>2028.24</v>
      </c>
      <c r="F92" s="114"/>
    </row>
    <row r="93" spans="2:6" s="113" customFormat="1" hidden="1" x14ac:dyDescent="0.6">
      <c r="B93" s="112">
        <v>1313611920</v>
      </c>
      <c r="C93" s="112" t="s">
        <v>739</v>
      </c>
      <c r="D93" s="112"/>
      <c r="E93" s="114">
        <v>3979.96</v>
      </c>
      <c r="F93" s="114"/>
    </row>
    <row r="94" spans="2:6" s="113" customFormat="1" hidden="1" x14ac:dyDescent="0.6">
      <c r="B94" s="112">
        <v>1313700920</v>
      </c>
      <c r="C94" s="112" t="s">
        <v>112</v>
      </c>
      <c r="D94" s="111">
        <v>219750</v>
      </c>
      <c r="E94" s="114">
        <v>119082.87</v>
      </c>
      <c r="F94" s="114">
        <v>148450.79999999999</v>
      </c>
    </row>
    <row r="95" spans="2:6" s="113" customFormat="1" hidden="1" x14ac:dyDescent="0.6">
      <c r="B95" s="112">
        <v>1313800420</v>
      </c>
      <c r="C95" s="112" t="s">
        <v>113</v>
      </c>
      <c r="D95" s="111">
        <v>240000</v>
      </c>
      <c r="E95" s="114">
        <v>291351.06</v>
      </c>
      <c r="F95" s="114">
        <v>284280.51</v>
      </c>
    </row>
    <row r="96" spans="2:6" s="113" customFormat="1" hidden="1" x14ac:dyDescent="0.6">
      <c r="B96" s="112">
        <v>1313800920</v>
      </c>
      <c r="C96" s="112" t="s">
        <v>114</v>
      </c>
      <c r="D96" s="111">
        <v>650000</v>
      </c>
      <c r="E96" s="114">
        <v>514241.42</v>
      </c>
      <c r="F96" s="114">
        <v>728350.96</v>
      </c>
    </row>
    <row r="97" spans="2:6" s="113" customFormat="1" hidden="1" x14ac:dyDescent="0.6">
      <c r="B97" s="112">
        <v>1313830420</v>
      </c>
      <c r="C97" s="112" t="s">
        <v>115</v>
      </c>
      <c r="D97" s="111">
        <v>43100</v>
      </c>
      <c r="E97" s="114">
        <v>141.91999999999999</v>
      </c>
      <c r="F97" s="114">
        <v>43300.160000000003</v>
      </c>
    </row>
    <row r="98" spans="2:6" s="113" customFormat="1" hidden="1" x14ac:dyDescent="0.6">
      <c r="B98" s="112">
        <v>1315000490</v>
      </c>
      <c r="C98" s="112" t="s">
        <v>116</v>
      </c>
      <c r="D98" s="111">
        <v>924000</v>
      </c>
      <c r="E98" s="114">
        <v>1105201.25</v>
      </c>
      <c r="F98" s="114">
        <v>978852.1</v>
      </c>
    </row>
    <row r="99" spans="2:6" s="113" customFormat="1" hidden="1" x14ac:dyDescent="0.6">
      <c r="B99" s="112">
        <v>1317100920</v>
      </c>
      <c r="C99" s="112" t="s">
        <v>117</v>
      </c>
      <c r="D99" s="111">
        <v>153000</v>
      </c>
      <c r="E99" s="114">
        <v>159377.87</v>
      </c>
      <c r="F99" s="114">
        <v>157151.49</v>
      </c>
    </row>
    <row r="100" spans="2:6" s="113" customFormat="1" hidden="1" x14ac:dyDescent="0.6">
      <c r="B100" s="112">
        <v>1317300920</v>
      </c>
      <c r="C100" s="112" t="s">
        <v>118</v>
      </c>
      <c r="D100" s="111">
        <v>1181000</v>
      </c>
      <c r="E100" s="114">
        <v>1527543.41</v>
      </c>
      <c r="F100" s="114">
        <v>1285815.51</v>
      </c>
    </row>
    <row r="101" spans="2:6" s="113" customFormat="1" hidden="1" x14ac:dyDescent="0.6">
      <c r="B101" s="112">
        <v>1317310920</v>
      </c>
      <c r="C101" s="112" t="s">
        <v>119</v>
      </c>
      <c r="D101" s="112"/>
      <c r="E101" s="114">
        <v>50398.5</v>
      </c>
      <c r="F101" s="114"/>
    </row>
    <row r="102" spans="2:6" s="113" customFormat="1" hidden="1" x14ac:dyDescent="0.6">
      <c r="B102" s="112">
        <v>1317400920</v>
      </c>
      <c r="C102" s="112" t="s">
        <v>120</v>
      </c>
      <c r="D102" s="111">
        <v>160000</v>
      </c>
      <c r="E102" s="114">
        <v>209370.93</v>
      </c>
      <c r="F102" s="114">
        <v>203604.12</v>
      </c>
    </row>
    <row r="103" spans="2:6" s="113" customFormat="1" hidden="1" x14ac:dyDescent="0.6">
      <c r="B103" s="112">
        <v>1317400925</v>
      </c>
      <c r="C103" s="112" t="s">
        <v>121</v>
      </c>
      <c r="D103" s="111">
        <v>25000</v>
      </c>
      <c r="E103" s="114"/>
      <c r="F103" s="114"/>
    </row>
    <row r="104" spans="2:6" s="113" customFormat="1" hidden="1" x14ac:dyDescent="0.6">
      <c r="B104" s="112">
        <v>1317600920</v>
      </c>
      <c r="C104" s="112" t="s">
        <v>122</v>
      </c>
      <c r="D104" s="111">
        <v>719727</v>
      </c>
      <c r="E104" s="114">
        <v>571230</v>
      </c>
      <c r="F104" s="114">
        <v>699547</v>
      </c>
    </row>
    <row r="105" spans="2:6" s="113" customFormat="1" hidden="1" x14ac:dyDescent="0.6">
      <c r="B105" s="112">
        <v>1317700920</v>
      </c>
      <c r="C105" s="112" t="s">
        <v>123</v>
      </c>
      <c r="D105" s="111">
        <v>292000</v>
      </c>
      <c r="E105" s="114">
        <v>254920.66</v>
      </c>
      <c r="F105" s="114">
        <v>287633.62</v>
      </c>
    </row>
    <row r="106" spans="2:6" s="113" customFormat="1" hidden="1" x14ac:dyDescent="0.6">
      <c r="B106" s="112">
        <v>1317800920</v>
      </c>
      <c r="C106" s="112" t="s">
        <v>124</v>
      </c>
      <c r="D106" s="111">
        <v>1000000</v>
      </c>
      <c r="E106" s="114">
        <v>556691.81000000006</v>
      </c>
      <c r="F106" s="114">
        <v>1047880.35</v>
      </c>
    </row>
    <row r="107" spans="2:6" s="113" customFormat="1" hidden="1" x14ac:dyDescent="0.6">
      <c r="B107" s="112">
        <v>1317800921</v>
      </c>
      <c r="C107" s="112" t="s">
        <v>125</v>
      </c>
      <c r="D107" s="111">
        <v>850000</v>
      </c>
      <c r="E107" s="114">
        <v>1188397.76</v>
      </c>
      <c r="F107" s="114">
        <v>1100682.46</v>
      </c>
    </row>
    <row r="108" spans="2:6" s="113" customFormat="1" hidden="1" x14ac:dyDescent="0.6">
      <c r="B108" s="112">
        <v>1317800922</v>
      </c>
      <c r="C108" s="112" t="s">
        <v>126</v>
      </c>
      <c r="D108" s="111">
        <v>2900000</v>
      </c>
      <c r="E108" s="114">
        <v>2796523.68</v>
      </c>
      <c r="F108" s="114">
        <v>2909990.25</v>
      </c>
    </row>
    <row r="109" spans="2:6" s="113" customFormat="1" hidden="1" x14ac:dyDescent="0.6">
      <c r="B109" s="112">
        <v>1317800923</v>
      </c>
      <c r="C109" s="112" t="s">
        <v>127</v>
      </c>
      <c r="D109" s="111">
        <v>2090000</v>
      </c>
      <c r="E109" s="114">
        <v>2313495.71</v>
      </c>
      <c r="F109" s="114">
        <v>1993275.15</v>
      </c>
    </row>
    <row r="110" spans="2:6" s="113" customFormat="1" hidden="1" x14ac:dyDescent="0.6">
      <c r="B110" s="112">
        <v>1317800924</v>
      </c>
      <c r="C110" s="112" t="s">
        <v>128</v>
      </c>
      <c r="D110" s="111">
        <v>140000</v>
      </c>
      <c r="E110" s="114">
        <v>87000</v>
      </c>
      <c r="F110" s="114">
        <v>145000</v>
      </c>
    </row>
    <row r="111" spans="2:6" s="113" customFormat="1" hidden="1" x14ac:dyDescent="0.6">
      <c r="B111" s="112">
        <v>1317811923</v>
      </c>
      <c r="C111" s="112" t="s">
        <v>740</v>
      </c>
      <c r="D111" s="112"/>
      <c r="E111" s="114">
        <v>-2.2999999999999998</v>
      </c>
      <c r="F111" s="114"/>
    </row>
    <row r="112" spans="2:6" s="113" customFormat="1" hidden="1" x14ac:dyDescent="0.6">
      <c r="B112" s="112">
        <v>1317910920</v>
      </c>
      <c r="C112" s="112" t="s">
        <v>129</v>
      </c>
      <c r="D112" s="111">
        <v>286000</v>
      </c>
      <c r="E112" s="114">
        <v>180000</v>
      </c>
      <c r="F112" s="114">
        <v>300499.20000000001</v>
      </c>
    </row>
    <row r="113" spans="2:6" s="113" customFormat="1" hidden="1" x14ac:dyDescent="0.6">
      <c r="B113" s="112">
        <v>1318000980</v>
      </c>
      <c r="C113" s="112" t="s">
        <v>130</v>
      </c>
      <c r="D113" s="111">
        <v>171961</v>
      </c>
      <c r="E113" s="114">
        <v>197736.5</v>
      </c>
      <c r="F113" s="114">
        <v>427932</v>
      </c>
    </row>
    <row r="114" spans="2:6" s="113" customFormat="1" hidden="1" x14ac:dyDescent="0.6">
      <c r="B114" s="112">
        <v>1318100970</v>
      </c>
      <c r="C114" s="112" t="s">
        <v>131</v>
      </c>
      <c r="D114" s="111">
        <v>80000</v>
      </c>
      <c r="E114" s="114">
        <v>63592</v>
      </c>
      <c r="F114" s="114">
        <v>80000</v>
      </c>
    </row>
    <row r="115" spans="2:6" s="113" customFormat="1" hidden="1" x14ac:dyDescent="0.6">
      <c r="B115" s="112">
        <v>1328100990</v>
      </c>
      <c r="C115" s="112" t="s">
        <v>132</v>
      </c>
      <c r="D115" s="111">
        <v>615289.5</v>
      </c>
      <c r="E115" s="114">
        <f>208000+420426</f>
        <v>628426</v>
      </c>
      <c r="F115" s="114">
        <v>489858</v>
      </c>
    </row>
    <row r="116" spans="2:6" s="113" customFormat="1" hidden="1" x14ac:dyDescent="0.6">
      <c r="B116" s="112">
        <v>1328100991</v>
      </c>
      <c r="C116" s="112" t="s">
        <v>133</v>
      </c>
      <c r="D116" s="111">
        <v>82450</v>
      </c>
      <c r="E116" s="114">
        <v>31190</v>
      </c>
      <c r="F116" s="114">
        <v>82450</v>
      </c>
    </row>
    <row r="117" spans="2:6" s="113" customFormat="1" hidden="1" x14ac:dyDescent="0.6">
      <c r="B117" s="112">
        <v>1328200920</v>
      </c>
      <c r="C117" s="112" t="s">
        <v>134</v>
      </c>
      <c r="D117" s="111">
        <v>1090000</v>
      </c>
      <c r="E117" s="114">
        <v>1111627.8</v>
      </c>
      <c r="F117" s="114">
        <v>1127884.2</v>
      </c>
    </row>
    <row r="118" spans="2:6" s="113" customFormat="1" hidden="1" x14ac:dyDescent="0.6">
      <c r="B118" s="112">
        <v>1328200990</v>
      </c>
      <c r="C118" s="112" t="s">
        <v>135</v>
      </c>
      <c r="D118" s="111">
        <v>267416</v>
      </c>
      <c r="E118" s="114">
        <f>40000+193078</f>
        <v>233078</v>
      </c>
      <c r="F118" s="114">
        <v>254396</v>
      </c>
    </row>
    <row r="119" spans="2:6" s="113" customFormat="1" hidden="1" x14ac:dyDescent="0.6">
      <c r="B119" s="112">
        <v>1329200640</v>
      </c>
      <c r="C119" s="112" t="s">
        <v>136</v>
      </c>
      <c r="D119" s="111">
        <v>5000</v>
      </c>
      <c r="E119" s="114">
        <v>61800</v>
      </c>
      <c r="F119" s="114">
        <v>5000</v>
      </c>
    </row>
    <row r="120" spans="2:6" s="113" customFormat="1" hidden="1" x14ac:dyDescent="0.6">
      <c r="B120" s="112">
        <v>1329200920</v>
      </c>
      <c r="C120" s="112" t="s">
        <v>137</v>
      </c>
      <c r="D120" s="111">
        <v>405000</v>
      </c>
      <c r="E120" s="114">
        <v>245000</v>
      </c>
      <c r="F120" s="114">
        <v>393444</v>
      </c>
    </row>
    <row r="121" spans="2:6" s="113" customFormat="1" hidden="1" x14ac:dyDescent="0.6">
      <c r="B121" s="112">
        <v>1335000940</v>
      </c>
      <c r="C121" s="112" t="s">
        <v>138</v>
      </c>
      <c r="D121" s="111">
        <v>69004</v>
      </c>
      <c r="E121" s="114">
        <v>142886.54999999999</v>
      </c>
      <c r="F121" s="114">
        <v>74858.5</v>
      </c>
    </row>
    <row r="122" spans="2:6" s="113" customFormat="1" hidden="1" x14ac:dyDescent="0.6">
      <c r="B122" s="112">
        <v>1341000930</v>
      </c>
      <c r="C122" s="112" t="s">
        <v>139</v>
      </c>
      <c r="D122" s="111">
        <v>4512729.5599999996</v>
      </c>
      <c r="E122" s="114">
        <v>4578569</v>
      </c>
      <c r="F122" s="114">
        <v>4206522</v>
      </c>
    </row>
    <row r="123" spans="2:6" s="113" customFormat="1" hidden="1" x14ac:dyDescent="0.6">
      <c r="B123" s="112">
        <v>1341000931</v>
      </c>
      <c r="C123" s="112" t="s">
        <v>140</v>
      </c>
      <c r="D123" s="111">
        <v>18750</v>
      </c>
      <c r="E123" s="114"/>
      <c r="F123" s="114">
        <v>19328</v>
      </c>
    </row>
    <row r="124" spans="2:6" s="113" customFormat="1" hidden="1" x14ac:dyDescent="0.6">
      <c r="B124" s="112">
        <v>1341500930</v>
      </c>
      <c r="C124" s="112" t="s">
        <v>141</v>
      </c>
      <c r="D124" s="111">
        <v>126000</v>
      </c>
      <c r="E124" s="114">
        <v>319480</v>
      </c>
      <c r="F124" s="114">
        <v>356640</v>
      </c>
    </row>
    <row r="125" spans="2:6" s="113" customFormat="1" hidden="1" x14ac:dyDescent="0.6">
      <c r="B125" s="112">
        <v>1342200220</v>
      </c>
      <c r="C125" s="112" t="s">
        <v>142</v>
      </c>
      <c r="D125" s="111">
        <v>1000</v>
      </c>
      <c r="E125" s="114"/>
      <c r="F125" s="114">
        <v>1000</v>
      </c>
    </row>
    <row r="126" spans="2:6" s="113" customFormat="1" hidden="1" x14ac:dyDescent="0.6">
      <c r="B126" s="112">
        <v>1342200770</v>
      </c>
      <c r="C126" s="112" t="s">
        <v>143</v>
      </c>
      <c r="D126" s="112"/>
      <c r="E126" s="114">
        <v>38966.080000000002</v>
      </c>
      <c r="F126" s="114"/>
    </row>
    <row r="127" spans="2:6" s="113" customFormat="1" hidden="1" x14ac:dyDescent="0.6">
      <c r="B127" s="112">
        <v>1342200931</v>
      </c>
      <c r="C127" s="112" t="s">
        <v>142</v>
      </c>
      <c r="D127" s="111">
        <v>140000</v>
      </c>
      <c r="E127" s="114">
        <v>51152</v>
      </c>
      <c r="F127" s="114">
        <v>116936</v>
      </c>
    </row>
    <row r="128" spans="2:6" s="113" customFormat="1" hidden="1" x14ac:dyDescent="0.6">
      <c r="B128" s="112">
        <v>1342200936</v>
      </c>
      <c r="C128" s="112" t="s">
        <v>144</v>
      </c>
      <c r="D128" s="111">
        <v>67716</v>
      </c>
      <c r="E128" s="114">
        <v>35784</v>
      </c>
      <c r="F128" s="114">
        <v>50840</v>
      </c>
    </row>
    <row r="129" spans="2:6" s="113" customFormat="1" hidden="1" x14ac:dyDescent="0.6">
      <c r="B129" s="112">
        <v>1342200937</v>
      </c>
      <c r="C129" s="112" t="s">
        <v>145</v>
      </c>
      <c r="D129" s="111">
        <v>56799.75</v>
      </c>
      <c r="E129" s="114">
        <v>21029</v>
      </c>
      <c r="F129" s="114">
        <v>17008</v>
      </c>
    </row>
    <row r="130" spans="2:6" s="113" customFormat="1" hidden="1" x14ac:dyDescent="0.6">
      <c r="B130" s="112">
        <v>1342300931</v>
      </c>
      <c r="C130" s="112" t="s">
        <v>146</v>
      </c>
      <c r="D130" s="111">
        <v>191541</v>
      </c>
      <c r="E130" s="114">
        <v>75394</v>
      </c>
      <c r="F130" s="114">
        <v>222193</v>
      </c>
    </row>
    <row r="131" spans="2:6" s="113" customFormat="1" hidden="1" x14ac:dyDescent="0.6">
      <c r="B131" s="112">
        <v>1342400930</v>
      </c>
      <c r="C131" s="112" t="s">
        <v>147</v>
      </c>
      <c r="D131" s="111">
        <v>204351</v>
      </c>
      <c r="E131" s="114">
        <v>354214</v>
      </c>
      <c r="F131" s="114">
        <v>439150</v>
      </c>
    </row>
    <row r="132" spans="2:6" s="113" customFormat="1" hidden="1" x14ac:dyDescent="0.6">
      <c r="B132" s="112">
        <v>1342400931</v>
      </c>
      <c r="C132" s="112" t="s">
        <v>148</v>
      </c>
      <c r="D132" s="111">
        <v>40500</v>
      </c>
      <c r="E132" s="114">
        <v>119355</v>
      </c>
      <c r="F132" s="114">
        <v>20000</v>
      </c>
    </row>
    <row r="133" spans="2:6" s="113" customFormat="1" hidden="1" x14ac:dyDescent="0.6">
      <c r="B133" s="112">
        <v>1343500930</v>
      </c>
      <c r="C133" s="112" t="s">
        <v>149</v>
      </c>
      <c r="D133" s="111">
        <v>534600</v>
      </c>
      <c r="E133" s="114">
        <v>666473</v>
      </c>
      <c r="F133" s="114">
        <v>477848</v>
      </c>
    </row>
    <row r="134" spans="2:6" s="113" customFormat="1" hidden="1" x14ac:dyDescent="0.6">
      <c r="B134" s="112">
        <v>1343500931</v>
      </c>
      <c r="C134" s="112" t="s">
        <v>150</v>
      </c>
      <c r="D134" s="111">
        <v>57000</v>
      </c>
      <c r="E134" s="114">
        <v>56539</v>
      </c>
      <c r="F134" s="114">
        <v>56539</v>
      </c>
    </row>
    <row r="135" spans="2:6" s="113" customFormat="1" hidden="1" x14ac:dyDescent="0.6">
      <c r="B135" s="112">
        <v>1343500932</v>
      </c>
      <c r="C135" s="112" t="s">
        <v>151</v>
      </c>
      <c r="D135" s="111">
        <v>262500</v>
      </c>
      <c r="E135" s="114">
        <v>291721</v>
      </c>
      <c r="F135" s="114">
        <v>321949</v>
      </c>
    </row>
    <row r="136" spans="2:6" s="113" customFormat="1" hidden="1" x14ac:dyDescent="0.6">
      <c r="B136" s="112">
        <v>1343500933</v>
      </c>
      <c r="C136" s="112" t="s">
        <v>152</v>
      </c>
      <c r="D136" s="111">
        <v>70000</v>
      </c>
      <c r="E136" s="114">
        <v>50624</v>
      </c>
      <c r="F136" s="114">
        <v>78129</v>
      </c>
    </row>
    <row r="137" spans="2:6" s="113" customFormat="1" hidden="1" x14ac:dyDescent="0.6">
      <c r="B137" s="112">
        <v>1343500934</v>
      </c>
      <c r="C137" s="112" t="s">
        <v>153</v>
      </c>
      <c r="D137" s="111">
        <v>55629.75</v>
      </c>
      <c r="E137" s="114">
        <v>52461</v>
      </c>
      <c r="F137" s="114">
        <v>50740</v>
      </c>
    </row>
    <row r="138" spans="2:6" s="113" customFormat="1" hidden="1" x14ac:dyDescent="0.6">
      <c r="B138" s="112">
        <v>1343500935</v>
      </c>
      <c r="C138" s="112" t="s">
        <v>545</v>
      </c>
      <c r="D138" s="111">
        <v>56538</v>
      </c>
      <c r="E138" s="114"/>
      <c r="F138" s="114">
        <v>35015</v>
      </c>
    </row>
    <row r="139" spans="2:6" s="113" customFormat="1" hidden="1" x14ac:dyDescent="0.6">
      <c r="B139" s="112">
        <v>1343800220</v>
      </c>
      <c r="C139" s="112" t="s">
        <v>155</v>
      </c>
      <c r="D139" s="111">
        <v>55000</v>
      </c>
      <c r="E139" s="114">
        <v>40913</v>
      </c>
      <c r="F139" s="114">
        <v>53148.38</v>
      </c>
    </row>
    <row r="140" spans="2:6" s="113" customFormat="1" hidden="1" x14ac:dyDescent="0.6">
      <c r="B140" s="112">
        <v>1343800930</v>
      </c>
      <c r="C140" s="112" t="s">
        <v>156</v>
      </c>
      <c r="D140" s="111">
        <v>2925000</v>
      </c>
      <c r="E140" s="114">
        <v>2245281</v>
      </c>
      <c r="F140" s="114">
        <v>2723096</v>
      </c>
    </row>
    <row r="141" spans="2:6" s="113" customFormat="1" hidden="1" x14ac:dyDescent="0.6">
      <c r="B141" s="112">
        <v>1343800931</v>
      </c>
      <c r="C141" s="112" t="s">
        <v>157</v>
      </c>
      <c r="D141" s="112"/>
      <c r="E141" s="114"/>
      <c r="F141" s="114">
        <v>1377</v>
      </c>
    </row>
    <row r="142" spans="2:6" s="113" customFormat="1" hidden="1" x14ac:dyDescent="0.6">
      <c r="B142" s="112">
        <v>1343900930</v>
      </c>
      <c r="C142" s="112" t="s">
        <v>158</v>
      </c>
      <c r="D142" s="111">
        <v>1050000</v>
      </c>
      <c r="E142" s="114">
        <v>1209674</v>
      </c>
      <c r="F142" s="114">
        <v>1104313</v>
      </c>
    </row>
    <row r="143" spans="2:6" s="113" customFormat="1" hidden="1" x14ac:dyDescent="0.6">
      <c r="B143" s="112">
        <v>1344300220</v>
      </c>
      <c r="C143" s="112" t="s">
        <v>159</v>
      </c>
      <c r="D143" s="111">
        <v>20000</v>
      </c>
      <c r="E143" s="114">
        <v>17126.080000000002</v>
      </c>
      <c r="F143" s="114">
        <v>31502.47</v>
      </c>
    </row>
    <row r="144" spans="2:6" s="113" customFormat="1" hidden="1" x14ac:dyDescent="0.6">
      <c r="B144" s="112">
        <v>1344300930</v>
      </c>
      <c r="C144" s="112" t="s">
        <v>159</v>
      </c>
      <c r="D144" s="111">
        <v>675000</v>
      </c>
      <c r="E144" s="114">
        <v>564816</v>
      </c>
      <c r="F144" s="114">
        <v>764335</v>
      </c>
    </row>
    <row r="145" spans="2:6" s="113" customFormat="1" hidden="1" x14ac:dyDescent="0.6">
      <c r="B145" s="112">
        <v>1344400220</v>
      </c>
      <c r="C145" s="112" t="s">
        <v>160</v>
      </c>
      <c r="D145" s="111">
        <v>25000</v>
      </c>
      <c r="E145" s="114">
        <v>8062.9</v>
      </c>
      <c r="F145" s="114">
        <v>18455.5</v>
      </c>
    </row>
    <row r="146" spans="2:6" s="113" customFormat="1" hidden="1" x14ac:dyDescent="0.6">
      <c r="B146" s="112">
        <v>1344400931</v>
      </c>
      <c r="C146" s="112" t="s">
        <v>160</v>
      </c>
      <c r="D146" s="111">
        <v>225000</v>
      </c>
      <c r="E146" s="114">
        <v>175927</v>
      </c>
      <c r="F146" s="114">
        <v>241730</v>
      </c>
    </row>
    <row r="147" spans="2:6" s="113" customFormat="1" hidden="1" x14ac:dyDescent="0.6">
      <c r="B147" s="112">
        <v>1344400933</v>
      </c>
      <c r="C147" s="112" t="s">
        <v>161</v>
      </c>
      <c r="D147" s="111">
        <v>32000</v>
      </c>
      <c r="E147" s="114">
        <v>24568</v>
      </c>
      <c r="F147" s="114">
        <v>29104</v>
      </c>
    </row>
    <row r="148" spans="2:6" s="113" customFormat="1" hidden="1" x14ac:dyDescent="0.6">
      <c r="B148" s="112">
        <v>1344400934</v>
      </c>
      <c r="C148" s="112" t="s">
        <v>162</v>
      </c>
      <c r="D148" s="111">
        <v>67500</v>
      </c>
      <c r="E148" s="114"/>
      <c r="F148" s="114">
        <v>3215</v>
      </c>
    </row>
    <row r="149" spans="2:6" s="113" customFormat="1" hidden="1" x14ac:dyDescent="0.6">
      <c r="B149" s="112">
        <v>1344400935</v>
      </c>
      <c r="C149" s="112" t="s">
        <v>163</v>
      </c>
      <c r="D149" s="111">
        <v>18000</v>
      </c>
      <c r="E149" s="114">
        <v>3361</v>
      </c>
      <c r="F149" s="114">
        <v>10982</v>
      </c>
    </row>
    <row r="150" spans="2:6" s="113" customFormat="1" hidden="1" x14ac:dyDescent="0.6">
      <c r="B150" s="112">
        <v>1344400936</v>
      </c>
      <c r="C150" s="112" t="s">
        <v>164</v>
      </c>
      <c r="D150" s="111">
        <v>31500</v>
      </c>
      <c r="E150" s="114"/>
      <c r="F150" s="114"/>
    </row>
    <row r="151" spans="2:6" s="113" customFormat="1" hidden="1" x14ac:dyDescent="0.6">
      <c r="B151" s="112">
        <v>1344400937</v>
      </c>
      <c r="C151" s="112" t="s">
        <v>165</v>
      </c>
      <c r="D151" s="111">
        <v>40000</v>
      </c>
      <c r="E151" s="114"/>
      <c r="F151" s="114">
        <v>40000</v>
      </c>
    </row>
    <row r="152" spans="2:6" s="113" customFormat="1" hidden="1" x14ac:dyDescent="0.6">
      <c r="B152" s="112">
        <v>1344500220</v>
      </c>
      <c r="C152" s="112" t="s">
        <v>167</v>
      </c>
      <c r="D152" s="111">
        <v>35000</v>
      </c>
      <c r="E152" s="114">
        <v>36752</v>
      </c>
      <c r="F152" s="114">
        <v>38475</v>
      </c>
    </row>
    <row r="153" spans="2:6" s="113" customFormat="1" hidden="1" x14ac:dyDescent="0.6">
      <c r="B153" s="112">
        <v>1344500930</v>
      </c>
      <c r="C153" s="112" t="s">
        <v>168</v>
      </c>
      <c r="D153" s="111">
        <v>202500</v>
      </c>
      <c r="E153" s="114">
        <v>178279</v>
      </c>
      <c r="F153" s="114">
        <v>174162</v>
      </c>
    </row>
    <row r="154" spans="2:6" s="113" customFormat="1" hidden="1" x14ac:dyDescent="0.6">
      <c r="B154" s="112">
        <v>1344600220</v>
      </c>
      <c r="C154" s="112" t="s">
        <v>169</v>
      </c>
      <c r="D154" s="111">
        <v>40000</v>
      </c>
      <c r="E154" s="114">
        <v>29269.3</v>
      </c>
      <c r="F154" s="114">
        <v>26166.81</v>
      </c>
    </row>
    <row r="155" spans="2:6" s="113" customFormat="1" hidden="1" x14ac:dyDescent="0.6">
      <c r="B155" s="112">
        <v>1345100930</v>
      </c>
      <c r="C155" s="112" t="s">
        <v>170</v>
      </c>
      <c r="D155" s="111">
        <v>4200000</v>
      </c>
      <c r="E155" s="114">
        <v>4911810</v>
      </c>
      <c r="F155" s="114">
        <v>4506959</v>
      </c>
    </row>
    <row r="156" spans="2:6" s="113" customFormat="1" hidden="1" x14ac:dyDescent="0.6">
      <c r="B156" s="112">
        <v>1345100931</v>
      </c>
      <c r="C156" s="112" t="s">
        <v>171</v>
      </c>
      <c r="D156" s="111">
        <v>243750</v>
      </c>
      <c r="E156" s="114">
        <v>370950</v>
      </c>
      <c r="F156" s="114">
        <v>267073</v>
      </c>
    </row>
    <row r="157" spans="2:6" s="113" customFormat="1" hidden="1" x14ac:dyDescent="0.6">
      <c r="B157" s="112">
        <v>1345100932</v>
      </c>
      <c r="C157" s="112" t="s">
        <v>172</v>
      </c>
      <c r="D157" s="111">
        <v>7500</v>
      </c>
      <c r="E157" s="114">
        <v>7820</v>
      </c>
      <c r="F157" s="114">
        <v>7643</v>
      </c>
    </row>
    <row r="158" spans="2:6" s="113" customFormat="1" hidden="1" x14ac:dyDescent="0.6">
      <c r="B158" s="112">
        <v>1345100933</v>
      </c>
      <c r="C158" s="112" t="s">
        <v>173</v>
      </c>
      <c r="D158" s="111">
        <v>52500</v>
      </c>
      <c r="E158" s="114">
        <v>55447</v>
      </c>
      <c r="F158" s="114">
        <v>45209</v>
      </c>
    </row>
    <row r="159" spans="2:6" s="113" customFormat="1" hidden="1" x14ac:dyDescent="0.6">
      <c r="B159" s="112">
        <v>1345100934</v>
      </c>
      <c r="C159" s="112" t="s">
        <v>174</v>
      </c>
      <c r="D159" s="111">
        <v>50250</v>
      </c>
      <c r="E159" s="114">
        <v>51539</v>
      </c>
      <c r="F159" s="114">
        <v>53636</v>
      </c>
    </row>
    <row r="160" spans="2:6" s="113" customFormat="1" hidden="1" x14ac:dyDescent="0.6">
      <c r="B160" s="112">
        <v>1345100935</v>
      </c>
      <c r="C160" s="112" t="s">
        <v>175</v>
      </c>
      <c r="D160" s="111">
        <v>67200</v>
      </c>
      <c r="E160" s="114">
        <v>20430</v>
      </c>
      <c r="F160" s="114">
        <v>31297</v>
      </c>
    </row>
    <row r="161" spans="2:6" s="113" customFormat="1" hidden="1" x14ac:dyDescent="0.6">
      <c r="B161" s="112">
        <v>1345100936</v>
      </c>
      <c r="C161" s="112" t="s">
        <v>176</v>
      </c>
      <c r="D161" s="111">
        <v>37500</v>
      </c>
      <c r="E161" s="114">
        <v>35816</v>
      </c>
      <c r="F161" s="114">
        <v>35390</v>
      </c>
    </row>
    <row r="162" spans="2:6" s="113" customFormat="1" hidden="1" x14ac:dyDescent="0.6">
      <c r="B162" s="112">
        <v>1345100937</v>
      </c>
      <c r="C162" s="112" t="s">
        <v>177</v>
      </c>
      <c r="D162" s="111">
        <v>1200000</v>
      </c>
      <c r="E162" s="114">
        <v>1424918</v>
      </c>
      <c r="F162" s="114">
        <v>1443413</v>
      </c>
    </row>
    <row r="163" spans="2:6" s="113" customFormat="1" hidden="1" x14ac:dyDescent="0.6">
      <c r="B163" s="112">
        <v>1345100938</v>
      </c>
      <c r="C163" s="112" t="s">
        <v>178</v>
      </c>
      <c r="D163" s="111">
        <v>3750</v>
      </c>
      <c r="E163" s="114"/>
      <c r="F163" s="114"/>
    </row>
    <row r="164" spans="2:6" s="113" customFormat="1" hidden="1" x14ac:dyDescent="0.6">
      <c r="B164" s="112">
        <v>1345200220</v>
      </c>
      <c r="C164" s="112" t="s">
        <v>179</v>
      </c>
      <c r="D164" s="111">
        <v>48000</v>
      </c>
      <c r="E164" s="114">
        <v>30179.01</v>
      </c>
      <c r="F164" s="114">
        <v>40662.92</v>
      </c>
    </row>
    <row r="165" spans="2:6" s="113" customFormat="1" hidden="1" x14ac:dyDescent="0.6">
      <c r="B165" s="112">
        <v>1345200221</v>
      </c>
      <c r="C165" s="112" t="s">
        <v>180</v>
      </c>
      <c r="D165" s="111">
        <v>11000</v>
      </c>
      <c r="E165" s="114">
        <v>13041.38</v>
      </c>
      <c r="F165" s="114">
        <v>14670</v>
      </c>
    </row>
    <row r="166" spans="2:6" s="113" customFormat="1" hidden="1" x14ac:dyDescent="0.6">
      <c r="B166" s="112">
        <v>1345200930</v>
      </c>
      <c r="C166" s="112" t="s">
        <v>181</v>
      </c>
      <c r="D166" s="111">
        <v>699000</v>
      </c>
      <c r="E166" s="114">
        <v>664278</v>
      </c>
      <c r="F166" s="114">
        <v>698640</v>
      </c>
    </row>
    <row r="167" spans="2:6" s="113" customFormat="1" hidden="1" x14ac:dyDescent="0.6">
      <c r="B167" s="112">
        <v>1345200933</v>
      </c>
      <c r="C167" s="112" t="s">
        <v>182</v>
      </c>
      <c r="D167" s="111">
        <v>760000</v>
      </c>
      <c r="E167" s="114">
        <v>751251</v>
      </c>
      <c r="F167" s="114">
        <v>833595</v>
      </c>
    </row>
    <row r="168" spans="2:6" s="113" customFormat="1" hidden="1" x14ac:dyDescent="0.6">
      <c r="B168" s="112">
        <v>1345300930</v>
      </c>
      <c r="C168" s="112" t="s">
        <v>183</v>
      </c>
      <c r="D168" s="111">
        <v>4000</v>
      </c>
      <c r="E168" s="114">
        <v>11669</v>
      </c>
      <c r="F168" s="114">
        <v>5569</v>
      </c>
    </row>
    <row r="169" spans="2:6" s="113" customFormat="1" hidden="1" x14ac:dyDescent="0.6">
      <c r="B169" s="112">
        <v>1345300932</v>
      </c>
      <c r="C169" s="112" t="s">
        <v>184</v>
      </c>
      <c r="D169" s="111">
        <v>4000</v>
      </c>
      <c r="E169" s="114">
        <v>1400</v>
      </c>
      <c r="F169" s="114"/>
    </row>
    <row r="170" spans="2:6" s="113" customFormat="1" hidden="1" x14ac:dyDescent="0.6">
      <c r="B170" s="112">
        <v>1345300933</v>
      </c>
      <c r="C170" s="112" t="s">
        <v>185</v>
      </c>
      <c r="D170" s="111">
        <v>180000</v>
      </c>
      <c r="E170" s="114">
        <v>169435</v>
      </c>
      <c r="F170" s="114">
        <v>134977</v>
      </c>
    </row>
    <row r="171" spans="2:6" s="113" customFormat="1" hidden="1" x14ac:dyDescent="0.6">
      <c r="B171" s="112">
        <v>1346300930</v>
      </c>
      <c r="C171" s="112" t="s">
        <v>186</v>
      </c>
      <c r="D171" s="111">
        <v>15000</v>
      </c>
      <c r="E171" s="114">
        <v>11353</v>
      </c>
      <c r="F171" s="114">
        <v>12856</v>
      </c>
    </row>
    <row r="172" spans="2:6" s="113" customFormat="1" hidden="1" x14ac:dyDescent="0.6">
      <c r="B172" s="112">
        <v>1346400931</v>
      </c>
      <c r="C172" s="112" t="s">
        <v>187</v>
      </c>
      <c r="D172" s="112"/>
      <c r="E172" s="114">
        <v>3362</v>
      </c>
      <c r="F172" s="114">
        <v>-5268</v>
      </c>
    </row>
    <row r="173" spans="2:6" s="113" customFormat="1" hidden="1" x14ac:dyDescent="0.6">
      <c r="B173" s="112">
        <v>1346500930</v>
      </c>
      <c r="C173" s="112" t="s">
        <v>188</v>
      </c>
      <c r="D173" s="111">
        <v>105300</v>
      </c>
      <c r="E173" s="114">
        <v>65925</v>
      </c>
      <c r="F173" s="114">
        <v>105300</v>
      </c>
    </row>
    <row r="174" spans="2:6" s="113" customFormat="1" hidden="1" x14ac:dyDescent="0.6">
      <c r="B174" s="112">
        <v>1346500932</v>
      </c>
      <c r="C174" s="112" t="s">
        <v>189</v>
      </c>
      <c r="D174" s="111">
        <v>1762500</v>
      </c>
      <c r="E174" s="114">
        <v>2140849</v>
      </c>
      <c r="F174" s="114">
        <v>1950718</v>
      </c>
    </row>
    <row r="175" spans="2:6" s="113" customFormat="1" hidden="1" x14ac:dyDescent="0.6">
      <c r="B175" s="112">
        <v>1346500933</v>
      </c>
      <c r="C175" s="112" t="s">
        <v>190</v>
      </c>
      <c r="D175" s="111">
        <v>337500</v>
      </c>
      <c r="E175" s="114">
        <v>367108</v>
      </c>
      <c r="F175" s="114">
        <v>302245</v>
      </c>
    </row>
    <row r="176" spans="2:6" s="113" customFormat="1" hidden="1" x14ac:dyDescent="0.6">
      <c r="B176" s="112">
        <v>1346600220</v>
      </c>
      <c r="C176" s="112" t="s">
        <v>191</v>
      </c>
      <c r="D176" s="111">
        <v>52500</v>
      </c>
      <c r="E176" s="114">
        <v>81249.740000000005</v>
      </c>
      <c r="F176" s="114">
        <v>30967</v>
      </c>
    </row>
    <row r="177" spans="2:6" s="113" customFormat="1" hidden="1" x14ac:dyDescent="0.6">
      <c r="B177" s="112">
        <v>1346600930</v>
      </c>
      <c r="C177" s="112" t="s">
        <v>192</v>
      </c>
      <c r="D177" s="111">
        <v>150000</v>
      </c>
      <c r="E177" s="114">
        <v>112298</v>
      </c>
      <c r="F177" s="114">
        <v>87855</v>
      </c>
    </row>
    <row r="178" spans="2:6" s="113" customFormat="1" hidden="1" x14ac:dyDescent="0.6">
      <c r="B178" s="112">
        <v>1346700930</v>
      </c>
      <c r="C178" s="112" t="s">
        <v>193</v>
      </c>
      <c r="D178" s="111">
        <v>154500</v>
      </c>
      <c r="E178" s="114">
        <v>131088</v>
      </c>
      <c r="F178" s="114">
        <v>51581</v>
      </c>
    </row>
    <row r="179" spans="2:6" s="113" customFormat="1" hidden="1" x14ac:dyDescent="0.6">
      <c r="B179" s="112">
        <v>1346700931</v>
      </c>
      <c r="C179" s="112" t="s">
        <v>194</v>
      </c>
      <c r="D179" s="111">
        <v>30000</v>
      </c>
      <c r="E179" s="114">
        <v>201126</v>
      </c>
      <c r="F179" s="114">
        <v>80629</v>
      </c>
    </row>
    <row r="180" spans="2:6" s="113" customFormat="1" hidden="1" x14ac:dyDescent="0.6">
      <c r="B180" s="112">
        <v>1346700933</v>
      </c>
      <c r="C180" s="112" t="s">
        <v>196</v>
      </c>
      <c r="D180" s="111">
        <v>525000</v>
      </c>
      <c r="E180" s="114">
        <v>817452</v>
      </c>
      <c r="F180" s="114">
        <v>617871</v>
      </c>
    </row>
    <row r="181" spans="2:6" s="113" customFormat="1" hidden="1" x14ac:dyDescent="0.6">
      <c r="B181" s="112">
        <v>1346700935</v>
      </c>
      <c r="C181" s="112" t="s">
        <v>197</v>
      </c>
      <c r="D181" s="111">
        <v>30000</v>
      </c>
      <c r="E181" s="114">
        <v>39380</v>
      </c>
      <c r="F181" s="114">
        <v>28958</v>
      </c>
    </row>
    <row r="182" spans="2:6" s="113" customFormat="1" hidden="1" x14ac:dyDescent="0.6">
      <c r="B182" s="112">
        <v>1346700936</v>
      </c>
      <c r="C182" s="112" t="s">
        <v>198</v>
      </c>
      <c r="D182" s="111">
        <v>157500</v>
      </c>
      <c r="E182" s="114">
        <v>16376</v>
      </c>
      <c r="F182" s="114"/>
    </row>
    <row r="183" spans="2:6" s="113" customFormat="1" hidden="1" x14ac:dyDescent="0.6">
      <c r="B183" s="112">
        <v>1346700937</v>
      </c>
      <c r="C183" s="112" t="s">
        <v>199</v>
      </c>
      <c r="D183" s="111">
        <v>63750</v>
      </c>
      <c r="E183" s="114">
        <v>83234</v>
      </c>
      <c r="F183" s="114">
        <v>70277</v>
      </c>
    </row>
    <row r="184" spans="2:6" s="113" customFormat="1" hidden="1" x14ac:dyDescent="0.6">
      <c r="B184" s="112">
        <v>1346700938</v>
      </c>
      <c r="C184" s="112" t="s">
        <v>200</v>
      </c>
      <c r="D184" s="111">
        <v>52710</v>
      </c>
      <c r="E184" s="114">
        <v>86154</v>
      </c>
      <c r="F184" s="114">
        <v>90192</v>
      </c>
    </row>
    <row r="185" spans="2:6" s="113" customFormat="1" hidden="1" x14ac:dyDescent="0.6">
      <c r="B185" s="112">
        <v>1346800930</v>
      </c>
      <c r="C185" s="112" t="s">
        <v>201</v>
      </c>
      <c r="D185" s="111">
        <v>11250</v>
      </c>
      <c r="E185" s="114">
        <v>1217</v>
      </c>
      <c r="F185" s="114">
        <v>-6271</v>
      </c>
    </row>
    <row r="186" spans="2:6" s="113" customFormat="1" hidden="1" x14ac:dyDescent="0.6">
      <c r="B186" s="112">
        <v>1346800931</v>
      </c>
      <c r="C186" s="112" t="s">
        <v>202</v>
      </c>
      <c r="D186" s="111">
        <v>4500</v>
      </c>
      <c r="E186" s="114">
        <v>61080</v>
      </c>
      <c r="F186" s="114">
        <v>11313</v>
      </c>
    </row>
    <row r="187" spans="2:6" s="113" customFormat="1" hidden="1" x14ac:dyDescent="0.6">
      <c r="B187" s="112">
        <v>1346800932</v>
      </c>
      <c r="C187" s="112" t="s">
        <v>203</v>
      </c>
      <c r="D187" s="111">
        <v>40000</v>
      </c>
      <c r="E187" s="114">
        <v>32266</v>
      </c>
      <c r="F187" s="114">
        <v>40926</v>
      </c>
    </row>
    <row r="188" spans="2:6" s="113" customFormat="1" hidden="1" x14ac:dyDescent="0.6">
      <c r="B188" s="112">
        <v>1346800933</v>
      </c>
      <c r="C188" s="112" t="s">
        <v>204</v>
      </c>
      <c r="D188" s="111">
        <v>3750</v>
      </c>
      <c r="E188" s="114"/>
      <c r="F188" s="114"/>
    </row>
    <row r="189" spans="2:6" s="113" customFormat="1" hidden="1" x14ac:dyDescent="0.6">
      <c r="B189" s="112">
        <v>1347100931</v>
      </c>
      <c r="C189" s="112" t="s">
        <v>205</v>
      </c>
      <c r="D189" s="111">
        <v>15000</v>
      </c>
      <c r="E189" s="114"/>
      <c r="F189" s="114"/>
    </row>
    <row r="190" spans="2:6" s="113" customFormat="1" hidden="1" x14ac:dyDescent="0.6">
      <c r="B190" s="112">
        <v>1347100932</v>
      </c>
      <c r="C190" s="112" t="s">
        <v>206</v>
      </c>
      <c r="D190" s="111">
        <v>9477.75</v>
      </c>
      <c r="E190" s="114">
        <v>17443</v>
      </c>
      <c r="F190" s="114"/>
    </row>
    <row r="191" spans="2:6" s="113" customFormat="1" hidden="1" x14ac:dyDescent="0.6">
      <c r="B191" s="112">
        <v>1347100935</v>
      </c>
      <c r="C191" s="112" t="s">
        <v>207</v>
      </c>
      <c r="D191" s="111">
        <v>15000</v>
      </c>
      <c r="E191" s="114">
        <v>25726</v>
      </c>
      <c r="F191" s="114">
        <v>28440</v>
      </c>
    </row>
    <row r="192" spans="2:6" s="113" customFormat="1" hidden="1" x14ac:dyDescent="0.6">
      <c r="B192" s="112">
        <v>1347100936</v>
      </c>
      <c r="C192" s="112" t="s">
        <v>208</v>
      </c>
      <c r="D192" s="111">
        <v>204000</v>
      </c>
      <c r="E192" s="114">
        <v>220908</v>
      </c>
      <c r="F192" s="114">
        <v>200284</v>
      </c>
    </row>
    <row r="193" spans="2:6" s="113" customFormat="1" hidden="1" x14ac:dyDescent="0.6">
      <c r="B193" s="112">
        <v>1347100937</v>
      </c>
      <c r="C193" s="112" t="s">
        <v>209</v>
      </c>
      <c r="D193" s="111">
        <v>30750</v>
      </c>
      <c r="E193" s="114"/>
      <c r="F193" s="114"/>
    </row>
    <row r="194" spans="2:6" s="113" customFormat="1" hidden="1" x14ac:dyDescent="0.6">
      <c r="B194" s="112">
        <v>1347300930</v>
      </c>
      <c r="C194" s="112" t="s">
        <v>210</v>
      </c>
      <c r="D194" s="111">
        <v>2250</v>
      </c>
      <c r="E194" s="114"/>
      <c r="F194" s="114"/>
    </row>
    <row r="195" spans="2:6" s="113" customFormat="1" hidden="1" x14ac:dyDescent="0.6">
      <c r="B195" s="112">
        <v>1347300931</v>
      </c>
      <c r="C195" s="112" t="s">
        <v>211</v>
      </c>
      <c r="D195" s="111">
        <v>180000</v>
      </c>
      <c r="E195" s="114">
        <v>99715</v>
      </c>
      <c r="F195" s="114">
        <v>125849</v>
      </c>
    </row>
    <row r="196" spans="2:6" s="113" customFormat="1" hidden="1" x14ac:dyDescent="0.6">
      <c r="B196" s="112">
        <v>1348200930</v>
      </c>
      <c r="C196" s="112" t="s">
        <v>213</v>
      </c>
      <c r="D196" s="112"/>
      <c r="E196" s="114">
        <v>750</v>
      </c>
      <c r="F196" s="114"/>
    </row>
    <row r="197" spans="2:6" s="113" customFormat="1" hidden="1" x14ac:dyDescent="0.6">
      <c r="B197" s="112">
        <v>1348500930</v>
      </c>
      <c r="C197" s="112" t="s">
        <v>214</v>
      </c>
      <c r="D197" s="111">
        <v>3000</v>
      </c>
      <c r="E197" s="114"/>
      <c r="F197" s="114"/>
    </row>
    <row r="198" spans="2:6" s="113" customFormat="1" hidden="1" x14ac:dyDescent="0.6">
      <c r="B198" s="112">
        <v>1349000933</v>
      </c>
      <c r="C198" s="112" t="s">
        <v>215</v>
      </c>
      <c r="D198" s="111">
        <v>7500</v>
      </c>
      <c r="E198" s="114">
        <v>5175</v>
      </c>
      <c r="F198" s="114">
        <v>375</v>
      </c>
    </row>
    <row r="199" spans="2:6" s="113" customFormat="1" hidden="1" x14ac:dyDescent="0.6">
      <c r="B199" s="112">
        <v>1349000934</v>
      </c>
      <c r="C199" s="112" t="s">
        <v>216</v>
      </c>
      <c r="D199" s="112"/>
      <c r="E199" s="114"/>
      <c r="F199" s="114">
        <v>750</v>
      </c>
    </row>
    <row r="200" spans="2:6" s="113" customFormat="1" hidden="1" x14ac:dyDescent="0.6">
      <c r="B200" s="112">
        <v>1349000935</v>
      </c>
      <c r="C200" s="112" t="s">
        <v>217</v>
      </c>
      <c r="D200" s="112"/>
      <c r="E200" s="114">
        <v>49450</v>
      </c>
      <c r="F200" s="114">
        <v>28802</v>
      </c>
    </row>
    <row r="201" spans="2:6" s="113" customFormat="1" hidden="1" x14ac:dyDescent="0.6">
      <c r="B201" s="112">
        <v>1349000936</v>
      </c>
      <c r="C201" s="112" t="s">
        <v>741</v>
      </c>
      <c r="D201" s="112"/>
      <c r="E201" s="114">
        <v>278724</v>
      </c>
      <c r="F201" s="114">
        <v>38970</v>
      </c>
    </row>
    <row r="202" spans="2:6" s="113" customFormat="1" hidden="1" x14ac:dyDescent="0.6">
      <c r="B202" s="112">
        <v>1349000937</v>
      </c>
      <c r="C202" s="112" t="s">
        <v>218</v>
      </c>
      <c r="D202" s="111">
        <v>3750</v>
      </c>
      <c r="E202" s="114"/>
      <c r="F202" s="114"/>
    </row>
    <row r="203" spans="2:6" s="113" customFormat="1" hidden="1" x14ac:dyDescent="0.6">
      <c r="B203" s="112">
        <v>1349200930</v>
      </c>
      <c r="C203" s="112" t="s">
        <v>219</v>
      </c>
      <c r="D203" s="111">
        <v>24750</v>
      </c>
      <c r="E203" s="114"/>
      <c r="F203" s="114"/>
    </row>
    <row r="204" spans="2:6" s="113" customFormat="1" hidden="1" x14ac:dyDescent="0.6">
      <c r="B204" s="112">
        <v>1361000950</v>
      </c>
      <c r="C204" s="112" t="s">
        <v>220</v>
      </c>
      <c r="D204" s="111">
        <v>400000</v>
      </c>
      <c r="E204" s="114">
        <v>-6654</v>
      </c>
      <c r="F204" s="114">
        <v>345370</v>
      </c>
    </row>
    <row r="205" spans="2:6" s="113" customFormat="1" hidden="1" x14ac:dyDescent="0.6">
      <c r="B205" s="112">
        <v>1371000220</v>
      </c>
      <c r="C205" s="112" t="s">
        <v>221</v>
      </c>
      <c r="D205" s="111">
        <v>3000</v>
      </c>
      <c r="E205" s="114">
        <v>800</v>
      </c>
      <c r="F205" s="114">
        <v>2400</v>
      </c>
    </row>
    <row r="206" spans="2:6" s="113" customFormat="1" hidden="1" x14ac:dyDescent="0.6">
      <c r="B206" s="112">
        <v>1371000221</v>
      </c>
      <c r="C206" s="112" t="s">
        <v>222</v>
      </c>
      <c r="D206" s="111">
        <v>1000</v>
      </c>
      <c r="E206" s="114"/>
      <c r="F206" s="114">
        <v>550</v>
      </c>
    </row>
    <row r="207" spans="2:6" s="113" customFormat="1" hidden="1" x14ac:dyDescent="0.6">
      <c r="B207" s="112">
        <v>1371000990</v>
      </c>
      <c r="C207" s="112" t="s">
        <v>742</v>
      </c>
      <c r="D207" s="111">
        <v>929269.2</v>
      </c>
      <c r="E207" s="114"/>
      <c r="F207" s="114"/>
    </row>
    <row r="208" spans="2:6" s="113" customFormat="1" hidden="1" x14ac:dyDescent="0.6">
      <c r="B208" s="112">
        <v>1371000991</v>
      </c>
      <c r="C208" s="112" t="s">
        <v>223</v>
      </c>
      <c r="D208" s="111">
        <v>354176</v>
      </c>
      <c r="E208" s="114">
        <v>106253</v>
      </c>
      <c r="F208" s="114"/>
    </row>
    <row r="209" spans="1:6" s="113" customFormat="1" hidden="1" x14ac:dyDescent="0.6">
      <c r="B209" s="112">
        <v>1413100211</v>
      </c>
      <c r="C209" s="112" t="s">
        <v>224</v>
      </c>
      <c r="D209" s="111">
        <v>20000</v>
      </c>
      <c r="E209" s="114">
        <v>4696.32</v>
      </c>
      <c r="F209" s="114">
        <v>22018.21</v>
      </c>
    </row>
    <row r="210" spans="1:6" s="113" customFormat="1" hidden="1" x14ac:dyDescent="0.6">
      <c r="B210" s="112">
        <v>1413200220</v>
      </c>
      <c r="C210" s="112" t="s">
        <v>225</v>
      </c>
      <c r="D210" s="112"/>
      <c r="E210" s="114">
        <v>220.4</v>
      </c>
      <c r="F210" s="114"/>
    </row>
    <row r="211" spans="1:6" s="113" customFormat="1" hidden="1" x14ac:dyDescent="0.6">
      <c r="B211" s="112">
        <v>1432000510</v>
      </c>
      <c r="C211" s="112" t="s">
        <v>227</v>
      </c>
      <c r="D211" s="111">
        <v>898000</v>
      </c>
      <c r="E211" s="114">
        <v>826012</v>
      </c>
      <c r="F211" s="114">
        <v>897575</v>
      </c>
    </row>
    <row r="212" spans="1:6" s="113" customFormat="1" hidden="1" x14ac:dyDescent="0.6">
      <c r="B212" s="112">
        <v>1432000640</v>
      </c>
      <c r="C212" s="112" t="s">
        <v>228</v>
      </c>
      <c r="D212" s="111">
        <v>266000</v>
      </c>
      <c r="E212" s="114">
        <v>269773.26</v>
      </c>
      <c r="F212" s="114">
        <v>265187.74</v>
      </c>
    </row>
    <row r="213" spans="1:6" s="113" customFormat="1" hidden="1" x14ac:dyDescent="0.6">
      <c r="B213" s="112">
        <v>1472000212</v>
      </c>
      <c r="C213" s="112" t="s">
        <v>229</v>
      </c>
      <c r="D213" s="111">
        <v>2000</v>
      </c>
      <c r="E213" s="114">
        <v>461.37</v>
      </c>
      <c r="F213" s="114">
        <v>2009.9</v>
      </c>
    </row>
    <row r="214" spans="1:6" s="113" customFormat="1" hidden="1" x14ac:dyDescent="0.6">
      <c r="B214" s="112">
        <v>1472000590</v>
      </c>
      <c r="C214" s="112" t="s">
        <v>230</v>
      </c>
      <c r="D214" s="111">
        <v>245000</v>
      </c>
      <c r="E214" s="114">
        <v>118201</v>
      </c>
      <c r="F214" s="114">
        <v>244800</v>
      </c>
    </row>
    <row r="215" spans="1:6" s="113" customFormat="1" hidden="1" x14ac:dyDescent="0.6">
      <c r="B215" s="112">
        <v>1473000591</v>
      </c>
      <c r="C215" s="112" t="s">
        <v>231</v>
      </c>
      <c r="D215" s="111">
        <v>225202</v>
      </c>
      <c r="E215" s="114">
        <v>695412</v>
      </c>
      <c r="F215" s="114">
        <v>216884</v>
      </c>
    </row>
    <row r="216" spans="1:6" s="113" customFormat="1" hidden="1" x14ac:dyDescent="0.6">
      <c r="B216" s="112">
        <v>1590000590</v>
      </c>
      <c r="C216" s="112" t="s">
        <v>232</v>
      </c>
      <c r="D216" s="111">
        <v>693027.27</v>
      </c>
      <c r="E216" s="114">
        <v>591077.18000000005</v>
      </c>
      <c r="F216" s="114">
        <v>687045.67</v>
      </c>
    </row>
    <row r="217" spans="1:6" s="113" customFormat="1" hidden="1" x14ac:dyDescent="0.6">
      <c r="B217" s="112">
        <v>1590000730</v>
      </c>
      <c r="C217" s="112" t="s">
        <v>233</v>
      </c>
      <c r="D217" s="111">
        <v>136000</v>
      </c>
      <c r="E217" s="114">
        <v>91490.65</v>
      </c>
      <c r="F217" s="114">
        <v>136843</v>
      </c>
    </row>
    <row r="218" spans="1:6" s="113" customFormat="1" hidden="1" x14ac:dyDescent="0.6">
      <c r="B218" s="112">
        <v>1599000910</v>
      </c>
      <c r="C218" s="112" t="s">
        <v>16</v>
      </c>
      <c r="D218" s="111">
        <v>12000000</v>
      </c>
      <c r="E218" s="114">
        <v>8259000</v>
      </c>
      <c r="F218" s="114">
        <v>5500000</v>
      </c>
    </row>
    <row r="219" spans="1:6" hidden="1" x14ac:dyDescent="0.6">
      <c r="B219" s="108">
        <v>1599000912</v>
      </c>
      <c r="C219" s="108" t="s">
        <v>743</v>
      </c>
      <c r="E219" s="115">
        <v>27499999</v>
      </c>
    </row>
    <row r="220" spans="1:6" hidden="1" x14ac:dyDescent="0.6">
      <c r="C220" s="108" t="s">
        <v>647</v>
      </c>
      <c r="D220" s="109">
        <v>188618275.93000001</v>
      </c>
      <c r="E220" s="115">
        <v>215142480.31</v>
      </c>
      <c r="F220" s="115">
        <v>179418068.5</v>
      </c>
    </row>
    <row r="221" spans="1:6" x14ac:dyDescent="0.6">
      <c r="A221" t="str">
        <f t="shared" ref="A221:A284" si="0">RIGHT(B221,3)</f>
        <v>110</v>
      </c>
      <c r="B221" s="108">
        <v>1611000110</v>
      </c>
      <c r="C221" s="108" t="s">
        <v>234</v>
      </c>
      <c r="D221" s="109">
        <v>546227.84</v>
      </c>
      <c r="E221" s="115">
        <v>187049.46</v>
      </c>
      <c r="F221" s="115">
        <v>472486.65</v>
      </c>
    </row>
    <row r="222" spans="1:6" s="113" customFormat="1" hidden="1" x14ac:dyDescent="0.6">
      <c r="A222" t="str">
        <f t="shared" si="0"/>
        <v>510</v>
      </c>
      <c r="B222" s="112">
        <v>1611000510</v>
      </c>
      <c r="C222" s="112" t="s">
        <v>235</v>
      </c>
      <c r="D222" s="111">
        <v>11000</v>
      </c>
      <c r="E222" s="114">
        <v>13774.05</v>
      </c>
      <c r="F222" s="114">
        <v>8494.92</v>
      </c>
    </row>
    <row r="223" spans="1:6" s="113" customFormat="1" hidden="1" x14ac:dyDescent="0.6">
      <c r="A223" t="str">
        <f t="shared" si="0"/>
        <v>512</v>
      </c>
      <c r="B223" s="112">
        <v>1611000512</v>
      </c>
      <c r="C223" s="112" t="s">
        <v>236</v>
      </c>
      <c r="D223" s="111">
        <v>2000</v>
      </c>
      <c r="E223" s="114">
        <v>3083.93</v>
      </c>
      <c r="F223" s="114">
        <v>1915</v>
      </c>
    </row>
    <row r="224" spans="1:6" s="113" customFormat="1" hidden="1" x14ac:dyDescent="0.6">
      <c r="A224" t="str">
        <f t="shared" si="0"/>
        <v>513</v>
      </c>
      <c r="B224" s="112">
        <v>1611000513</v>
      </c>
      <c r="C224" s="112" t="s">
        <v>237</v>
      </c>
      <c r="D224" s="111">
        <v>12000</v>
      </c>
      <c r="E224" s="114"/>
      <c r="F224" s="114">
        <v>12000</v>
      </c>
    </row>
    <row r="225" spans="1:6" s="113" customFormat="1" hidden="1" x14ac:dyDescent="0.6">
      <c r="A225" t="str">
        <f t="shared" si="0"/>
        <v>520</v>
      </c>
      <c r="B225" s="112">
        <v>1611000520</v>
      </c>
      <c r="C225" s="112" t="s">
        <v>238</v>
      </c>
      <c r="D225" s="111">
        <v>2000</v>
      </c>
      <c r="E225" s="114">
        <v>2784</v>
      </c>
      <c r="F225" s="114"/>
    </row>
    <row r="226" spans="1:6" s="113" customFormat="1" hidden="1" x14ac:dyDescent="0.6">
      <c r="A226" t="str">
        <f t="shared" si="0"/>
        <v>531</v>
      </c>
      <c r="B226" s="112">
        <v>1611000531</v>
      </c>
      <c r="C226" s="112" t="s">
        <v>239</v>
      </c>
      <c r="D226" s="111">
        <v>39000</v>
      </c>
      <c r="E226" s="114">
        <v>21208</v>
      </c>
      <c r="F226" s="114">
        <v>32721.83</v>
      </c>
    </row>
    <row r="227" spans="1:6" s="113" customFormat="1" hidden="1" x14ac:dyDescent="0.6">
      <c r="A227" t="str">
        <f t="shared" si="0"/>
        <v>535</v>
      </c>
      <c r="B227" s="112">
        <v>1611000535</v>
      </c>
      <c r="C227" s="112" t="s">
        <v>240</v>
      </c>
      <c r="D227" s="111">
        <v>60000</v>
      </c>
      <c r="E227" s="114">
        <v>86439.72</v>
      </c>
      <c r="F227" s="114">
        <v>75519.460000000006</v>
      </c>
    </row>
    <row r="228" spans="1:6" s="113" customFormat="1" hidden="1" x14ac:dyDescent="0.6">
      <c r="A228" t="str">
        <f t="shared" si="0"/>
        <v>540</v>
      </c>
      <c r="B228" s="112">
        <v>1611000540</v>
      </c>
      <c r="C228" s="112" t="s">
        <v>241</v>
      </c>
      <c r="D228" s="111">
        <v>4000</v>
      </c>
      <c r="E228" s="114">
        <v>1153.3499999999999</v>
      </c>
      <c r="F228" s="114">
        <v>7878.5</v>
      </c>
    </row>
    <row r="229" spans="1:6" s="113" customFormat="1" hidden="1" x14ac:dyDescent="0.6">
      <c r="A229" t="str">
        <f t="shared" si="0"/>
        <v>780</v>
      </c>
      <c r="B229" s="112">
        <v>1611000780</v>
      </c>
      <c r="C229" s="112" t="s">
        <v>242</v>
      </c>
      <c r="D229" s="111">
        <v>50000</v>
      </c>
      <c r="E229" s="114">
        <v>95365.22</v>
      </c>
      <c r="F229" s="114">
        <v>47172.27</v>
      </c>
    </row>
    <row r="230" spans="1:6" s="113" customFormat="1" hidden="1" x14ac:dyDescent="0.6">
      <c r="A230" t="str">
        <f t="shared" si="0"/>
        <v>782</v>
      </c>
      <c r="B230" s="112">
        <v>1611000782</v>
      </c>
      <c r="C230" s="112" t="s">
        <v>244</v>
      </c>
      <c r="D230" s="112"/>
      <c r="E230" s="114"/>
      <c r="F230" s="114">
        <v>-1423</v>
      </c>
    </row>
    <row r="231" spans="1:6" s="113" customFormat="1" hidden="1" x14ac:dyDescent="0.6">
      <c r="A231" t="str">
        <f t="shared" si="0"/>
        <v>980</v>
      </c>
      <c r="B231" s="112">
        <v>1611000980</v>
      </c>
      <c r="C231" s="112" t="s">
        <v>245</v>
      </c>
      <c r="D231" s="111">
        <v>200000</v>
      </c>
      <c r="E231" s="114">
        <v>181286.38</v>
      </c>
      <c r="F231" s="114">
        <v>90214.89</v>
      </c>
    </row>
    <row r="232" spans="1:6" s="113" customFormat="1" hidden="1" x14ac:dyDescent="0.6">
      <c r="A232" s="113" t="str">
        <f t="shared" si="0"/>
        <v>110</v>
      </c>
      <c r="B232" s="112">
        <v>1611100110</v>
      </c>
      <c r="C232" s="112" t="s">
        <v>246</v>
      </c>
      <c r="D232" s="111">
        <v>1346899.65</v>
      </c>
      <c r="E232" s="114">
        <v>1403126.44</v>
      </c>
      <c r="F232" s="114">
        <v>1392831.75</v>
      </c>
    </row>
    <row r="233" spans="1:6" s="113" customFormat="1" hidden="1" x14ac:dyDescent="0.6">
      <c r="A233" s="113" t="str">
        <f t="shared" si="0"/>
        <v>110</v>
      </c>
      <c r="B233" s="112">
        <v>1612000110</v>
      </c>
      <c r="C233" s="112" t="s">
        <v>247</v>
      </c>
      <c r="D233" s="111">
        <v>646152.71</v>
      </c>
      <c r="E233" s="114">
        <v>559801.43999999994</v>
      </c>
      <c r="F233" s="114">
        <v>558269.43000000005</v>
      </c>
    </row>
    <row r="234" spans="1:6" s="113" customFormat="1" hidden="1" x14ac:dyDescent="0.6">
      <c r="A234" t="str">
        <f t="shared" si="0"/>
        <v>430</v>
      </c>
      <c r="B234" s="112">
        <v>1612000430</v>
      </c>
      <c r="C234" s="112" t="s">
        <v>248</v>
      </c>
      <c r="D234" s="111">
        <v>70020</v>
      </c>
      <c r="E234" s="114">
        <v>72783.33</v>
      </c>
      <c r="F234" s="114">
        <v>68870.350000000006</v>
      </c>
    </row>
    <row r="235" spans="1:6" s="113" customFormat="1" hidden="1" x14ac:dyDescent="0.6">
      <c r="A235" t="str">
        <f t="shared" si="0"/>
        <v>780</v>
      </c>
      <c r="B235" s="112">
        <v>1612000780</v>
      </c>
      <c r="C235" s="112" t="s">
        <v>249</v>
      </c>
      <c r="D235" s="111">
        <v>75000</v>
      </c>
      <c r="E235" s="114">
        <v>76170.92</v>
      </c>
      <c r="F235" s="114">
        <v>43221.48</v>
      </c>
    </row>
    <row r="236" spans="1:6" s="113" customFormat="1" hidden="1" x14ac:dyDescent="0.6">
      <c r="A236" s="113" t="str">
        <f t="shared" si="0"/>
        <v>110</v>
      </c>
      <c r="B236" s="112">
        <v>1613000110</v>
      </c>
      <c r="C236" s="112" t="s">
        <v>250</v>
      </c>
      <c r="D236" s="111">
        <v>2177739.0299999998</v>
      </c>
      <c r="E236" s="114">
        <v>2635281.81</v>
      </c>
      <c r="F236" s="114">
        <v>2419645.16</v>
      </c>
    </row>
    <row r="237" spans="1:6" s="113" customFormat="1" hidden="1" x14ac:dyDescent="0.6">
      <c r="A237" t="str">
        <f t="shared" si="0"/>
        <v>420</v>
      </c>
      <c r="B237" s="112">
        <v>1613000420</v>
      </c>
      <c r="C237" s="112" t="s">
        <v>251</v>
      </c>
      <c r="D237" s="111">
        <v>25000</v>
      </c>
      <c r="E237" s="114">
        <v>25971.040000000001</v>
      </c>
      <c r="F237" s="114">
        <v>24216.75</v>
      </c>
    </row>
    <row r="238" spans="1:6" s="113" customFormat="1" hidden="1" x14ac:dyDescent="0.6">
      <c r="A238" t="str">
        <f t="shared" si="0"/>
        <v>431</v>
      </c>
      <c r="B238" s="112">
        <v>1613000431</v>
      </c>
      <c r="C238" s="112" t="s">
        <v>252</v>
      </c>
      <c r="D238" s="111">
        <v>252042.5</v>
      </c>
      <c r="E238" s="114">
        <v>275574.92</v>
      </c>
      <c r="F238" s="114">
        <v>299207.92</v>
      </c>
    </row>
    <row r="239" spans="1:6" s="113" customFormat="1" hidden="1" x14ac:dyDescent="0.6">
      <c r="A239" t="str">
        <f t="shared" si="0"/>
        <v>432</v>
      </c>
      <c r="B239" s="112">
        <v>1613000432</v>
      </c>
      <c r="C239" s="112" t="s">
        <v>253</v>
      </c>
      <c r="D239" s="111">
        <v>38000</v>
      </c>
      <c r="E239" s="114">
        <v>59673.97</v>
      </c>
      <c r="F239" s="114">
        <v>27247.66</v>
      </c>
    </row>
    <row r="240" spans="1:6" s="113" customFormat="1" hidden="1" x14ac:dyDescent="0.6">
      <c r="A240" t="str">
        <f t="shared" si="0"/>
        <v>433</v>
      </c>
      <c r="B240" s="112">
        <v>1613000433</v>
      </c>
      <c r="C240" s="112" t="s">
        <v>254</v>
      </c>
      <c r="D240" s="111">
        <v>11000</v>
      </c>
      <c r="E240" s="114"/>
      <c r="F240" s="114"/>
    </row>
    <row r="241" spans="1:6" s="113" customFormat="1" hidden="1" x14ac:dyDescent="0.6">
      <c r="A241" t="str">
        <f t="shared" si="0"/>
        <v>435</v>
      </c>
      <c r="B241" s="112">
        <v>1613000435</v>
      </c>
      <c r="C241" s="112" t="s">
        <v>255</v>
      </c>
      <c r="D241" s="111">
        <v>19000</v>
      </c>
      <c r="E241" s="114">
        <v>11004.1</v>
      </c>
      <c r="F241" s="114">
        <v>18377.330000000002</v>
      </c>
    </row>
    <row r="242" spans="1:6" s="113" customFormat="1" hidden="1" x14ac:dyDescent="0.6">
      <c r="A242" t="str">
        <f t="shared" si="0"/>
        <v>470</v>
      </c>
      <c r="B242" s="112">
        <v>1613000470</v>
      </c>
      <c r="C242" s="112" t="s">
        <v>256</v>
      </c>
      <c r="D242" s="111">
        <v>53200</v>
      </c>
      <c r="E242" s="114">
        <v>84300.1</v>
      </c>
      <c r="F242" s="114">
        <v>65285.760000000002</v>
      </c>
    </row>
    <row r="243" spans="1:6" s="113" customFormat="1" hidden="1" x14ac:dyDescent="0.6">
      <c r="A243" t="str">
        <f t="shared" si="0"/>
        <v>471</v>
      </c>
      <c r="B243" s="112">
        <v>1613000471</v>
      </c>
      <c r="C243" s="112" t="s">
        <v>257</v>
      </c>
      <c r="D243" s="111">
        <v>45000</v>
      </c>
      <c r="E243" s="114">
        <v>1263.5999999999999</v>
      </c>
      <c r="F243" s="114">
        <v>27956.33</v>
      </c>
    </row>
    <row r="244" spans="1:6" s="113" customFormat="1" hidden="1" x14ac:dyDescent="0.6">
      <c r="A244" t="str">
        <f t="shared" si="0"/>
        <v>511</v>
      </c>
      <c r="B244" s="112">
        <v>1613000511</v>
      </c>
      <c r="C244" s="112" t="s">
        <v>258</v>
      </c>
      <c r="D244" s="111">
        <v>5000</v>
      </c>
      <c r="E244" s="114">
        <v>9586.07</v>
      </c>
      <c r="F244" s="114">
        <v>6234.06</v>
      </c>
    </row>
    <row r="245" spans="1:6" s="113" customFormat="1" hidden="1" x14ac:dyDescent="0.6">
      <c r="A245" t="str">
        <f t="shared" si="0"/>
        <v>530</v>
      </c>
      <c r="B245" s="112">
        <v>1613000530</v>
      </c>
      <c r="C245" s="112" t="s">
        <v>260</v>
      </c>
      <c r="D245" s="111">
        <v>149816</v>
      </c>
      <c r="E245" s="114">
        <v>151983.44</v>
      </c>
      <c r="F245" s="114">
        <v>146775.70000000001</v>
      </c>
    </row>
    <row r="246" spans="1:6" s="113" customFormat="1" hidden="1" x14ac:dyDescent="0.6">
      <c r="A246" t="str">
        <f t="shared" si="0"/>
        <v>531</v>
      </c>
      <c r="B246" s="112">
        <v>1613000531</v>
      </c>
      <c r="C246" s="112" t="s">
        <v>261</v>
      </c>
      <c r="D246" s="111">
        <v>58560</v>
      </c>
      <c r="E246" s="114">
        <v>23503.08</v>
      </c>
      <c r="F246" s="114">
        <v>47740.42</v>
      </c>
    </row>
    <row r="247" spans="1:6" s="113" customFormat="1" hidden="1" x14ac:dyDescent="0.6">
      <c r="A247" t="str">
        <f t="shared" si="0"/>
        <v>540</v>
      </c>
      <c r="B247" s="112">
        <v>1613000540</v>
      </c>
      <c r="C247" s="112" t="s">
        <v>262</v>
      </c>
      <c r="D247" s="111">
        <v>380000</v>
      </c>
      <c r="E247" s="114">
        <v>613068.69999999995</v>
      </c>
      <c r="F247" s="114">
        <v>433538.8</v>
      </c>
    </row>
    <row r="248" spans="1:6" s="113" customFormat="1" hidden="1" x14ac:dyDescent="0.6">
      <c r="A248" t="str">
        <f t="shared" si="0"/>
        <v>541</v>
      </c>
      <c r="B248" s="112">
        <v>1613000541</v>
      </c>
      <c r="C248" s="112" t="s">
        <v>263</v>
      </c>
      <c r="D248" s="111">
        <v>56000</v>
      </c>
      <c r="E248" s="114">
        <v>68171.03</v>
      </c>
      <c r="F248" s="114">
        <v>70265.83</v>
      </c>
    </row>
    <row r="249" spans="1:6" s="113" customFormat="1" hidden="1" x14ac:dyDescent="0.6">
      <c r="A249" t="str">
        <f t="shared" si="0"/>
        <v>550</v>
      </c>
      <c r="B249" s="112">
        <v>1613000550</v>
      </c>
      <c r="C249" s="112" t="s">
        <v>264</v>
      </c>
      <c r="D249" s="112"/>
      <c r="E249" s="114">
        <v>4135</v>
      </c>
      <c r="F249" s="114"/>
    </row>
    <row r="250" spans="1:6" s="113" customFormat="1" hidden="1" x14ac:dyDescent="0.6">
      <c r="A250" t="str">
        <f t="shared" si="0"/>
        <v>710</v>
      </c>
      <c r="B250" s="112">
        <v>1613000710</v>
      </c>
      <c r="C250" s="112" t="s">
        <v>265</v>
      </c>
      <c r="D250" s="111">
        <v>3000</v>
      </c>
      <c r="E250" s="114">
        <v>500</v>
      </c>
      <c r="F250" s="114">
        <v>819</v>
      </c>
    </row>
    <row r="251" spans="1:6" s="113" customFormat="1" hidden="1" x14ac:dyDescent="0.6">
      <c r="A251" t="str">
        <f t="shared" si="0"/>
        <v>751</v>
      </c>
      <c r="B251" s="112">
        <v>1613000751</v>
      </c>
      <c r="C251" s="112" t="s">
        <v>267</v>
      </c>
      <c r="D251" s="111">
        <v>139000</v>
      </c>
      <c r="E251" s="114">
        <v>117958.8</v>
      </c>
      <c r="F251" s="114">
        <v>113940</v>
      </c>
    </row>
    <row r="252" spans="1:6" s="113" customFormat="1" hidden="1" x14ac:dyDescent="0.6">
      <c r="A252" t="str">
        <f t="shared" si="0"/>
        <v>420</v>
      </c>
      <c r="B252" s="112">
        <v>1613001420</v>
      </c>
      <c r="C252" s="112" t="s">
        <v>268</v>
      </c>
      <c r="D252" s="112"/>
      <c r="E252" s="114"/>
      <c r="F252" s="114">
        <v>1216.46</v>
      </c>
    </row>
    <row r="253" spans="1:6" s="113" customFormat="1" hidden="1" x14ac:dyDescent="0.6">
      <c r="A253" s="113" t="str">
        <f t="shared" si="0"/>
        <v>110</v>
      </c>
      <c r="B253" s="112">
        <v>1614000110</v>
      </c>
      <c r="C253" s="112" t="s">
        <v>744</v>
      </c>
      <c r="D253" s="111">
        <v>408978.45</v>
      </c>
      <c r="E253" s="114">
        <v>426955.47</v>
      </c>
      <c r="F253" s="114">
        <v>439258.11</v>
      </c>
    </row>
    <row r="254" spans="1:6" s="113" customFormat="1" hidden="1" x14ac:dyDescent="0.6">
      <c r="A254" t="str">
        <f t="shared" si="0"/>
        <v>550</v>
      </c>
      <c r="B254" s="112">
        <v>1614000550</v>
      </c>
      <c r="C254" s="112" t="s">
        <v>270</v>
      </c>
      <c r="D254" s="111">
        <v>250000</v>
      </c>
      <c r="E254" s="114">
        <v>231572.38</v>
      </c>
      <c r="F254" s="114">
        <v>186553.60000000001</v>
      </c>
    </row>
    <row r="255" spans="1:6" s="113" customFormat="1" hidden="1" x14ac:dyDescent="0.6">
      <c r="A255" s="113" t="str">
        <f t="shared" si="0"/>
        <v>110</v>
      </c>
      <c r="B255" s="112">
        <v>1615000110</v>
      </c>
      <c r="C255" s="112" t="s">
        <v>271</v>
      </c>
      <c r="D255" s="111">
        <v>722497.46</v>
      </c>
      <c r="E255" s="114">
        <v>739002.43</v>
      </c>
      <c r="F255" s="114">
        <v>731944.6</v>
      </c>
    </row>
    <row r="256" spans="1:6" s="113" customFormat="1" hidden="1" x14ac:dyDescent="0.6">
      <c r="A256" t="str">
        <f t="shared" si="0"/>
        <v>470</v>
      </c>
      <c r="B256" s="112">
        <v>1615000470</v>
      </c>
      <c r="C256" s="112" t="s">
        <v>272</v>
      </c>
      <c r="D256" s="111">
        <v>4000</v>
      </c>
      <c r="E256" s="114">
        <v>7099.15</v>
      </c>
      <c r="F256" s="114">
        <v>6325.94</v>
      </c>
    </row>
    <row r="257" spans="1:6" s="113" customFormat="1" hidden="1" x14ac:dyDescent="0.6">
      <c r="A257" t="str">
        <f t="shared" si="0"/>
        <v>780</v>
      </c>
      <c r="B257" s="112">
        <v>1615000780</v>
      </c>
      <c r="C257" s="112" t="s">
        <v>273</v>
      </c>
      <c r="D257" s="111">
        <v>245000</v>
      </c>
      <c r="E257" s="114">
        <v>24885</v>
      </c>
      <c r="F257" s="114">
        <v>245740</v>
      </c>
    </row>
    <row r="258" spans="1:6" s="113" customFormat="1" hidden="1" x14ac:dyDescent="0.6">
      <c r="A258" t="str">
        <f t="shared" si="0"/>
        <v>810</v>
      </c>
      <c r="B258" s="112">
        <v>1615000810</v>
      </c>
      <c r="C258" s="112" t="s">
        <v>274</v>
      </c>
      <c r="D258" s="111">
        <v>70000</v>
      </c>
      <c r="E258" s="114">
        <v>70000</v>
      </c>
      <c r="F258" s="114">
        <v>70000</v>
      </c>
    </row>
    <row r="259" spans="1:6" s="113" customFormat="1" hidden="1" x14ac:dyDescent="0.6">
      <c r="A259" s="113" t="str">
        <f t="shared" si="0"/>
        <v>110</v>
      </c>
      <c r="B259" s="112">
        <v>1617000110</v>
      </c>
      <c r="C259" s="112" t="s">
        <v>277</v>
      </c>
      <c r="D259" s="111">
        <v>778251.9</v>
      </c>
      <c r="E259" s="114">
        <v>792422.84</v>
      </c>
      <c r="F259" s="114">
        <v>729810.36</v>
      </c>
    </row>
    <row r="260" spans="1:6" s="113" customFormat="1" hidden="1" x14ac:dyDescent="0.6">
      <c r="A260" t="str">
        <f t="shared" si="0"/>
        <v>580</v>
      </c>
      <c r="B260" s="112">
        <v>1616100580</v>
      </c>
      <c r="C260" s="112" t="s">
        <v>276</v>
      </c>
      <c r="D260" s="111">
        <v>70000</v>
      </c>
      <c r="E260" s="114">
        <v>69132.649999999994</v>
      </c>
      <c r="F260" s="114">
        <v>98628.22</v>
      </c>
    </row>
    <row r="261" spans="1:6" s="113" customFormat="1" hidden="1" x14ac:dyDescent="0.6">
      <c r="A261" s="113" t="str">
        <f t="shared" si="0"/>
        <v>110</v>
      </c>
      <c r="B261" s="112">
        <v>1621000110</v>
      </c>
      <c r="C261" s="112" t="s">
        <v>283</v>
      </c>
      <c r="D261" s="111">
        <v>746669.35</v>
      </c>
      <c r="E261" s="114">
        <v>733813.19</v>
      </c>
      <c r="F261" s="114">
        <v>715504.24</v>
      </c>
    </row>
    <row r="262" spans="1:6" s="113" customFormat="1" hidden="1" x14ac:dyDescent="0.6">
      <c r="A262" t="str">
        <f t="shared" si="0"/>
        <v>751</v>
      </c>
      <c r="B262" s="112">
        <v>1617000751</v>
      </c>
      <c r="C262" s="112" t="s">
        <v>278</v>
      </c>
      <c r="D262" s="111">
        <v>50000</v>
      </c>
      <c r="E262" s="114">
        <v>243999.59</v>
      </c>
      <c r="F262" s="114">
        <v>314515.8</v>
      </c>
    </row>
    <row r="263" spans="1:6" s="113" customFormat="1" hidden="1" x14ac:dyDescent="0.6">
      <c r="A263" t="str">
        <f t="shared" si="0"/>
        <v>752</v>
      </c>
      <c r="B263" s="112">
        <v>1617000752</v>
      </c>
      <c r="C263" s="112" t="s">
        <v>279</v>
      </c>
      <c r="D263" s="111">
        <v>200000</v>
      </c>
      <c r="E263" s="114">
        <v>56815.18</v>
      </c>
      <c r="F263" s="114"/>
    </row>
    <row r="264" spans="1:6" s="113" customFormat="1" hidden="1" x14ac:dyDescent="0.6">
      <c r="A264" t="str">
        <f t="shared" si="0"/>
        <v>780</v>
      </c>
      <c r="B264" s="112">
        <v>1617000780</v>
      </c>
      <c r="C264" s="112" t="s">
        <v>280</v>
      </c>
      <c r="D264" s="111">
        <v>18000</v>
      </c>
      <c r="E264" s="114">
        <v>15834.01</v>
      </c>
      <c r="F264" s="114">
        <v>20093.689999999999</v>
      </c>
    </row>
    <row r="265" spans="1:6" s="113" customFormat="1" hidden="1" x14ac:dyDescent="0.6">
      <c r="A265" t="str">
        <f t="shared" si="0"/>
        <v>781</v>
      </c>
      <c r="B265" s="112">
        <v>1617000781</v>
      </c>
      <c r="C265" s="112" t="s">
        <v>281</v>
      </c>
      <c r="D265" s="111">
        <v>7000</v>
      </c>
      <c r="E265" s="114"/>
      <c r="F265" s="114">
        <v>511</v>
      </c>
    </row>
    <row r="266" spans="1:6" s="113" customFormat="1" hidden="1" x14ac:dyDescent="0.6">
      <c r="A266" t="str">
        <f t="shared" si="0"/>
        <v>780</v>
      </c>
      <c r="B266" s="112">
        <v>1619000780</v>
      </c>
      <c r="C266" s="112" t="s">
        <v>282</v>
      </c>
      <c r="D266" s="112"/>
      <c r="E266" s="114">
        <v>3399.74</v>
      </c>
      <c r="F266" s="114">
        <v>310303.18</v>
      </c>
    </row>
    <row r="267" spans="1:6" s="113" customFormat="1" hidden="1" x14ac:dyDescent="0.6">
      <c r="A267" s="113" t="str">
        <f t="shared" si="0"/>
        <v>110</v>
      </c>
      <c r="B267" s="112">
        <v>1621300110</v>
      </c>
      <c r="C267" s="112" t="s">
        <v>291</v>
      </c>
      <c r="D267" s="111">
        <v>674809.93</v>
      </c>
      <c r="E267" s="114">
        <v>713710.91</v>
      </c>
      <c r="F267" s="114">
        <v>737827.1</v>
      </c>
    </row>
    <row r="268" spans="1:6" s="113" customFormat="1" hidden="1" x14ac:dyDescent="0.6">
      <c r="A268" t="str">
        <f t="shared" si="0"/>
        <v>450</v>
      </c>
      <c r="B268" s="112">
        <v>1621000450</v>
      </c>
      <c r="C268" s="112" t="s">
        <v>284</v>
      </c>
      <c r="D268" s="111">
        <v>18000</v>
      </c>
      <c r="E268" s="114">
        <v>16060</v>
      </c>
      <c r="F268" s="114">
        <v>32581.97</v>
      </c>
    </row>
    <row r="269" spans="1:6" s="113" customFormat="1" hidden="1" x14ac:dyDescent="0.6">
      <c r="A269" t="str">
        <f t="shared" si="0"/>
        <v>470</v>
      </c>
      <c r="B269" s="112">
        <v>1621000470</v>
      </c>
      <c r="C269" s="112" t="s">
        <v>256</v>
      </c>
      <c r="D269" s="111">
        <v>12000</v>
      </c>
      <c r="E269" s="114">
        <v>12306.99</v>
      </c>
      <c r="F269" s="114">
        <v>14624.88</v>
      </c>
    </row>
    <row r="270" spans="1:6" s="113" customFormat="1" hidden="1" x14ac:dyDescent="0.6">
      <c r="A270" t="str">
        <f t="shared" si="0"/>
        <v>511</v>
      </c>
      <c r="B270" s="112">
        <v>1621000511</v>
      </c>
      <c r="C270" s="112" t="s">
        <v>285</v>
      </c>
      <c r="D270" s="111">
        <v>6000</v>
      </c>
      <c r="E270" s="114">
        <v>6307.04</v>
      </c>
      <c r="F270" s="114">
        <v>6336.97</v>
      </c>
    </row>
    <row r="271" spans="1:6" s="113" customFormat="1" hidden="1" x14ac:dyDescent="0.6">
      <c r="A271" t="str">
        <f t="shared" si="0"/>
        <v>520</v>
      </c>
      <c r="B271" s="112">
        <v>1621000520</v>
      </c>
      <c r="C271" s="112" t="s">
        <v>286</v>
      </c>
      <c r="D271" s="111">
        <v>4000</v>
      </c>
      <c r="E271" s="114">
        <v>2784</v>
      </c>
      <c r="F271" s="114">
        <v>46</v>
      </c>
    </row>
    <row r="272" spans="1:6" s="113" customFormat="1" hidden="1" x14ac:dyDescent="0.6">
      <c r="A272" t="str">
        <f t="shared" si="0"/>
        <v>540</v>
      </c>
      <c r="B272" s="112">
        <v>1621000540</v>
      </c>
      <c r="C272" s="112" t="s">
        <v>287</v>
      </c>
      <c r="D272" s="112">
        <v>600</v>
      </c>
      <c r="E272" s="114">
        <v>400</v>
      </c>
      <c r="F272" s="114">
        <v>676.14</v>
      </c>
    </row>
    <row r="273" spans="1:6" s="113" customFormat="1" hidden="1" x14ac:dyDescent="0.6">
      <c r="A273" t="str">
        <f t="shared" si="0"/>
        <v>570</v>
      </c>
      <c r="B273" s="112">
        <v>1621000570</v>
      </c>
      <c r="C273" s="112" t="s">
        <v>288</v>
      </c>
      <c r="D273" s="111">
        <v>782457.8</v>
      </c>
      <c r="E273" s="114">
        <v>670833.76</v>
      </c>
      <c r="F273" s="114">
        <v>741978.72</v>
      </c>
    </row>
    <row r="274" spans="1:6" s="113" customFormat="1" hidden="1" x14ac:dyDescent="0.6">
      <c r="A274" t="str">
        <f t="shared" si="0"/>
        <v>571</v>
      </c>
      <c r="B274" s="112">
        <v>1621000571</v>
      </c>
      <c r="C274" s="112" t="s">
        <v>289</v>
      </c>
      <c r="D274" s="111">
        <v>173311</v>
      </c>
      <c r="E274" s="114"/>
      <c r="F274" s="114">
        <v>16689.23</v>
      </c>
    </row>
    <row r="275" spans="1:6" s="113" customFormat="1" hidden="1" x14ac:dyDescent="0.6">
      <c r="A275" t="str">
        <f t="shared" si="0"/>
        <v>750</v>
      </c>
      <c r="B275" s="112">
        <v>1621000750</v>
      </c>
      <c r="C275" s="112" t="s">
        <v>745</v>
      </c>
      <c r="D275" s="111">
        <v>612000</v>
      </c>
      <c r="E275" s="114">
        <v>707289.23</v>
      </c>
      <c r="F275" s="114">
        <v>457697.65</v>
      </c>
    </row>
    <row r="276" spans="1:6" s="113" customFormat="1" hidden="1" x14ac:dyDescent="0.6">
      <c r="A276" s="113" t="str">
        <f t="shared" si="0"/>
        <v>110</v>
      </c>
      <c r="B276" s="112">
        <v>1621400110</v>
      </c>
      <c r="C276" s="112" t="s">
        <v>292</v>
      </c>
      <c r="D276" s="111">
        <v>209300.02</v>
      </c>
      <c r="E276" s="114">
        <v>203205.15</v>
      </c>
      <c r="F276" s="114">
        <v>175807.97</v>
      </c>
    </row>
    <row r="277" spans="1:6" s="113" customFormat="1" hidden="1" x14ac:dyDescent="0.6">
      <c r="A277" s="113" t="str">
        <f t="shared" si="0"/>
        <v>110</v>
      </c>
      <c r="B277" s="112">
        <v>1711000110</v>
      </c>
      <c r="C277" s="112" t="s">
        <v>301</v>
      </c>
      <c r="D277" s="111">
        <v>316260</v>
      </c>
      <c r="E277" s="114">
        <v>347844.2</v>
      </c>
      <c r="F277" s="114">
        <v>679888.57</v>
      </c>
    </row>
    <row r="278" spans="1:6" s="113" customFormat="1" hidden="1" x14ac:dyDescent="0.6">
      <c r="A278" t="str">
        <f t="shared" si="0"/>
        <v>560</v>
      </c>
      <c r="B278" s="112">
        <v>1621400560</v>
      </c>
      <c r="C278" s="112" t="s">
        <v>293</v>
      </c>
      <c r="D278" s="111">
        <v>30000</v>
      </c>
      <c r="E278" s="114">
        <v>26180.9</v>
      </c>
      <c r="F278" s="114">
        <v>12849.1</v>
      </c>
    </row>
    <row r="279" spans="1:6" s="113" customFormat="1" hidden="1" x14ac:dyDescent="0.6">
      <c r="A279" t="str">
        <f t="shared" si="0"/>
        <v>470</v>
      </c>
      <c r="B279" s="112">
        <v>1623000470</v>
      </c>
      <c r="C279" s="112" t="s">
        <v>256</v>
      </c>
      <c r="D279" s="111">
        <v>10000</v>
      </c>
      <c r="E279" s="114"/>
      <c r="F279" s="114"/>
    </row>
    <row r="280" spans="1:6" s="113" customFormat="1" hidden="1" x14ac:dyDescent="0.6">
      <c r="A280" t="str">
        <f t="shared" si="0"/>
        <v>540</v>
      </c>
      <c r="B280" s="112">
        <v>1623000540</v>
      </c>
      <c r="C280" s="112" t="s">
        <v>294</v>
      </c>
      <c r="D280" s="112"/>
      <c r="E280" s="114"/>
      <c r="F280" s="114">
        <v>301.19</v>
      </c>
    </row>
    <row r="281" spans="1:6" s="113" customFormat="1" hidden="1" x14ac:dyDescent="0.6">
      <c r="A281" t="str">
        <f t="shared" si="0"/>
        <v>541</v>
      </c>
      <c r="B281" s="112">
        <v>1623000541</v>
      </c>
      <c r="C281" s="112" t="s">
        <v>263</v>
      </c>
      <c r="D281" s="111">
        <v>150000</v>
      </c>
      <c r="E281" s="114">
        <v>155344.64000000001</v>
      </c>
      <c r="F281" s="114">
        <v>120699.5</v>
      </c>
    </row>
    <row r="282" spans="1:6" s="113" customFormat="1" hidden="1" x14ac:dyDescent="0.6">
      <c r="A282" t="str">
        <f t="shared" si="0"/>
        <v>750</v>
      </c>
      <c r="B282" s="112">
        <v>1623000750</v>
      </c>
      <c r="C282" s="112" t="s">
        <v>317</v>
      </c>
      <c r="D282" s="111">
        <v>2091260</v>
      </c>
      <c r="E282" s="114">
        <v>2258825.75</v>
      </c>
      <c r="F282" s="114">
        <v>2159564.56</v>
      </c>
    </row>
    <row r="283" spans="1:6" s="113" customFormat="1" hidden="1" x14ac:dyDescent="0.6">
      <c r="A283" t="str">
        <f t="shared" si="0"/>
        <v>620</v>
      </c>
      <c r="B283" s="112">
        <v>1632000620</v>
      </c>
      <c r="C283" s="112" t="s">
        <v>296</v>
      </c>
      <c r="D283" s="111">
        <v>350000</v>
      </c>
      <c r="E283" s="114">
        <v>359159.81</v>
      </c>
      <c r="F283" s="114">
        <v>329097.06</v>
      </c>
    </row>
    <row r="284" spans="1:6" s="113" customFormat="1" hidden="1" x14ac:dyDescent="0.6">
      <c r="A284" t="str">
        <f t="shared" si="0"/>
        <v>621</v>
      </c>
      <c r="B284" s="112">
        <v>1632000621</v>
      </c>
      <c r="C284" s="112" t="s">
        <v>297</v>
      </c>
      <c r="D284" s="111">
        <v>452000</v>
      </c>
      <c r="E284" s="114">
        <v>497121.73</v>
      </c>
      <c r="F284" s="114">
        <v>447957.92</v>
      </c>
    </row>
    <row r="285" spans="1:6" s="113" customFormat="1" hidden="1" x14ac:dyDescent="0.6">
      <c r="A285" t="str">
        <f t="shared" ref="A285:A348" si="1">RIGHT(B285,3)</f>
        <v>650</v>
      </c>
      <c r="B285" s="112">
        <v>1632000650</v>
      </c>
      <c r="C285" s="112" t="s">
        <v>298</v>
      </c>
      <c r="D285" s="112"/>
      <c r="E285" s="114">
        <v>2352.65</v>
      </c>
      <c r="F285" s="114">
        <v>54461.87</v>
      </c>
    </row>
    <row r="286" spans="1:6" s="113" customFormat="1" hidden="1" x14ac:dyDescent="0.6">
      <c r="A286" t="str">
        <f t="shared" si="1"/>
        <v>651</v>
      </c>
      <c r="B286" s="112">
        <v>1632000651</v>
      </c>
      <c r="C286" s="112" t="s">
        <v>299</v>
      </c>
      <c r="D286" s="111">
        <v>86000</v>
      </c>
      <c r="E286" s="114"/>
      <c r="F286" s="114">
        <v>85560</v>
      </c>
    </row>
    <row r="287" spans="1:6" s="113" customFormat="1" hidden="1" x14ac:dyDescent="0.6">
      <c r="A287" t="str">
        <f t="shared" si="1"/>
        <v>691</v>
      </c>
      <c r="B287" s="112">
        <v>1649100691</v>
      </c>
      <c r="C287" s="112" t="s">
        <v>300</v>
      </c>
      <c r="D287" s="111">
        <v>7395344.6600000001</v>
      </c>
      <c r="E287" s="114">
        <v>31468096.27</v>
      </c>
      <c r="F287" s="114">
        <v>6801020.75</v>
      </c>
    </row>
    <row r="288" spans="1:6" s="113" customFormat="1" hidden="1" x14ac:dyDescent="0.6">
      <c r="A288" s="113" t="str">
        <f t="shared" si="1"/>
        <v>110</v>
      </c>
      <c r="B288" s="112">
        <v>1712300110</v>
      </c>
      <c r="C288" s="112" t="s">
        <v>308</v>
      </c>
      <c r="D288" s="111">
        <v>2228368.3199999998</v>
      </c>
      <c r="E288" s="114">
        <v>2204005.4700000002</v>
      </c>
      <c r="F288" s="114">
        <v>2263941.0299999998</v>
      </c>
    </row>
    <row r="289" spans="1:6" s="113" customFormat="1" hidden="1" x14ac:dyDescent="0.6">
      <c r="A289" t="str">
        <f t="shared" si="1"/>
        <v>431</v>
      </c>
      <c r="B289" s="112">
        <v>1711000431</v>
      </c>
      <c r="C289" s="112" t="s">
        <v>302</v>
      </c>
      <c r="D289" s="111">
        <v>34691.769999999997</v>
      </c>
      <c r="E289" s="114">
        <v>44230.17</v>
      </c>
      <c r="F289" s="114">
        <v>32909.93</v>
      </c>
    </row>
    <row r="290" spans="1:6" s="113" customFormat="1" hidden="1" x14ac:dyDescent="0.6">
      <c r="A290" t="str">
        <f t="shared" si="1"/>
        <v>432</v>
      </c>
      <c r="B290" s="112">
        <v>1711000432</v>
      </c>
      <c r="C290" s="112" t="s">
        <v>303</v>
      </c>
      <c r="D290" s="111">
        <v>23000</v>
      </c>
      <c r="E290" s="114">
        <v>1270.6199999999999</v>
      </c>
      <c r="F290" s="114">
        <v>4509.5600000000004</v>
      </c>
    </row>
    <row r="291" spans="1:6" s="113" customFormat="1" hidden="1" x14ac:dyDescent="0.6">
      <c r="A291" t="str">
        <f t="shared" si="1"/>
        <v>530</v>
      </c>
      <c r="B291" s="112">
        <v>1711000530</v>
      </c>
      <c r="C291" s="112" t="s">
        <v>304</v>
      </c>
      <c r="D291" s="111">
        <v>343800</v>
      </c>
      <c r="E291" s="114">
        <v>262204.69</v>
      </c>
      <c r="F291" s="114">
        <v>198803.43</v>
      </c>
    </row>
    <row r="292" spans="1:6" s="113" customFormat="1" hidden="1" x14ac:dyDescent="0.6">
      <c r="A292" t="str">
        <f t="shared" si="1"/>
        <v>531</v>
      </c>
      <c r="B292" s="112">
        <v>1711000531</v>
      </c>
      <c r="C292" s="112" t="s">
        <v>305</v>
      </c>
      <c r="D292" s="111">
        <v>142740</v>
      </c>
      <c r="E292" s="114">
        <v>90627.09</v>
      </c>
      <c r="F292" s="114">
        <v>71854.83</v>
      </c>
    </row>
    <row r="293" spans="1:6" s="113" customFormat="1" hidden="1" x14ac:dyDescent="0.6">
      <c r="A293" t="str">
        <f t="shared" si="1"/>
        <v>540</v>
      </c>
      <c r="B293" s="112">
        <v>1711000540</v>
      </c>
      <c r="C293" s="112" t="s">
        <v>241</v>
      </c>
      <c r="D293" s="111">
        <v>55000</v>
      </c>
      <c r="E293" s="114">
        <v>828.88</v>
      </c>
      <c r="F293" s="114">
        <v>41828.410000000003</v>
      </c>
    </row>
    <row r="294" spans="1:6" s="113" customFormat="1" hidden="1" x14ac:dyDescent="0.6">
      <c r="A294" t="str">
        <f t="shared" si="1"/>
        <v>780</v>
      </c>
      <c r="B294" s="112">
        <v>1711000780</v>
      </c>
      <c r="C294" s="112" t="s">
        <v>306</v>
      </c>
      <c r="D294" s="111">
        <v>30000</v>
      </c>
      <c r="E294" s="114">
        <v>17124.04</v>
      </c>
      <c r="F294" s="114">
        <v>23791.85</v>
      </c>
    </row>
    <row r="295" spans="1:6" s="113" customFormat="1" hidden="1" x14ac:dyDescent="0.6">
      <c r="A295" t="str">
        <f t="shared" si="1"/>
        <v>781</v>
      </c>
      <c r="B295" s="112">
        <v>1711000781</v>
      </c>
      <c r="C295" s="112" t="s">
        <v>307</v>
      </c>
      <c r="D295" s="111">
        <v>20000</v>
      </c>
      <c r="E295" s="114"/>
      <c r="F295" s="114">
        <v>19234.8</v>
      </c>
    </row>
    <row r="296" spans="1:6" x14ac:dyDescent="0.6">
      <c r="A296" t="str">
        <f t="shared" si="1"/>
        <v>110</v>
      </c>
      <c r="B296" s="108">
        <v>1713000110</v>
      </c>
      <c r="C296" s="108" t="s">
        <v>322</v>
      </c>
      <c r="D296" s="109">
        <v>30939.119999999999</v>
      </c>
      <c r="E296" s="115">
        <v>27347.56</v>
      </c>
      <c r="F296" s="115">
        <v>167270.31</v>
      </c>
    </row>
    <row r="297" spans="1:6" s="113" customFormat="1" hidden="1" x14ac:dyDescent="0.6">
      <c r="A297" t="str">
        <f t="shared" si="1"/>
        <v>530</v>
      </c>
      <c r="B297" s="112">
        <v>1712300530</v>
      </c>
      <c r="C297" s="112" t="s">
        <v>309</v>
      </c>
      <c r="D297" s="111">
        <v>150000</v>
      </c>
      <c r="E297" s="114">
        <v>154801.23000000001</v>
      </c>
      <c r="F297" s="114">
        <v>200031.28</v>
      </c>
    </row>
    <row r="298" spans="1:6" s="113" customFormat="1" hidden="1" x14ac:dyDescent="0.6">
      <c r="A298" t="str">
        <f t="shared" si="1"/>
        <v>531</v>
      </c>
      <c r="B298" s="112">
        <v>1712300531</v>
      </c>
      <c r="C298" s="112" t="s">
        <v>310</v>
      </c>
      <c r="D298" s="111">
        <v>7000</v>
      </c>
      <c r="E298" s="114">
        <v>19819.2</v>
      </c>
      <c r="F298" s="114">
        <v>9698.01</v>
      </c>
    </row>
    <row r="299" spans="1:6" s="113" customFormat="1" hidden="1" x14ac:dyDescent="0.6">
      <c r="A299" t="str">
        <f t="shared" si="1"/>
        <v>720</v>
      </c>
      <c r="B299" s="112">
        <v>1712300720</v>
      </c>
      <c r="C299" s="112" t="s">
        <v>311</v>
      </c>
      <c r="D299" s="111">
        <v>40000</v>
      </c>
      <c r="E299" s="114">
        <v>31628.6</v>
      </c>
      <c r="F299" s="114">
        <v>43821.16</v>
      </c>
    </row>
    <row r="300" spans="1:6" s="113" customFormat="1" hidden="1" x14ac:dyDescent="0.6">
      <c r="A300" t="str">
        <f t="shared" si="1"/>
        <v>731</v>
      </c>
      <c r="B300" s="112">
        <v>1712300731</v>
      </c>
      <c r="C300" s="112" t="s">
        <v>312</v>
      </c>
      <c r="D300" s="111">
        <v>140000</v>
      </c>
      <c r="E300" s="114">
        <v>164861.84</v>
      </c>
      <c r="F300" s="114">
        <v>196641.91</v>
      </c>
    </row>
    <row r="301" spans="1:6" s="113" customFormat="1" hidden="1" x14ac:dyDescent="0.6">
      <c r="A301" t="str">
        <f t="shared" si="1"/>
        <v>732</v>
      </c>
      <c r="B301" s="112">
        <v>1712300732</v>
      </c>
      <c r="C301" s="112" t="s">
        <v>313</v>
      </c>
      <c r="D301" s="111">
        <v>100000</v>
      </c>
      <c r="E301" s="114">
        <v>94056.34</v>
      </c>
      <c r="F301" s="114">
        <v>116840.8</v>
      </c>
    </row>
    <row r="302" spans="1:6" s="113" customFormat="1" hidden="1" x14ac:dyDescent="0.6">
      <c r="A302" t="str">
        <f t="shared" si="1"/>
        <v>750</v>
      </c>
      <c r="B302" s="112">
        <v>1712300750</v>
      </c>
      <c r="C302" s="112" t="s">
        <v>314</v>
      </c>
      <c r="D302" s="111">
        <v>3046540</v>
      </c>
      <c r="E302" s="114">
        <v>2686515.42</v>
      </c>
      <c r="F302" s="114">
        <v>2455693</v>
      </c>
    </row>
    <row r="303" spans="1:6" s="113" customFormat="1" hidden="1" x14ac:dyDescent="0.6">
      <c r="A303" t="str">
        <f t="shared" si="1"/>
        <v>751</v>
      </c>
      <c r="B303" s="112">
        <v>1712300751</v>
      </c>
      <c r="C303" s="112" t="s">
        <v>315</v>
      </c>
      <c r="D303" s="111">
        <v>588254</v>
      </c>
      <c r="E303" s="114">
        <v>590101.84</v>
      </c>
      <c r="F303" s="114">
        <v>932348.4</v>
      </c>
    </row>
    <row r="304" spans="1:6" s="113" customFormat="1" hidden="1" x14ac:dyDescent="0.6">
      <c r="A304" t="str">
        <f t="shared" si="1"/>
        <v>752</v>
      </c>
      <c r="B304" s="112">
        <v>1712300752</v>
      </c>
      <c r="C304" s="112" t="s">
        <v>316</v>
      </c>
      <c r="D304" s="111">
        <v>389068</v>
      </c>
      <c r="E304" s="114">
        <v>374868</v>
      </c>
      <c r="F304" s="114">
        <v>458739</v>
      </c>
    </row>
    <row r="305" spans="1:6" s="113" customFormat="1" hidden="1" x14ac:dyDescent="0.6">
      <c r="A305" t="str">
        <f t="shared" si="1"/>
        <v>753</v>
      </c>
      <c r="B305" s="112">
        <v>1712300753</v>
      </c>
      <c r="C305" s="112" t="s">
        <v>317</v>
      </c>
      <c r="D305" s="111">
        <v>20000</v>
      </c>
      <c r="E305" s="114">
        <v>2360</v>
      </c>
      <c r="F305" s="114">
        <v>16151.99</v>
      </c>
    </row>
    <row r="306" spans="1:6" s="113" customFormat="1" hidden="1" x14ac:dyDescent="0.6">
      <c r="A306" t="str">
        <f t="shared" si="1"/>
        <v>754</v>
      </c>
      <c r="B306" s="112">
        <v>1712300754</v>
      </c>
      <c r="C306" s="112" t="s">
        <v>318</v>
      </c>
      <c r="D306" s="111">
        <v>2527200</v>
      </c>
      <c r="E306" s="114">
        <v>4101498.39</v>
      </c>
      <c r="F306" s="114">
        <v>668661.61</v>
      </c>
    </row>
    <row r="307" spans="1:6" s="113" customFormat="1" hidden="1" x14ac:dyDescent="0.6">
      <c r="A307" t="str">
        <f t="shared" si="1"/>
        <v>755</v>
      </c>
      <c r="B307" s="112">
        <v>1712300755</v>
      </c>
      <c r="C307" s="112" t="s">
        <v>319</v>
      </c>
      <c r="D307" s="111">
        <v>1300000</v>
      </c>
      <c r="E307" s="114">
        <v>481394.12</v>
      </c>
      <c r="F307" s="114">
        <v>1358922.28</v>
      </c>
    </row>
    <row r="308" spans="1:6" s="113" customFormat="1" hidden="1" x14ac:dyDescent="0.6">
      <c r="A308" t="str">
        <f t="shared" si="1"/>
        <v>757</v>
      </c>
      <c r="B308" s="112">
        <v>1712300757</v>
      </c>
      <c r="C308" s="112" t="s">
        <v>320</v>
      </c>
      <c r="D308" s="111">
        <v>270000</v>
      </c>
      <c r="E308" s="114">
        <v>189859.03</v>
      </c>
      <c r="F308" s="114">
        <v>160632.09</v>
      </c>
    </row>
    <row r="309" spans="1:6" s="113" customFormat="1" hidden="1" x14ac:dyDescent="0.6">
      <c r="A309" t="str">
        <f t="shared" si="1"/>
        <v>811</v>
      </c>
      <c r="B309" s="112">
        <v>1712300811</v>
      </c>
      <c r="C309" s="112" t="s">
        <v>321</v>
      </c>
      <c r="D309" s="111">
        <v>288000</v>
      </c>
      <c r="E309" s="114">
        <v>288000</v>
      </c>
      <c r="F309" s="114">
        <v>288000</v>
      </c>
    </row>
    <row r="310" spans="1:6" s="113" customFormat="1" hidden="1" x14ac:dyDescent="0.6">
      <c r="A310" s="113" t="str">
        <f t="shared" si="1"/>
        <v>110</v>
      </c>
      <c r="B310" s="112">
        <v>1714000110</v>
      </c>
      <c r="C310" s="112" t="s">
        <v>323</v>
      </c>
      <c r="D310" s="111">
        <v>331863.01</v>
      </c>
      <c r="E310" s="114">
        <v>304624.40999999997</v>
      </c>
      <c r="F310" s="114">
        <v>327337.82</v>
      </c>
    </row>
    <row r="311" spans="1:6" s="113" customFormat="1" hidden="1" x14ac:dyDescent="0.6">
      <c r="A311" s="113" t="str">
        <f t="shared" si="1"/>
        <v>110</v>
      </c>
      <c r="B311" s="112">
        <v>1715000110</v>
      </c>
      <c r="C311" s="112" t="s">
        <v>327</v>
      </c>
      <c r="D311" s="111">
        <v>130696.36</v>
      </c>
      <c r="E311" s="114">
        <v>156940.41</v>
      </c>
      <c r="F311" s="114">
        <v>152599.98000000001</v>
      </c>
    </row>
    <row r="312" spans="1:6" s="113" customFormat="1" hidden="1" x14ac:dyDescent="0.6">
      <c r="A312" t="str">
        <f t="shared" si="1"/>
        <v>830</v>
      </c>
      <c r="B312" s="112">
        <v>1714000830</v>
      </c>
      <c r="C312" s="112" t="s">
        <v>324</v>
      </c>
      <c r="D312" s="111">
        <v>18000</v>
      </c>
      <c r="E312" s="114">
        <v>16473</v>
      </c>
      <c r="F312" s="114">
        <v>16461</v>
      </c>
    </row>
    <row r="313" spans="1:6" s="113" customFormat="1" hidden="1" x14ac:dyDescent="0.6">
      <c r="A313" t="str">
        <f t="shared" si="1"/>
        <v>780</v>
      </c>
      <c r="B313" s="112">
        <v>1714200780</v>
      </c>
      <c r="C313" s="112" t="s">
        <v>325</v>
      </c>
      <c r="D313" s="111">
        <v>18000</v>
      </c>
      <c r="E313" s="114">
        <v>6.27</v>
      </c>
      <c r="F313" s="114">
        <v>636.20000000000005</v>
      </c>
    </row>
    <row r="314" spans="1:6" s="113" customFormat="1" hidden="1" x14ac:dyDescent="0.6">
      <c r="A314" t="str">
        <f t="shared" si="1"/>
        <v>830</v>
      </c>
      <c r="B314" s="112">
        <v>1714400830</v>
      </c>
      <c r="C314" s="112" t="s">
        <v>326</v>
      </c>
      <c r="D314" s="111">
        <v>195000</v>
      </c>
      <c r="E314" s="114">
        <v>-185000</v>
      </c>
      <c r="F314" s="114">
        <v>185000</v>
      </c>
    </row>
    <row r="315" spans="1:6" x14ac:dyDescent="0.6">
      <c r="A315" t="str">
        <f t="shared" si="1"/>
        <v>110</v>
      </c>
      <c r="B315" s="108">
        <v>1715100110</v>
      </c>
      <c r="C315" s="108" t="s">
        <v>328</v>
      </c>
      <c r="F315" s="115">
        <v>68643.16</v>
      </c>
    </row>
    <row r="316" spans="1:6" x14ac:dyDescent="0.6">
      <c r="A316" t="str">
        <f t="shared" si="1"/>
        <v>110</v>
      </c>
      <c r="B316" s="108">
        <v>1722000110</v>
      </c>
      <c r="C316" s="108" t="s">
        <v>329</v>
      </c>
      <c r="E316" s="115">
        <v>63164.93</v>
      </c>
    </row>
    <row r="317" spans="1:6" s="113" customFormat="1" hidden="1" x14ac:dyDescent="0.6">
      <c r="A317" s="113" t="str">
        <f t="shared" si="1"/>
        <v>110</v>
      </c>
      <c r="B317" s="112">
        <v>1723000110</v>
      </c>
      <c r="C317" s="112" t="s">
        <v>331</v>
      </c>
      <c r="D317" s="111">
        <v>915964</v>
      </c>
      <c r="E317" s="114">
        <v>656950.11</v>
      </c>
      <c r="F317" s="114">
        <v>1375523.91</v>
      </c>
    </row>
    <row r="318" spans="1:6" s="113" customFormat="1" hidden="1" x14ac:dyDescent="0.6">
      <c r="A318" t="str">
        <f t="shared" si="1"/>
        <v>780</v>
      </c>
      <c r="B318" s="112">
        <v>1722000780</v>
      </c>
      <c r="C318" s="112" t="s">
        <v>330</v>
      </c>
      <c r="D318" s="111">
        <v>34400</v>
      </c>
      <c r="E318" s="114">
        <v>25738.27</v>
      </c>
      <c r="F318" s="114">
        <v>33856.050000000003</v>
      </c>
    </row>
    <row r="319" spans="1:6" s="113" customFormat="1" hidden="1" x14ac:dyDescent="0.6">
      <c r="A319" s="113" t="str">
        <f t="shared" si="1"/>
        <v>110</v>
      </c>
      <c r="B319" s="112">
        <v>1723100110</v>
      </c>
      <c r="C319" s="112" t="s">
        <v>340</v>
      </c>
      <c r="D319" s="111">
        <v>323367.55</v>
      </c>
      <c r="E319" s="114">
        <v>279217.76</v>
      </c>
      <c r="F319" s="114">
        <v>344590.74</v>
      </c>
    </row>
    <row r="320" spans="1:6" s="113" customFormat="1" hidden="1" x14ac:dyDescent="0.6">
      <c r="A320" t="str">
        <f t="shared" si="1"/>
        <v>420</v>
      </c>
      <c r="B320" s="112">
        <v>1723000420</v>
      </c>
      <c r="C320" s="112" t="s">
        <v>332</v>
      </c>
      <c r="D320" s="111">
        <v>486000</v>
      </c>
      <c r="E320" s="114">
        <v>680879.52</v>
      </c>
      <c r="F320" s="114">
        <v>314469.25</v>
      </c>
    </row>
    <row r="321" spans="1:8" s="113" customFormat="1" hidden="1" x14ac:dyDescent="0.6">
      <c r="A321" t="str">
        <f t="shared" si="1"/>
        <v>422</v>
      </c>
      <c r="B321" s="112">
        <v>1723000422</v>
      </c>
      <c r="C321" s="112" t="s">
        <v>334</v>
      </c>
      <c r="D321" s="111">
        <v>185000</v>
      </c>
      <c r="E321" s="114"/>
      <c r="F321" s="114"/>
    </row>
    <row r="322" spans="1:8" s="113" customFormat="1" hidden="1" x14ac:dyDescent="0.6">
      <c r="A322" t="str">
        <f t="shared" si="1"/>
        <v>431</v>
      </c>
      <c r="B322" s="112">
        <v>1723000431</v>
      </c>
      <c r="C322" s="112" t="s">
        <v>335</v>
      </c>
      <c r="D322" s="111">
        <v>103178.38</v>
      </c>
      <c r="E322" s="114">
        <v>150872.5</v>
      </c>
      <c r="F322" s="114">
        <v>168335.46</v>
      </c>
    </row>
    <row r="323" spans="1:8" hidden="1" x14ac:dyDescent="0.6">
      <c r="A323" t="str">
        <f t="shared" si="1"/>
        <v>432</v>
      </c>
      <c r="B323" s="108">
        <v>1723000432</v>
      </c>
      <c r="C323" s="108" t="s">
        <v>253</v>
      </c>
      <c r="D323" s="109">
        <v>50000</v>
      </c>
      <c r="E323" s="115">
        <v>1049.49</v>
      </c>
      <c r="F323" s="115">
        <v>48001.51</v>
      </c>
    </row>
    <row r="324" spans="1:8" hidden="1" x14ac:dyDescent="0.6">
      <c r="A324" t="str">
        <f t="shared" si="1"/>
        <v>440</v>
      </c>
      <c r="B324" s="108">
        <v>1723000440</v>
      </c>
      <c r="C324" s="108" t="s">
        <v>336</v>
      </c>
      <c r="D324" s="109">
        <v>200000</v>
      </c>
      <c r="E324" s="115">
        <v>200000</v>
      </c>
      <c r="F324" s="115">
        <v>200000</v>
      </c>
    </row>
    <row r="325" spans="1:8" s="113" customFormat="1" hidden="1" x14ac:dyDescent="0.6">
      <c r="A325" t="str">
        <f t="shared" si="1"/>
        <v>532</v>
      </c>
      <c r="B325" s="112">
        <v>1723000532</v>
      </c>
      <c r="C325" s="112" t="s">
        <v>746</v>
      </c>
      <c r="D325" s="111">
        <v>6500</v>
      </c>
      <c r="E325" s="114">
        <v>9459</v>
      </c>
      <c r="F325" s="114">
        <v>926</v>
      </c>
    </row>
    <row r="326" spans="1:8" s="113" customFormat="1" hidden="1" x14ac:dyDescent="0.6">
      <c r="A326" t="str">
        <f t="shared" si="1"/>
        <v>550</v>
      </c>
      <c r="B326" s="112">
        <v>1723000550</v>
      </c>
      <c r="C326" s="112" t="s">
        <v>338</v>
      </c>
      <c r="D326" s="111">
        <v>6115</v>
      </c>
      <c r="E326" s="114"/>
      <c r="F326" s="114"/>
    </row>
    <row r="327" spans="1:8" s="113" customFormat="1" hidden="1" x14ac:dyDescent="0.6">
      <c r="A327" t="str">
        <f t="shared" si="1"/>
        <v>810</v>
      </c>
      <c r="B327" s="112">
        <v>1723000810</v>
      </c>
      <c r="C327" s="112" t="s">
        <v>339</v>
      </c>
      <c r="D327" s="111">
        <v>144314</v>
      </c>
      <c r="E327" s="114">
        <v>133728</v>
      </c>
      <c r="F327" s="114">
        <v>144650</v>
      </c>
    </row>
    <row r="328" spans="1:8" s="113" customFormat="1" hidden="1" x14ac:dyDescent="0.6">
      <c r="A328" s="113" t="str">
        <f t="shared" si="1"/>
        <v>110</v>
      </c>
      <c r="B328" s="112">
        <v>1726000110</v>
      </c>
      <c r="C328" s="112" t="s">
        <v>342</v>
      </c>
      <c r="D328" s="111">
        <v>458825.22</v>
      </c>
      <c r="E328" s="114">
        <v>453628.37</v>
      </c>
      <c r="F328" s="114">
        <v>151171.46</v>
      </c>
    </row>
    <row r="329" spans="1:8" s="113" customFormat="1" hidden="1" x14ac:dyDescent="0.6">
      <c r="A329" t="str">
        <f t="shared" si="1"/>
        <v>751</v>
      </c>
      <c r="B329" s="112">
        <v>1723100751</v>
      </c>
      <c r="C329" s="112" t="s">
        <v>341</v>
      </c>
      <c r="D329" s="111">
        <v>35000</v>
      </c>
      <c r="E329" s="114">
        <v>26525.78</v>
      </c>
      <c r="F329" s="114">
        <v>38365.01</v>
      </c>
    </row>
    <row r="330" spans="1:8" s="113" customFormat="1" hidden="1" x14ac:dyDescent="0.6">
      <c r="A330" s="113" t="str">
        <f t="shared" si="1"/>
        <v>110</v>
      </c>
      <c r="B330" s="112">
        <v>1731000110</v>
      </c>
      <c r="C330" s="112" t="s">
        <v>349</v>
      </c>
      <c r="D330" s="111">
        <v>1871757.09</v>
      </c>
      <c r="E330" s="114">
        <v>1566420.7</v>
      </c>
      <c r="F330" s="114">
        <v>1675947.14</v>
      </c>
      <c r="H330" s="113">
        <v>2600</v>
      </c>
    </row>
    <row r="331" spans="1:8" s="113" customFormat="1" hidden="1" x14ac:dyDescent="0.6">
      <c r="A331" t="str">
        <f t="shared" si="1"/>
        <v>531</v>
      </c>
      <c r="B331" s="112">
        <v>1726000531</v>
      </c>
      <c r="C331" s="112" t="s">
        <v>343</v>
      </c>
      <c r="D331" s="111">
        <v>90360</v>
      </c>
      <c r="E331" s="114">
        <v>51647.05</v>
      </c>
      <c r="F331" s="114">
        <v>108739.33</v>
      </c>
    </row>
    <row r="332" spans="1:8" s="113" customFormat="1" hidden="1" x14ac:dyDescent="0.6">
      <c r="A332" t="str">
        <f t="shared" si="1"/>
        <v>431</v>
      </c>
      <c r="B332" s="112">
        <v>1727000431</v>
      </c>
      <c r="C332" s="112" t="s">
        <v>346</v>
      </c>
      <c r="D332" s="112">
        <v>888.14</v>
      </c>
      <c r="E332" s="114">
        <v>18327.88</v>
      </c>
      <c r="F332" s="114">
        <v>928.81</v>
      </c>
    </row>
    <row r="333" spans="1:8" s="113" customFormat="1" hidden="1" x14ac:dyDescent="0.6">
      <c r="A333" t="str">
        <f t="shared" si="1"/>
        <v>531</v>
      </c>
      <c r="B333" s="112">
        <v>1727000531</v>
      </c>
      <c r="C333" s="112" t="s">
        <v>747</v>
      </c>
      <c r="D333" s="111">
        <v>40000</v>
      </c>
      <c r="E333" s="114">
        <v>65522.53</v>
      </c>
      <c r="F333" s="114"/>
    </row>
    <row r="334" spans="1:8" s="113" customFormat="1" hidden="1" x14ac:dyDescent="0.6">
      <c r="A334" t="str">
        <f t="shared" si="1"/>
        <v>780</v>
      </c>
      <c r="B334" s="112">
        <v>1727000780</v>
      </c>
      <c r="C334" s="112" t="s">
        <v>748</v>
      </c>
      <c r="D334" s="111">
        <v>17000</v>
      </c>
      <c r="E334" s="114">
        <v>15596</v>
      </c>
      <c r="F334" s="114">
        <v>12800</v>
      </c>
    </row>
    <row r="335" spans="1:8" s="113" customFormat="1" hidden="1" x14ac:dyDescent="0.6">
      <c r="A335" t="str">
        <f t="shared" si="1"/>
        <v>430</v>
      </c>
      <c r="B335" s="112">
        <v>1730000430</v>
      </c>
      <c r="C335" s="112" t="s">
        <v>348</v>
      </c>
      <c r="D335" s="111">
        <v>250000</v>
      </c>
      <c r="E335" s="114">
        <v>250000</v>
      </c>
      <c r="F335" s="114">
        <v>250000</v>
      </c>
    </row>
    <row r="336" spans="1:8" s="113" customFormat="1" hidden="1" x14ac:dyDescent="0.6">
      <c r="A336" s="113" t="str">
        <f t="shared" si="1"/>
        <v>110</v>
      </c>
      <c r="B336" s="112">
        <v>1733000110</v>
      </c>
      <c r="C336" s="112" t="s">
        <v>356</v>
      </c>
      <c r="D336" s="111">
        <v>853162.76</v>
      </c>
      <c r="E336" s="114">
        <v>1174651.75</v>
      </c>
      <c r="F336" s="114">
        <v>654010.37</v>
      </c>
      <c r="H336" s="113">
        <v>12</v>
      </c>
    </row>
    <row r="337" spans="1:8" s="113" customFormat="1" hidden="1" x14ac:dyDescent="0.6">
      <c r="A337" t="str">
        <f t="shared" si="1"/>
        <v>530</v>
      </c>
      <c r="B337" s="112">
        <v>1731000530</v>
      </c>
      <c r="C337" s="112" t="s">
        <v>350</v>
      </c>
      <c r="D337" s="111">
        <v>139200</v>
      </c>
      <c r="E337" s="114">
        <v>121413.98</v>
      </c>
      <c r="F337" s="114">
        <v>126923.1</v>
      </c>
    </row>
    <row r="338" spans="1:8" s="113" customFormat="1" hidden="1" x14ac:dyDescent="0.6">
      <c r="A338" t="str">
        <f t="shared" si="1"/>
        <v>531</v>
      </c>
      <c r="B338" s="112">
        <v>1731000531</v>
      </c>
      <c r="C338" s="112" t="s">
        <v>351</v>
      </c>
      <c r="D338" s="111">
        <v>64416</v>
      </c>
      <c r="E338" s="114">
        <v>52676.35</v>
      </c>
      <c r="F338" s="114">
        <v>49583.68</v>
      </c>
    </row>
    <row r="339" spans="1:8" s="113" customFormat="1" hidden="1" x14ac:dyDescent="0.6">
      <c r="A339" t="str">
        <f t="shared" si="1"/>
        <v>570</v>
      </c>
      <c r="B339" s="112">
        <v>1731000570</v>
      </c>
      <c r="C339" s="112" t="s">
        <v>352</v>
      </c>
      <c r="D339" s="111">
        <v>10000</v>
      </c>
      <c r="E339" s="114">
        <v>15403</v>
      </c>
      <c r="F339" s="114">
        <v>7867.95</v>
      </c>
    </row>
    <row r="340" spans="1:8" s="113" customFormat="1" hidden="1" x14ac:dyDescent="0.6">
      <c r="A340" t="str">
        <f t="shared" si="1"/>
        <v>780</v>
      </c>
      <c r="B340" s="112">
        <v>1731000780</v>
      </c>
      <c r="C340" s="112" t="s">
        <v>353</v>
      </c>
      <c r="D340" s="111">
        <v>25500</v>
      </c>
      <c r="E340" s="114">
        <v>25172.33</v>
      </c>
      <c r="F340" s="114">
        <v>19953.68</v>
      </c>
    </row>
    <row r="341" spans="1:8" s="113" customFormat="1" hidden="1" x14ac:dyDescent="0.6">
      <c r="A341" t="str">
        <f t="shared" si="1"/>
        <v>781</v>
      </c>
      <c r="B341" s="112">
        <v>1731000781</v>
      </c>
      <c r="C341" s="112" t="s">
        <v>354</v>
      </c>
      <c r="D341" s="111">
        <v>81343.8</v>
      </c>
      <c r="E341" s="114">
        <v>23400</v>
      </c>
      <c r="F341" s="114">
        <v>31590</v>
      </c>
    </row>
    <row r="342" spans="1:8" s="113" customFormat="1" hidden="1" x14ac:dyDescent="0.6">
      <c r="A342" t="str">
        <f t="shared" si="1"/>
        <v>780</v>
      </c>
      <c r="B342" s="112">
        <v>1732000780</v>
      </c>
      <c r="C342" s="112" t="s">
        <v>355</v>
      </c>
      <c r="D342" s="111">
        <v>110000</v>
      </c>
      <c r="E342" s="114">
        <v>22560.400000000001</v>
      </c>
      <c r="F342" s="114">
        <v>2808</v>
      </c>
    </row>
    <row r="343" spans="1:8" s="113" customFormat="1" hidden="1" x14ac:dyDescent="0.6">
      <c r="A343" s="113" t="str">
        <f t="shared" si="1"/>
        <v>110</v>
      </c>
      <c r="B343" s="112">
        <v>1741000110</v>
      </c>
      <c r="C343" s="112" t="s">
        <v>360</v>
      </c>
      <c r="D343" s="111">
        <v>392848.39</v>
      </c>
      <c r="E343" s="114">
        <v>668508.79</v>
      </c>
      <c r="F343" s="114">
        <v>417720.6</v>
      </c>
      <c r="H343" s="113">
        <f>H336*H330</f>
        <v>31200</v>
      </c>
    </row>
    <row r="344" spans="1:8" s="113" customFormat="1" hidden="1" x14ac:dyDescent="0.6">
      <c r="A344" t="str">
        <f t="shared" si="1"/>
        <v>750</v>
      </c>
      <c r="B344" s="112">
        <v>1733000750</v>
      </c>
      <c r="C344" s="112" t="s">
        <v>357</v>
      </c>
      <c r="D344" s="111">
        <v>155000</v>
      </c>
      <c r="E344" s="114">
        <v>180000</v>
      </c>
      <c r="F344" s="114">
        <v>180000</v>
      </c>
    </row>
    <row r="345" spans="1:8" s="113" customFormat="1" hidden="1" x14ac:dyDescent="0.6">
      <c r="A345" t="str">
        <f t="shared" si="1"/>
        <v>751</v>
      </c>
      <c r="B345" s="112">
        <v>1733000751</v>
      </c>
      <c r="C345" s="112" t="s">
        <v>358</v>
      </c>
      <c r="D345" s="111">
        <v>163324</v>
      </c>
      <c r="E345" s="114">
        <v>111635.23</v>
      </c>
      <c r="F345" s="114">
        <v>81926</v>
      </c>
    </row>
    <row r="346" spans="1:8" s="113" customFormat="1" hidden="1" x14ac:dyDescent="0.6">
      <c r="A346" t="str">
        <f t="shared" si="1"/>
        <v>780</v>
      </c>
      <c r="B346" s="112">
        <v>1733000780</v>
      </c>
      <c r="C346" s="112" t="s">
        <v>359</v>
      </c>
      <c r="D346" s="111">
        <v>60000</v>
      </c>
      <c r="E346" s="114">
        <v>41036.230000000003</v>
      </c>
      <c r="F346" s="114">
        <v>35210.74</v>
      </c>
    </row>
    <row r="347" spans="1:8" s="113" customFormat="1" hidden="1" x14ac:dyDescent="0.6">
      <c r="A347" s="113" t="str">
        <f t="shared" si="1"/>
        <v>110</v>
      </c>
      <c r="B347" s="112">
        <v>1743000110</v>
      </c>
      <c r="C347" s="112" t="s">
        <v>365</v>
      </c>
      <c r="D347" s="111">
        <v>189079.76</v>
      </c>
      <c r="E347" s="114">
        <v>387929.35</v>
      </c>
      <c r="F347" s="114">
        <v>222918.44</v>
      </c>
      <c r="H347" s="113">
        <v>116688</v>
      </c>
    </row>
    <row r="348" spans="1:8" s="113" customFormat="1" hidden="1" x14ac:dyDescent="0.6">
      <c r="A348" t="str">
        <f t="shared" si="1"/>
        <v>530</v>
      </c>
      <c r="B348" s="112">
        <v>1741000530</v>
      </c>
      <c r="C348" s="112" t="s">
        <v>361</v>
      </c>
      <c r="D348" s="111">
        <v>1000</v>
      </c>
      <c r="E348" s="114"/>
      <c r="F348" s="114"/>
    </row>
    <row r="349" spans="1:8" s="113" customFormat="1" hidden="1" x14ac:dyDescent="0.6">
      <c r="A349" t="str">
        <f t="shared" ref="A349:A412" si="2">RIGHT(B349,3)</f>
        <v>720</v>
      </c>
      <c r="B349" s="112">
        <v>1741000720</v>
      </c>
      <c r="C349" s="112" t="s">
        <v>362</v>
      </c>
      <c r="D349" s="111">
        <v>80000</v>
      </c>
      <c r="E349" s="114">
        <v>61940.2</v>
      </c>
      <c r="F349" s="114">
        <v>68646.990000000005</v>
      </c>
    </row>
    <row r="350" spans="1:8" s="113" customFormat="1" hidden="1" x14ac:dyDescent="0.6">
      <c r="A350" t="str">
        <f t="shared" si="2"/>
        <v>730</v>
      </c>
      <c r="B350" s="112">
        <v>1741000730</v>
      </c>
      <c r="C350" s="112" t="s">
        <v>363</v>
      </c>
      <c r="D350" s="111">
        <v>120000</v>
      </c>
      <c r="E350" s="114">
        <v>121581.43</v>
      </c>
      <c r="F350" s="114">
        <v>120871.16</v>
      </c>
    </row>
    <row r="351" spans="1:8" s="113" customFormat="1" hidden="1" x14ac:dyDescent="0.6">
      <c r="A351" t="str">
        <f t="shared" si="2"/>
        <v>731</v>
      </c>
      <c r="B351" s="112">
        <v>1741000731</v>
      </c>
      <c r="C351" s="112" t="s">
        <v>364</v>
      </c>
      <c r="D351" s="111">
        <v>50000</v>
      </c>
      <c r="E351" s="114">
        <v>28248.42</v>
      </c>
      <c r="F351" s="114">
        <v>64799.74</v>
      </c>
    </row>
    <row r="352" spans="1:8" s="113" customFormat="1" hidden="1" x14ac:dyDescent="0.6">
      <c r="A352" s="113" t="str">
        <f t="shared" si="2"/>
        <v>110</v>
      </c>
      <c r="B352" s="112">
        <v>1770000110</v>
      </c>
      <c r="C352" s="112" t="s">
        <v>388</v>
      </c>
      <c r="D352" s="111">
        <v>1552825.53</v>
      </c>
      <c r="E352" s="114">
        <v>1672896.63</v>
      </c>
      <c r="F352" s="114">
        <v>1594606.11</v>
      </c>
      <c r="H352" s="113">
        <f>H347+H343</f>
        <v>147888</v>
      </c>
    </row>
    <row r="353" spans="1:6" s="113" customFormat="1" hidden="1" x14ac:dyDescent="0.6">
      <c r="A353" t="str">
        <f t="shared" si="2"/>
        <v>431</v>
      </c>
      <c r="B353" s="112">
        <v>1743000431</v>
      </c>
      <c r="C353" s="112" t="s">
        <v>366</v>
      </c>
      <c r="D353" s="111">
        <v>1333657.08</v>
      </c>
      <c r="E353" s="114">
        <v>1615513.06</v>
      </c>
      <c r="F353" s="114">
        <v>1704413.02</v>
      </c>
    </row>
    <row r="354" spans="1:6" s="113" customFormat="1" hidden="1" x14ac:dyDescent="0.6">
      <c r="A354" t="str">
        <f t="shared" si="2"/>
        <v>730</v>
      </c>
      <c r="B354" s="112">
        <v>1743000730</v>
      </c>
      <c r="C354" s="112" t="s">
        <v>367</v>
      </c>
      <c r="D354" s="111">
        <v>24000</v>
      </c>
      <c r="E354" s="114">
        <v>17209.64</v>
      </c>
      <c r="F354" s="114">
        <v>22112.639999999999</v>
      </c>
    </row>
    <row r="355" spans="1:6" s="113" customFormat="1" hidden="1" x14ac:dyDescent="0.6">
      <c r="A355" t="str">
        <f t="shared" si="2"/>
        <v>731</v>
      </c>
      <c r="B355" s="112">
        <v>1743000731</v>
      </c>
      <c r="C355" s="112" t="s">
        <v>368</v>
      </c>
      <c r="D355" s="111">
        <v>7200</v>
      </c>
      <c r="E355" s="114">
        <v>9152.59</v>
      </c>
      <c r="F355" s="114">
        <v>9487.66</v>
      </c>
    </row>
    <row r="356" spans="1:6" s="113" customFormat="1" hidden="1" x14ac:dyDescent="0.6">
      <c r="A356" t="str">
        <f t="shared" si="2"/>
        <v>750</v>
      </c>
      <c r="B356" s="112">
        <v>1743000750</v>
      </c>
      <c r="C356" s="112" t="s">
        <v>369</v>
      </c>
      <c r="D356" s="111">
        <v>130511</v>
      </c>
      <c r="E356" s="114">
        <v>63922.42</v>
      </c>
      <c r="F356" s="114">
        <v>228172.36</v>
      </c>
    </row>
    <row r="357" spans="1:6" s="113" customFormat="1" hidden="1" x14ac:dyDescent="0.6">
      <c r="A357" t="str">
        <f t="shared" si="2"/>
        <v>780</v>
      </c>
      <c r="B357" s="112">
        <v>1744000780</v>
      </c>
      <c r="C357" s="112" t="s">
        <v>370</v>
      </c>
      <c r="D357" s="111">
        <v>44000</v>
      </c>
      <c r="E357" s="114">
        <v>36976.300000000003</v>
      </c>
      <c r="F357" s="114">
        <v>42700.7</v>
      </c>
    </row>
    <row r="358" spans="1:6" s="113" customFormat="1" hidden="1" x14ac:dyDescent="0.6">
      <c r="A358" t="str">
        <f t="shared" si="2"/>
        <v>432</v>
      </c>
      <c r="B358" s="112">
        <v>1746000432</v>
      </c>
      <c r="C358" s="112" t="s">
        <v>253</v>
      </c>
      <c r="D358" s="111">
        <v>600000</v>
      </c>
      <c r="E358" s="114">
        <v>679288.8</v>
      </c>
      <c r="F358" s="114">
        <v>636732.72</v>
      </c>
    </row>
    <row r="359" spans="1:6" s="113" customFormat="1" hidden="1" x14ac:dyDescent="0.6">
      <c r="A359" t="str">
        <f t="shared" si="2"/>
        <v>531</v>
      </c>
      <c r="B359" s="112">
        <v>1746000531</v>
      </c>
      <c r="C359" s="112" t="s">
        <v>371</v>
      </c>
      <c r="D359" s="112"/>
      <c r="E359" s="114"/>
      <c r="F359" s="114">
        <v>1190.8900000000001</v>
      </c>
    </row>
    <row r="360" spans="1:6" s="113" customFormat="1" hidden="1" x14ac:dyDescent="0.6">
      <c r="A360" t="str">
        <f t="shared" si="2"/>
        <v>720</v>
      </c>
      <c r="B360" s="112">
        <v>1746000720</v>
      </c>
      <c r="C360" s="112" t="s">
        <v>372</v>
      </c>
      <c r="D360" s="111">
        <v>60000</v>
      </c>
      <c r="E360" s="114">
        <v>48829.8</v>
      </c>
      <c r="F360" s="114">
        <v>62304.6</v>
      </c>
    </row>
    <row r="361" spans="1:6" s="113" customFormat="1" hidden="1" x14ac:dyDescent="0.6">
      <c r="A361" t="str">
        <f t="shared" si="2"/>
        <v>730</v>
      </c>
      <c r="B361" s="112">
        <v>1746000730</v>
      </c>
      <c r="C361" s="112" t="s">
        <v>373</v>
      </c>
      <c r="D361" s="112"/>
      <c r="E361" s="114"/>
      <c r="F361" s="114">
        <v>7735.69</v>
      </c>
    </row>
    <row r="362" spans="1:6" s="113" customFormat="1" hidden="1" x14ac:dyDescent="0.6">
      <c r="A362" t="str">
        <f t="shared" si="2"/>
        <v>731</v>
      </c>
      <c r="B362" s="112">
        <v>1746000731</v>
      </c>
      <c r="C362" s="112" t="s">
        <v>374</v>
      </c>
      <c r="D362" s="111">
        <v>120000</v>
      </c>
      <c r="E362" s="114">
        <v>97517.31</v>
      </c>
      <c r="F362" s="114">
        <v>128643.15</v>
      </c>
    </row>
    <row r="363" spans="1:6" s="113" customFormat="1" hidden="1" x14ac:dyDescent="0.6">
      <c r="A363" t="str">
        <f t="shared" si="2"/>
        <v>750</v>
      </c>
      <c r="B363" s="112">
        <v>1746000750</v>
      </c>
      <c r="C363" s="112" t="s">
        <v>375</v>
      </c>
      <c r="D363" s="111">
        <v>195620</v>
      </c>
      <c r="E363" s="114">
        <v>144513</v>
      </c>
      <c r="F363" s="114">
        <v>129970</v>
      </c>
    </row>
    <row r="364" spans="1:6" s="113" customFormat="1" hidden="1" x14ac:dyDescent="0.6">
      <c r="A364" t="str">
        <f t="shared" si="2"/>
        <v>751</v>
      </c>
      <c r="B364" s="112">
        <v>1746000751</v>
      </c>
      <c r="C364" s="112" t="s">
        <v>376</v>
      </c>
      <c r="D364" s="111">
        <v>2256073.92</v>
      </c>
      <c r="E364" s="114">
        <v>2335803.17</v>
      </c>
      <c r="F364" s="114">
        <v>2733712.98</v>
      </c>
    </row>
    <row r="365" spans="1:6" s="113" customFormat="1" hidden="1" x14ac:dyDescent="0.6">
      <c r="A365" t="str">
        <f t="shared" si="2"/>
        <v>753</v>
      </c>
      <c r="B365" s="112">
        <v>1746000753</v>
      </c>
      <c r="C365" s="112" t="s">
        <v>377</v>
      </c>
      <c r="D365" s="111">
        <v>36000</v>
      </c>
      <c r="E365" s="114">
        <v>33765.550000000003</v>
      </c>
      <c r="F365" s="114">
        <v>10500</v>
      </c>
    </row>
    <row r="366" spans="1:6" s="113" customFormat="1" hidden="1" x14ac:dyDescent="0.6">
      <c r="A366" t="str">
        <f t="shared" si="2"/>
        <v>757</v>
      </c>
      <c r="B366" s="112">
        <v>1746000757</v>
      </c>
      <c r="C366" s="112" t="s">
        <v>378</v>
      </c>
      <c r="D366" s="111">
        <v>558693.96</v>
      </c>
      <c r="E366" s="114">
        <v>490266</v>
      </c>
      <c r="F366" s="114"/>
    </row>
    <row r="367" spans="1:6" s="113" customFormat="1" hidden="1" x14ac:dyDescent="0.6">
      <c r="A367" t="str">
        <f t="shared" si="2"/>
        <v>432</v>
      </c>
      <c r="B367" s="112">
        <v>1747300432</v>
      </c>
      <c r="C367" s="112" t="s">
        <v>379</v>
      </c>
      <c r="D367" s="112"/>
      <c r="E367" s="114"/>
      <c r="F367" s="114">
        <v>31777</v>
      </c>
    </row>
    <row r="368" spans="1:6" s="113" customFormat="1" hidden="1" x14ac:dyDescent="0.6">
      <c r="A368" t="str">
        <f t="shared" si="2"/>
        <v>780</v>
      </c>
      <c r="B368" s="112">
        <v>1752000780</v>
      </c>
      <c r="C368" s="112" t="s">
        <v>749</v>
      </c>
      <c r="D368" s="111">
        <v>700000</v>
      </c>
      <c r="E368" s="114">
        <v>767797.23</v>
      </c>
      <c r="F368" s="114">
        <v>928921.19</v>
      </c>
    </row>
    <row r="369" spans="1:6" s="113" customFormat="1" hidden="1" x14ac:dyDescent="0.6">
      <c r="A369" t="str">
        <f t="shared" si="2"/>
        <v>781</v>
      </c>
      <c r="B369" s="112">
        <v>1752000781</v>
      </c>
      <c r="C369" s="112" t="s">
        <v>380</v>
      </c>
      <c r="D369" s="111">
        <v>12240</v>
      </c>
      <c r="E369" s="114">
        <v>10643.2</v>
      </c>
      <c r="F369" s="114">
        <v>14760</v>
      </c>
    </row>
    <row r="370" spans="1:6" s="113" customFormat="1" hidden="1" x14ac:dyDescent="0.6">
      <c r="A370" t="str">
        <f t="shared" si="2"/>
        <v>782</v>
      </c>
      <c r="B370" s="112">
        <v>1752000782</v>
      </c>
      <c r="C370" s="112" t="s">
        <v>381</v>
      </c>
      <c r="D370" s="111">
        <v>42000</v>
      </c>
      <c r="E370" s="114">
        <v>38046.400000000001</v>
      </c>
      <c r="F370" s="114">
        <v>39302</v>
      </c>
    </row>
    <row r="371" spans="1:6" s="113" customFormat="1" hidden="1" x14ac:dyDescent="0.6">
      <c r="A371" t="str">
        <f t="shared" si="2"/>
        <v>780</v>
      </c>
      <c r="B371" s="112">
        <v>1765000780</v>
      </c>
      <c r="C371" s="112" t="s">
        <v>382</v>
      </c>
      <c r="D371" s="111">
        <v>101000</v>
      </c>
      <c r="E371" s="114">
        <v>550305</v>
      </c>
      <c r="F371" s="114">
        <v>60000</v>
      </c>
    </row>
    <row r="372" spans="1:6" s="113" customFormat="1" hidden="1" x14ac:dyDescent="0.6">
      <c r="A372" t="str">
        <f t="shared" si="2"/>
        <v>810</v>
      </c>
      <c r="B372" s="112">
        <v>1765000810</v>
      </c>
      <c r="C372" s="112" t="s">
        <v>383</v>
      </c>
      <c r="D372" s="111">
        <v>61000</v>
      </c>
      <c r="E372" s="114">
        <v>61030</v>
      </c>
      <c r="F372" s="114">
        <v>61020</v>
      </c>
    </row>
    <row r="373" spans="1:6" s="113" customFormat="1" hidden="1" x14ac:dyDescent="0.6">
      <c r="A373" t="str">
        <f t="shared" si="2"/>
        <v>812</v>
      </c>
      <c r="B373" s="112">
        <v>1765000812</v>
      </c>
      <c r="C373" s="112" t="s">
        <v>384</v>
      </c>
      <c r="D373" s="111">
        <v>54600</v>
      </c>
      <c r="E373" s="114">
        <v>-99.58</v>
      </c>
      <c r="F373" s="114">
        <v>30670</v>
      </c>
    </row>
    <row r="374" spans="1:6" s="113" customFormat="1" hidden="1" x14ac:dyDescent="0.6">
      <c r="A374" t="str">
        <f t="shared" si="2"/>
        <v>441</v>
      </c>
      <c r="B374" s="112">
        <v>1767000441</v>
      </c>
      <c r="C374" s="112" t="s">
        <v>385</v>
      </c>
      <c r="D374" s="111">
        <v>732425</v>
      </c>
      <c r="E374" s="114">
        <f>1149313-200000-250000</f>
        <v>699313</v>
      </c>
      <c r="F374" s="114">
        <v>732425</v>
      </c>
    </row>
    <row r="375" spans="1:6" s="113" customFormat="1" hidden="1" x14ac:dyDescent="0.6">
      <c r="A375" t="str">
        <f t="shared" si="2"/>
        <v>443</v>
      </c>
      <c r="B375" s="112">
        <v>1767000443</v>
      </c>
      <c r="C375" s="112" t="s">
        <v>386</v>
      </c>
      <c r="D375" s="111">
        <v>286000</v>
      </c>
      <c r="E375" s="114">
        <v>598369.15</v>
      </c>
      <c r="F375" s="114">
        <v>368743.32</v>
      </c>
    </row>
    <row r="376" spans="1:6" s="128" customFormat="1" x14ac:dyDescent="0.6">
      <c r="A376" s="128" t="str">
        <f t="shared" si="2"/>
        <v>110</v>
      </c>
      <c r="B376" s="129">
        <v>1772000110</v>
      </c>
      <c r="C376" s="129" t="s">
        <v>750</v>
      </c>
      <c r="D376" s="130">
        <v>140089.92000000001</v>
      </c>
      <c r="E376" s="131">
        <v>1109898.96</v>
      </c>
      <c r="F376" s="131">
        <v>192265.67</v>
      </c>
    </row>
    <row r="377" spans="1:6" s="113" customFormat="1" hidden="1" x14ac:dyDescent="0.6">
      <c r="A377" t="str">
        <f t="shared" si="2"/>
        <v>530</v>
      </c>
      <c r="B377" s="112">
        <v>1770000530</v>
      </c>
      <c r="C377" s="112" t="s">
        <v>389</v>
      </c>
      <c r="D377" s="111">
        <v>77448</v>
      </c>
      <c r="E377" s="114">
        <v>66365.5</v>
      </c>
      <c r="F377" s="114"/>
    </row>
    <row r="378" spans="1:6" s="113" customFormat="1" hidden="1" x14ac:dyDescent="0.6">
      <c r="A378" t="str">
        <f t="shared" si="2"/>
        <v>531</v>
      </c>
      <c r="B378" s="112">
        <v>1770000531</v>
      </c>
      <c r="C378" s="112" t="s">
        <v>390</v>
      </c>
      <c r="D378" s="111">
        <v>46848</v>
      </c>
      <c r="E378" s="114">
        <v>26335.26</v>
      </c>
      <c r="F378" s="114"/>
    </row>
    <row r="379" spans="1:6" s="113" customFormat="1" hidden="1" x14ac:dyDescent="0.6">
      <c r="A379" t="str">
        <f t="shared" si="2"/>
        <v>780</v>
      </c>
      <c r="B379" s="112">
        <v>1770000780</v>
      </c>
      <c r="C379" s="112" t="s">
        <v>391</v>
      </c>
      <c r="D379" s="111">
        <v>70000</v>
      </c>
      <c r="E379" s="114">
        <v>42748.43</v>
      </c>
      <c r="F379" s="114">
        <v>201342.29</v>
      </c>
    </row>
    <row r="380" spans="1:6" s="113" customFormat="1" hidden="1" x14ac:dyDescent="0.6">
      <c r="A380" s="113" t="str">
        <f t="shared" si="2"/>
        <v>110</v>
      </c>
      <c r="B380" s="112">
        <v>1772200110</v>
      </c>
      <c r="C380" s="112" t="s">
        <v>396</v>
      </c>
      <c r="D380" s="111">
        <v>983266.13</v>
      </c>
      <c r="E380" s="114">
        <v>216876.08</v>
      </c>
      <c r="F380" s="114">
        <v>580173.28</v>
      </c>
    </row>
    <row r="381" spans="1:6" s="113" customFormat="1" hidden="1" x14ac:dyDescent="0.6">
      <c r="A381" t="str">
        <f t="shared" si="2"/>
        <v>530</v>
      </c>
      <c r="B381" s="112">
        <v>1772000530</v>
      </c>
      <c r="C381" s="112" t="s">
        <v>393</v>
      </c>
      <c r="D381" s="111">
        <v>104200</v>
      </c>
      <c r="E381" s="114">
        <v>82679.56</v>
      </c>
      <c r="F381" s="114">
        <v>26663.64</v>
      </c>
    </row>
    <row r="382" spans="1:6" s="113" customFormat="1" hidden="1" x14ac:dyDescent="0.6">
      <c r="A382" t="str">
        <f t="shared" si="2"/>
        <v>780</v>
      </c>
      <c r="B382" s="112">
        <v>1772000780</v>
      </c>
      <c r="C382" s="112" t="s">
        <v>78</v>
      </c>
      <c r="D382" s="111">
        <v>618334</v>
      </c>
      <c r="E382" s="114">
        <v>584885.62</v>
      </c>
      <c r="F382" s="114">
        <v>422265.29</v>
      </c>
    </row>
    <row r="383" spans="1:6" s="113" customFormat="1" hidden="1" x14ac:dyDescent="0.6">
      <c r="A383" t="str">
        <f t="shared" si="2"/>
        <v>781</v>
      </c>
      <c r="B383" s="112">
        <v>1772000781</v>
      </c>
      <c r="C383" s="112" t="s">
        <v>394</v>
      </c>
      <c r="D383" s="111">
        <v>105492</v>
      </c>
      <c r="E383" s="114">
        <v>58020.93</v>
      </c>
      <c r="F383" s="114">
        <v>63877.440000000002</v>
      </c>
    </row>
    <row r="384" spans="1:6" s="113" customFormat="1" hidden="1" x14ac:dyDescent="0.6">
      <c r="A384" t="str">
        <f t="shared" si="2"/>
        <v>782</v>
      </c>
      <c r="B384" s="112">
        <v>1772000782</v>
      </c>
      <c r="C384" s="112" t="s">
        <v>395</v>
      </c>
      <c r="D384" s="111">
        <v>10000</v>
      </c>
      <c r="E384" s="114">
        <v>4939.03</v>
      </c>
      <c r="F384" s="114">
        <v>36940.35</v>
      </c>
    </row>
    <row r="385" spans="1:6" s="113" customFormat="1" hidden="1" x14ac:dyDescent="0.6">
      <c r="A385" s="113" t="str">
        <f t="shared" si="2"/>
        <v>110</v>
      </c>
      <c r="B385" s="112">
        <v>1781000110</v>
      </c>
      <c r="C385" s="112" t="s">
        <v>397</v>
      </c>
      <c r="D385" s="111">
        <v>834258.16</v>
      </c>
      <c r="E385" s="114">
        <v>838925.6</v>
      </c>
      <c r="F385" s="114">
        <v>1077356.77</v>
      </c>
    </row>
    <row r="386" spans="1:6" s="113" customFormat="1" hidden="1" x14ac:dyDescent="0.6">
      <c r="A386" s="113" t="str">
        <f t="shared" si="2"/>
        <v>110</v>
      </c>
      <c r="B386" s="112">
        <v>1811000110</v>
      </c>
      <c r="C386" s="112" t="s">
        <v>400</v>
      </c>
      <c r="D386" s="111">
        <v>1536583.92</v>
      </c>
      <c r="E386" s="114">
        <v>1456380.31</v>
      </c>
      <c r="F386" s="114">
        <v>1509687.31</v>
      </c>
    </row>
    <row r="387" spans="1:6" s="113" customFormat="1" hidden="1" x14ac:dyDescent="0.6">
      <c r="A387" t="str">
        <f t="shared" si="2"/>
        <v>750</v>
      </c>
      <c r="B387" s="112">
        <v>1781000750</v>
      </c>
      <c r="C387" s="112" t="s">
        <v>398</v>
      </c>
      <c r="D387" s="111">
        <v>1500000</v>
      </c>
      <c r="E387" s="114">
        <v>1487400.13</v>
      </c>
      <c r="F387" s="114">
        <v>1576283.75</v>
      </c>
    </row>
    <row r="388" spans="1:6" s="113" customFormat="1" hidden="1" x14ac:dyDescent="0.6">
      <c r="A388" t="str">
        <f t="shared" si="2"/>
        <v>780</v>
      </c>
      <c r="B388" s="112">
        <v>1781000780</v>
      </c>
      <c r="C388" s="112" t="s">
        <v>399</v>
      </c>
      <c r="D388" s="111">
        <v>25000</v>
      </c>
      <c r="E388" s="114">
        <v>14601.84</v>
      </c>
      <c r="F388" s="114">
        <v>15615.99</v>
      </c>
    </row>
    <row r="389" spans="1:6" s="128" customFormat="1" x14ac:dyDescent="0.6">
      <c r="A389" s="128" t="str">
        <f t="shared" si="2"/>
        <v>110</v>
      </c>
      <c r="B389" s="129">
        <v>1812100110</v>
      </c>
      <c r="C389" s="129" t="s">
        <v>415</v>
      </c>
      <c r="D389" s="130">
        <v>183552.59</v>
      </c>
      <c r="E389" s="131">
        <v>171520.99</v>
      </c>
      <c r="F389" s="131">
        <v>215556.68</v>
      </c>
    </row>
    <row r="390" spans="1:6" s="113" customFormat="1" hidden="1" x14ac:dyDescent="0.6">
      <c r="A390" s="113" t="str">
        <f t="shared" si="2"/>
        <v>411</v>
      </c>
      <c r="B390" s="112">
        <v>1811000411</v>
      </c>
      <c r="C390" s="112" t="s">
        <v>401</v>
      </c>
      <c r="D390" s="111">
        <v>80000</v>
      </c>
      <c r="E390" s="114">
        <v>83751.64</v>
      </c>
      <c r="F390" s="114">
        <v>52011.519999999997</v>
      </c>
    </row>
    <row r="391" spans="1:6" s="113" customFormat="1" hidden="1" x14ac:dyDescent="0.6">
      <c r="A391" s="113" t="str">
        <f t="shared" si="2"/>
        <v>420</v>
      </c>
      <c r="B391" s="112">
        <v>1811000420</v>
      </c>
      <c r="C391" s="112" t="s">
        <v>402</v>
      </c>
      <c r="D391" s="111">
        <v>90000</v>
      </c>
      <c r="E391" s="114">
        <v>84565.48</v>
      </c>
      <c r="F391" s="114">
        <v>61889.43</v>
      </c>
    </row>
    <row r="392" spans="1:6" s="113" customFormat="1" hidden="1" x14ac:dyDescent="0.6">
      <c r="A392" s="113" t="str">
        <f t="shared" si="2"/>
        <v>440</v>
      </c>
      <c r="B392" s="112">
        <v>1811000440</v>
      </c>
      <c r="C392" s="112" t="s">
        <v>403</v>
      </c>
      <c r="D392" s="111">
        <v>170000</v>
      </c>
      <c r="E392" s="114">
        <v>153419</v>
      </c>
      <c r="F392" s="114">
        <v>217314.8</v>
      </c>
    </row>
    <row r="393" spans="1:6" s="113" customFormat="1" hidden="1" x14ac:dyDescent="0.6">
      <c r="A393" s="113" t="str">
        <f t="shared" si="2"/>
        <v>444</v>
      </c>
      <c r="B393" s="112">
        <v>1811000444</v>
      </c>
      <c r="C393" s="112" t="s">
        <v>404</v>
      </c>
      <c r="D393" s="111">
        <v>180000</v>
      </c>
      <c r="E393" s="114">
        <v>164797.13</v>
      </c>
      <c r="F393" s="114">
        <v>188429.03</v>
      </c>
    </row>
    <row r="394" spans="1:6" s="113" customFormat="1" hidden="1" x14ac:dyDescent="0.6">
      <c r="A394" s="113" t="str">
        <f t="shared" si="2"/>
        <v>540</v>
      </c>
      <c r="B394" s="112">
        <v>1811000540</v>
      </c>
      <c r="C394" s="112" t="s">
        <v>405</v>
      </c>
      <c r="D394" s="111">
        <v>2000</v>
      </c>
      <c r="E394" s="114"/>
      <c r="F394" s="114">
        <v>2756.38</v>
      </c>
    </row>
    <row r="395" spans="1:6" s="113" customFormat="1" hidden="1" x14ac:dyDescent="0.6">
      <c r="A395" s="113" t="str">
        <f t="shared" si="2"/>
        <v>750</v>
      </c>
      <c r="B395" s="112">
        <v>1811000750</v>
      </c>
      <c r="C395" s="112" t="s">
        <v>406</v>
      </c>
      <c r="D395" s="111">
        <v>200000</v>
      </c>
      <c r="E395" s="114">
        <v>176458.01</v>
      </c>
      <c r="F395" s="114">
        <v>221417.25</v>
      </c>
    </row>
    <row r="396" spans="1:6" s="113" customFormat="1" hidden="1" x14ac:dyDescent="0.6">
      <c r="A396" s="113" t="str">
        <f t="shared" si="2"/>
        <v>751</v>
      </c>
      <c r="B396" s="112">
        <v>1811000751</v>
      </c>
      <c r="C396" s="112" t="s">
        <v>407</v>
      </c>
      <c r="D396" s="111">
        <v>150000</v>
      </c>
      <c r="E396" s="114">
        <v>225358.75</v>
      </c>
      <c r="F396" s="114">
        <v>144340.56</v>
      </c>
    </row>
    <row r="397" spans="1:6" s="113" customFormat="1" hidden="1" x14ac:dyDescent="0.6">
      <c r="A397" s="113" t="str">
        <f t="shared" si="2"/>
        <v>752</v>
      </c>
      <c r="B397" s="112">
        <v>1811000752</v>
      </c>
      <c r="C397" s="112" t="s">
        <v>408</v>
      </c>
      <c r="D397" s="111">
        <v>70000</v>
      </c>
      <c r="E397" s="114">
        <v>107767.14</v>
      </c>
      <c r="F397" s="114">
        <v>-508</v>
      </c>
    </row>
    <row r="398" spans="1:6" s="113" customFormat="1" hidden="1" x14ac:dyDescent="0.6">
      <c r="A398" s="113" t="str">
        <f t="shared" si="2"/>
        <v>753</v>
      </c>
      <c r="B398" s="112">
        <v>1811000753</v>
      </c>
      <c r="C398" s="112" t="s">
        <v>409</v>
      </c>
      <c r="D398" s="111">
        <v>685000</v>
      </c>
      <c r="E398" s="114">
        <v>792819.78</v>
      </c>
      <c r="F398" s="114">
        <v>684043.07</v>
      </c>
    </row>
    <row r="399" spans="1:6" s="113" customFormat="1" hidden="1" x14ac:dyDescent="0.6">
      <c r="A399" s="113" t="str">
        <f t="shared" si="2"/>
        <v>770</v>
      </c>
      <c r="B399" s="112">
        <v>1811000770</v>
      </c>
      <c r="C399" s="112" t="s">
        <v>410</v>
      </c>
      <c r="D399" s="111">
        <v>2490000</v>
      </c>
      <c r="E399" s="114">
        <v>3038638.77</v>
      </c>
      <c r="F399" s="114">
        <v>2486112.98</v>
      </c>
    </row>
    <row r="400" spans="1:6" s="113" customFormat="1" hidden="1" x14ac:dyDescent="0.6">
      <c r="A400" s="113" t="str">
        <f t="shared" si="2"/>
        <v>771</v>
      </c>
      <c r="B400" s="112">
        <v>1811000771</v>
      </c>
      <c r="C400" s="112" t="s">
        <v>84</v>
      </c>
      <c r="D400" s="111">
        <v>950000</v>
      </c>
      <c r="E400" s="114">
        <v>870067.74</v>
      </c>
      <c r="F400" s="114">
        <v>876717.1</v>
      </c>
    </row>
    <row r="401" spans="1:6" s="113" customFormat="1" hidden="1" x14ac:dyDescent="0.6">
      <c r="A401" s="113" t="str">
        <f t="shared" si="2"/>
        <v>780</v>
      </c>
      <c r="B401" s="112">
        <v>1811000780</v>
      </c>
      <c r="C401" s="112" t="s">
        <v>411</v>
      </c>
      <c r="D401" s="111">
        <v>100000</v>
      </c>
      <c r="E401" s="114">
        <v>85170.5</v>
      </c>
      <c r="F401" s="114">
        <v>96336</v>
      </c>
    </row>
    <row r="402" spans="1:6" s="113" customFormat="1" hidden="1" x14ac:dyDescent="0.6">
      <c r="A402" s="113" t="str">
        <f t="shared" si="2"/>
        <v>781</v>
      </c>
      <c r="B402" s="112">
        <v>1811000781</v>
      </c>
      <c r="C402" s="112" t="s">
        <v>412</v>
      </c>
      <c r="D402" s="111">
        <v>180000</v>
      </c>
      <c r="E402" s="114">
        <v>115374</v>
      </c>
      <c r="F402" s="114">
        <v>118557</v>
      </c>
    </row>
    <row r="403" spans="1:6" s="113" customFormat="1" hidden="1" x14ac:dyDescent="0.6">
      <c r="A403" s="113" t="str">
        <f t="shared" si="2"/>
        <v>783</v>
      </c>
      <c r="B403" s="112">
        <v>1811000783</v>
      </c>
      <c r="C403" s="112" t="s">
        <v>413</v>
      </c>
      <c r="D403" s="111">
        <v>10000</v>
      </c>
      <c r="E403" s="114">
        <v>28000</v>
      </c>
      <c r="F403" s="114">
        <v>10000</v>
      </c>
    </row>
    <row r="404" spans="1:6" s="113" customFormat="1" hidden="1" x14ac:dyDescent="0.6">
      <c r="A404" s="113" t="str">
        <f t="shared" si="2"/>
        <v>785</v>
      </c>
      <c r="B404" s="112">
        <v>1811000785</v>
      </c>
      <c r="C404" s="112" t="s">
        <v>414</v>
      </c>
      <c r="D404" s="111">
        <v>534851.31000000006</v>
      </c>
      <c r="E404" s="114">
        <v>639850.18000000005</v>
      </c>
      <c r="F404" s="114">
        <v>660771.81999999995</v>
      </c>
    </row>
    <row r="405" spans="1:6" s="113" customFormat="1" hidden="1" x14ac:dyDescent="0.6">
      <c r="A405" s="113" t="str">
        <f t="shared" si="2"/>
        <v>110</v>
      </c>
      <c r="B405" s="112">
        <v>1812200110</v>
      </c>
      <c r="C405" s="112" t="s">
        <v>416</v>
      </c>
      <c r="D405" s="111">
        <v>7400306.5999999996</v>
      </c>
      <c r="E405" s="114">
        <v>6873761.5700000003</v>
      </c>
      <c r="F405" s="114">
        <v>7304337.04</v>
      </c>
    </row>
    <row r="406" spans="1:6" s="113" customFormat="1" hidden="1" x14ac:dyDescent="0.6">
      <c r="A406" s="113" t="str">
        <f t="shared" si="2"/>
        <v>110</v>
      </c>
      <c r="B406" s="112">
        <v>1812300110</v>
      </c>
      <c r="C406" s="112" t="s">
        <v>424</v>
      </c>
      <c r="D406" s="111">
        <v>1861406.7</v>
      </c>
      <c r="E406" s="114">
        <v>2379097.56</v>
      </c>
      <c r="F406" s="114">
        <v>1868087.2</v>
      </c>
    </row>
    <row r="407" spans="1:6" s="113" customFormat="1" hidden="1" x14ac:dyDescent="0.6">
      <c r="A407" s="113" t="str">
        <f t="shared" si="2"/>
        <v>431</v>
      </c>
      <c r="B407" s="112">
        <v>1812200431</v>
      </c>
      <c r="C407" s="112" t="s">
        <v>417</v>
      </c>
      <c r="D407" s="111">
        <v>266709.99</v>
      </c>
      <c r="E407" s="114">
        <v>272992.24</v>
      </c>
      <c r="F407" s="114">
        <v>275530.68</v>
      </c>
    </row>
    <row r="408" spans="1:6" s="113" customFormat="1" hidden="1" x14ac:dyDescent="0.6">
      <c r="A408" s="113" t="str">
        <f t="shared" si="2"/>
        <v>432</v>
      </c>
      <c r="B408" s="112">
        <v>1812200432</v>
      </c>
      <c r="C408" s="112" t="s">
        <v>418</v>
      </c>
      <c r="D408" s="111">
        <v>198769.23</v>
      </c>
      <c r="E408" s="114">
        <v>181954.89</v>
      </c>
      <c r="F408" s="114">
        <v>153952.76</v>
      </c>
    </row>
    <row r="409" spans="1:6" s="113" customFormat="1" hidden="1" x14ac:dyDescent="0.6">
      <c r="A409" s="113" t="str">
        <f t="shared" si="2"/>
        <v>540</v>
      </c>
      <c r="B409" s="112">
        <v>1812200540</v>
      </c>
      <c r="C409" s="112" t="s">
        <v>419</v>
      </c>
      <c r="D409" s="111">
        <v>46282.05</v>
      </c>
      <c r="E409" s="114"/>
      <c r="F409" s="114">
        <v>72502.75</v>
      </c>
    </row>
    <row r="410" spans="1:6" s="113" customFormat="1" hidden="1" x14ac:dyDescent="0.6">
      <c r="A410" s="113" t="str">
        <f t="shared" si="2"/>
        <v>750</v>
      </c>
      <c r="B410" s="112">
        <v>1812200750</v>
      </c>
      <c r="C410" s="112" t="s">
        <v>420</v>
      </c>
      <c r="D410" s="111">
        <v>400000</v>
      </c>
      <c r="E410" s="114">
        <v>378067.20000000001</v>
      </c>
      <c r="F410" s="114"/>
    </row>
    <row r="411" spans="1:6" s="113" customFormat="1" hidden="1" x14ac:dyDescent="0.6">
      <c r="A411" s="113" t="str">
        <f t="shared" si="2"/>
        <v>751</v>
      </c>
      <c r="B411" s="112">
        <v>1812200751</v>
      </c>
      <c r="C411" s="112" t="s">
        <v>421</v>
      </c>
      <c r="D411" s="111">
        <v>1526000</v>
      </c>
      <c r="E411" s="114">
        <v>1415800.06</v>
      </c>
      <c r="F411" s="114">
        <v>1842065.67</v>
      </c>
    </row>
    <row r="412" spans="1:6" s="113" customFormat="1" hidden="1" x14ac:dyDescent="0.6">
      <c r="A412" s="113" t="str">
        <f t="shared" si="2"/>
        <v>770</v>
      </c>
      <c r="B412" s="112">
        <v>1812200770</v>
      </c>
      <c r="C412" s="112" t="s">
        <v>422</v>
      </c>
      <c r="D412" s="111">
        <v>5202877.5</v>
      </c>
      <c r="E412" s="114">
        <v>6616594.3600000003</v>
      </c>
      <c r="F412" s="114">
        <v>6451785.7300000004</v>
      </c>
    </row>
    <row r="413" spans="1:6" s="113" customFormat="1" hidden="1" x14ac:dyDescent="0.6">
      <c r="A413" s="113" t="str">
        <f t="shared" ref="A413:A476" si="3">RIGHT(B413,3)</f>
        <v>780</v>
      </c>
      <c r="B413" s="112">
        <v>1812200780</v>
      </c>
      <c r="C413" s="112" t="s">
        <v>423</v>
      </c>
      <c r="D413" s="111">
        <v>193589.74</v>
      </c>
      <c r="E413" s="114">
        <v>235267.71</v>
      </c>
      <c r="F413" s="114">
        <v>262867.62</v>
      </c>
    </row>
    <row r="414" spans="1:6" s="113" customFormat="1" hidden="1" x14ac:dyDescent="0.6">
      <c r="A414" s="113" t="str">
        <f t="shared" si="3"/>
        <v>110</v>
      </c>
      <c r="B414" s="112">
        <v>1812310110</v>
      </c>
      <c r="C414" s="112" t="s">
        <v>426</v>
      </c>
      <c r="D414" s="111">
        <v>13395.05</v>
      </c>
      <c r="E414" s="114"/>
      <c r="F414" s="114"/>
    </row>
    <row r="415" spans="1:6" s="113" customFormat="1" hidden="1" x14ac:dyDescent="0.6">
      <c r="A415" s="113" t="str">
        <f t="shared" si="3"/>
        <v>780</v>
      </c>
      <c r="B415" s="112">
        <v>1812300780</v>
      </c>
      <c r="C415" s="112" t="s">
        <v>425</v>
      </c>
      <c r="D415" s="111">
        <v>428106.2</v>
      </c>
      <c r="E415" s="114">
        <v>438325</v>
      </c>
      <c r="F415" s="114">
        <v>449299.17</v>
      </c>
    </row>
    <row r="416" spans="1:6" s="113" customFormat="1" hidden="1" x14ac:dyDescent="0.6">
      <c r="A416" s="113" t="str">
        <f t="shared" si="3"/>
        <v>110</v>
      </c>
      <c r="B416" s="112">
        <v>1812400110</v>
      </c>
      <c r="C416" s="112" t="s">
        <v>427</v>
      </c>
      <c r="D416" s="111">
        <v>314398.69</v>
      </c>
      <c r="E416" s="114">
        <v>314671.15999999997</v>
      </c>
      <c r="F416" s="114">
        <v>310271.38</v>
      </c>
    </row>
    <row r="417" spans="1:6" s="113" customFormat="1" hidden="1" x14ac:dyDescent="0.6">
      <c r="A417" s="113" t="str">
        <f t="shared" si="3"/>
        <v>110</v>
      </c>
      <c r="B417" s="112">
        <v>1813200110</v>
      </c>
      <c r="C417" s="112" t="s">
        <v>430</v>
      </c>
      <c r="D417" s="111">
        <v>2320.0500000000002</v>
      </c>
      <c r="E417" s="114">
        <v>4078.84</v>
      </c>
      <c r="F417" s="114">
        <v>2908.4</v>
      </c>
    </row>
    <row r="418" spans="1:6" s="113" customFormat="1" hidden="1" x14ac:dyDescent="0.6">
      <c r="A418" s="113" t="str">
        <f t="shared" si="3"/>
        <v>780</v>
      </c>
      <c r="B418" s="112">
        <v>1812400780</v>
      </c>
      <c r="C418" s="112" t="s">
        <v>428</v>
      </c>
      <c r="D418" s="111">
        <v>100000</v>
      </c>
      <c r="E418" s="114">
        <v>142034.81</v>
      </c>
      <c r="F418" s="114">
        <v>137563.46</v>
      </c>
    </row>
    <row r="419" spans="1:6" s="113" customFormat="1" hidden="1" x14ac:dyDescent="0.6">
      <c r="A419" s="113" t="str">
        <f t="shared" si="3"/>
        <v>431</v>
      </c>
      <c r="B419" s="112">
        <v>1812600431</v>
      </c>
      <c r="C419" s="112" t="s">
        <v>429</v>
      </c>
      <c r="D419" s="111">
        <v>15456.92</v>
      </c>
      <c r="E419" s="114">
        <v>19774</v>
      </c>
      <c r="F419" s="114">
        <v>14803.76</v>
      </c>
    </row>
    <row r="420" spans="1:6" s="113" customFormat="1" hidden="1" x14ac:dyDescent="0.6">
      <c r="A420" s="113" t="str">
        <f t="shared" si="3"/>
        <v>110</v>
      </c>
      <c r="B420" s="112">
        <v>1813210110</v>
      </c>
      <c r="C420" s="112" t="s">
        <v>434</v>
      </c>
      <c r="D420" s="111">
        <v>714582.5</v>
      </c>
      <c r="E420" s="114">
        <v>818081.47</v>
      </c>
      <c r="F420" s="114">
        <v>736260.08</v>
      </c>
    </row>
    <row r="421" spans="1:6" s="113" customFormat="1" hidden="1" x14ac:dyDescent="0.6">
      <c r="A421" s="113" t="str">
        <f t="shared" si="3"/>
        <v>750</v>
      </c>
      <c r="B421" s="112">
        <v>1813200750</v>
      </c>
      <c r="C421" s="112" t="s">
        <v>431</v>
      </c>
      <c r="D421" s="111">
        <v>548800</v>
      </c>
      <c r="E421" s="114">
        <v>662701.11</v>
      </c>
      <c r="F421" s="114">
        <v>609710.71</v>
      </c>
    </row>
    <row r="422" spans="1:6" s="113" customFormat="1" hidden="1" x14ac:dyDescent="0.6">
      <c r="A422" s="113" t="str">
        <f t="shared" si="3"/>
        <v>751</v>
      </c>
      <c r="B422" s="112">
        <v>1813200751</v>
      </c>
      <c r="C422" s="112" t="s">
        <v>432</v>
      </c>
      <c r="D422" s="111">
        <v>989400</v>
      </c>
      <c r="E422" s="114">
        <v>1034459.63</v>
      </c>
      <c r="F422" s="114">
        <v>964167.65</v>
      </c>
    </row>
    <row r="423" spans="1:6" s="113" customFormat="1" hidden="1" x14ac:dyDescent="0.6">
      <c r="A423" s="113" t="str">
        <f t="shared" si="3"/>
        <v>780</v>
      </c>
      <c r="B423" s="112">
        <v>1813200780</v>
      </c>
      <c r="C423" s="112" t="s">
        <v>433</v>
      </c>
      <c r="D423" s="111">
        <v>29232</v>
      </c>
      <c r="E423" s="114"/>
      <c r="F423" s="114"/>
    </row>
    <row r="424" spans="1:6" s="113" customFormat="1" hidden="1" x14ac:dyDescent="0.6">
      <c r="A424" s="113" t="str">
        <f t="shared" si="3"/>
        <v>110</v>
      </c>
      <c r="B424" s="112">
        <v>1813220110</v>
      </c>
      <c r="C424" s="112" t="s">
        <v>438</v>
      </c>
      <c r="D424" s="111">
        <v>853375.05</v>
      </c>
      <c r="E424" s="114">
        <v>1159138.8700000001</v>
      </c>
      <c r="F424" s="114">
        <v>992258.17</v>
      </c>
    </row>
    <row r="425" spans="1:6" s="113" customFormat="1" hidden="1" x14ac:dyDescent="0.6">
      <c r="A425" s="113" t="str">
        <f t="shared" si="3"/>
        <v>432</v>
      </c>
      <c r="B425" s="112">
        <v>1813210432</v>
      </c>
      <c r="C425" s="112" t="s">
        <v>436</v>
      </c>
      <c r="D425" s="111">
        <v>3400</v>
      </c>
      <c r="E425" s="114"/>
      <c r="F425" s="114">
        <v>5185.4399999999996</v>
      </c>
    </row>
    <row r="426" spans="1:6" s="113" customFormat="1" hidden="1" x14ac:dyDescent="0.6">
      <c r="A426" s="113" t="str">
        <f t="shared" si="3"/>
        <v>780</v>
      </c>
      <c r="B426" s="112">
        <v>1813210780</v>
      </c>
      <c r="C426" s="112" t="s">
        <v>437</v>
      </c>
      <c r="D426" s="111">
        <v>90970</v>
      </c>
      <c r="E426" s="114">
        <v>92897</v>
      </c>
      <c r="F426" s="114">
        <v>89298</v>
      </c>
    </row>
    <row r="427" spans="1:6" s="113" customFormat="1" hidden="1" x14ac:dyDescent="0.6">
      <c r="A427" s="113" t="str">
        <f t="shared" si="3"/>
        <v>110</v>
      </c>
      <c r="B427" s="112">
        <v>1813230110</v>
      </c>
      <c r="C427" s="112" t="s">
        <v>441</v>
      </c>
      <c r="D427" s="111">
        <v>535522.37</v>
      </c>
      <c r="E427" s="114">
        <v>649920.37</v>
      </c>
      <c r="F427" s="114">
        <v>605522.46</v>
      </c>
    </row>
    <row r="428" spans="1:6" s="113" customFormat="1" hidden="1" x14ac:dyDescent="0.6">
      <c r="A428" s="113" t="str">
        <f t="shared" si="3"/>
        <v>780</v>
      </c>
      <c r="B428" s="112">
        <v>1813220780</v>
      </c>
      <c r="C428" s="112" t="s">
        <v>440</v>
      </c>
      <c r="D428" s="111">
        <v>234041</v>
      </c>
      <c r="E428" s="114">
        <v>228878</v>
      </c>
      <c r="F428" s="114">
        <v>226423</v>
      </c>
    </row>
    <row r="429" spans="1:6" s="113" customFormat="1" hidden="1" x14ac:dyDescent="0.6">
      <c r="A429" s="113" t="str">
        <f t="shared" si="3"/>
        <v>110</v>
      </c>
      <c r="B429" s="112">
        <v>1813240110</v>
      </c>
      <c r="C429" s="112" t="s">
        <v>444</v>
      </c>
      <c r="D429" s="111">
        <v>958898.79</v>
      </c>
      <c r="E429" s="114">
        <v>1056635.02</v>
      </c>
      <c r="F429" s="114">
        <v>1011861.34</v>
      </c>
    </row>
    <row r="430" spans="1:6" s="113" customFormat="1" hidden="1" x14ac:dyDescent="0.6">
      <c r="A430" s="113" t="str">
        <f t="shared" si="3"/>
        <v>431</v>
      </c>
      <c r="B430" s="112">
        <v>1813230431</v>
      </c>
      <c r="C430" s="112" t="s">
        <v>442</v>
      </c>
      <c r="D430" s="112">
        <v>151.86000000000001</v>
      </c>
      <c r="E430" s="114">
        <v>384.61</v>
      </c>
      <c r="F430" s="114">
        <v>195.98</v>
      </c>
    </row>
    <row r="431" spans="1:6" s="113" customFormat="1" hidden="1" x14ac:dyDescent="0.6">
      <c r="A431" s="113" t="str">
        <f t="shared" si="3"/>
        <v>780</v>
      </c>
      <c r="B431" s="112">
        <v>1813230780</v>
      </c>
      <c r="C431" s="112" t="s">
        <v>443</v>
      </c>
      <c r="D431" s="111">
        <v>277095</v>
      </c>
      <c r="E431" s="114">
        <v>288767.71999999997</v>
      </c>
      <c r="F431" s="114">
        <v>265623.5</v>
      </c>
    </row>
    <row r="432" spans="1:6" s="113" customFormat="1" hidden="1" x14ac:dyDescent="0.6">
      <c r="A432" s="113" t="str">
        <f t="shared" si="3"/>
        <v>110</v>
      </c>
      <c r="B432" s="112">
        <v>1813250110</v>
      </c>
      <c r="C432" s="112" t="s">
        <v>448</v>
      </c>
      <c r="D432" s="111">
        <v>934376.36</v>
      </c>
      <c r="E432" s="114">
        <v>869585.53</v>
      </c>
      <c r="F432" s="114">
        <v>965144.82</v>
      </c>
    </row>
    <row r="433" spans="1:6" s="113" customFormat="1" hidden="1" x14ac:dyDescent="0.6">
      <c r="A433" s="113" t="str">
        <f t="shared" si="3"/>
        <v>432</v>
      </c>
      <c r="B433" s="112">
        <v>1813240432</v>
      </c>
      <c r="C433" s="112" t="s">
        <v>446</v>
      </c>
      <c r="D433" s="112"/>
      <c r="E433" s="114"/>
      <c r="F433" s="114">
        <v>36.4</v>
      </c>
    </row>
    <row r="434" spans="1:6" s="113" customFormat="1" hidden="1" x14ac:dyDescent="0.6">
      <c r="A434" s="113" t="str">
        <f t="shared" si="3"/>
        <v>780</v>
      </c>
      <c r="B434" s="112">
        <v>1813240780</v>
      </c>
      <c r="C434" s="112" t="s">
        <v>447</v>
      </c>
      <c r="D434" s="111">
        <v>230733</v>
      </c>
      <c r="E434" s="114">
        <v>233393</v>
      </c>
      <c r="F434" s="114">
        <v>228390</v>
      </c>
    </row>
    <row r="435" spans="1:6" s="113" customFormat="1" hidden="1" x14ac:dyDescent="0.6">
      <c r="A435" s="113" t="str">
        <f t="shared" si="3"/>
        <v>110</v>
      </c>
      <c r="B435" s="112">
        <v>1813260110</v>
      </c>
      <c r="C435" s="112" t="s">
        <v>452</v>
      </c>
      <c r="D435" s="111">
        <v>435075.15</v>
      </c>
      <c r="E435" s="114">
        <v>395526.31</v>
      </c>
      <c r="F435" s="114">
        <v>471899.01</v>
      </c>
    </row>
    <row r="436" spans="1:6" s="113" customFormat="1" hidden="1" x14ac:dyDescent="0.6">
      <c r="A436" s="113" t="str">
        <f t="shared" si="3"/>
        <v>780</v>
      </c>
      <c r="B436" s="112">
        <v>1813250780</v>
      </c>
      <c r="C436" s="112" t="s">
        <v>451</v>
      </c>
      <c r="D436" s="111">
        <v>215020</v>
      </c>
      <c r="E436" s="114">
        <v>216794</v>
      </c>
      <c r="F436" s="114">
        <v>198642</v>
      </c>
    </row>
    <row r="437" spans="1:6" s="113" customFormat="1" hidden="1" x14ac:dyDescent="0.6">
      <c r="A437" s="113" t="str">
        <f t="shared" si="3"/>
        <v>110</v>
      </c>
      <c r="B437" s="112">
        <v>1813270110</v>
      </c>
      <c r="C437" s="112" t="s">
        <v>457</v>
      </c>
      <c r="D437" s="111">
        <v>875770.48</v>
      </c>
      <c r="E437" s="114">
        <v>957456.49</v>
      </c>
      <c r="F437" s="114">
        <v>930789.56</v>
      </c>
    </row>
    <row r="438" spans="1:6" s="113" customFormat="1" hidden="1" x14ac:dyDescent="0.6">
      <c r="A438" s="113" t="str">
        <f t="shared" si="3"/>
        <v>780</v>
      </c>
      <c r="B438" s="112">
        <v>1813260780</v>
      </c>
      <c r="C438" s="112" t="s">
        <v>455</v>
      </c>
      <c r="D438" s="111">
        <v>92624</v>
      </c>
      <c r="E438" s="114">
        <v>91669</v>
      </c>
      <c r="F438" s="114">
        <v>103167</v>
      </c>
    </row>
    <row r="439" spans="1:6" s="113" customFormat="1" hidden="1" x14ac:dyDescent="0.6">
      <c r="A439" s="113" t="str">
        <f t="shared" si="3"/>
        <v>110</v>
      </c>
      <c r="B439" s="112">
        <v>1813280110</v>
      </c>
      <c r="C439" s="112" t="s">
        <v>461</v>
      </c>
      <c r="D439" s="111">
        <v>1011187.22</v>
      </c>
      <c r="E439" s="114">
        <v>1194230.68</v>
      </c>
      <c r="F439" s="114">
        <v>1002456.7</v>
      </c>
    </row>
    <row r="440" spans="1:6" s="113" customFormat="1" hidden="1" x14ac:dyDescent="0.6">
      <c r="A440" s="113" t="str">
        <f t="shared" si="3"/>
        <v>780</v>
      </c>
      <c r="B440" s="112">
        <v>1813270780</v>
      </c>
      <c r="C440" s="112" t="s">
        <v>460</v>
      </c>
      <c r="D440" s="111">
        <v>230790</v>
      </c>
      <c r="E440" s="114">
        <v>231414</v>
      </c>
      <c r="F440" s="114">
        <v>222018</v>
      </c>
    </row>
    <row r="441" spans="1:6" s="113" customFormat="1" hidden="1" x14ac:dyDescent="0.6">
      <c r="A441" s="113" t="str">
        <f t="shared" si="3"/>
        <v>110</v>
      </c>
      <c r="B441" s="112">
        <v>1813300110</v>
      </c>
      <c r="C441" s="112" t="s">
        <v>465</v>
      </c>
      <c r="D441" s="111">
        <v>3197516.02</v>
      </c>
      <c r="E441" s="114">
        <v>3712805.2</v>
      </c>
      <c r="F441" s="114">
        <v>3212056.53</v>
      </c>
    </row>
    <row r="442" spans="1:6" s="113" customFormat="1" hidden="1" x14ac:dyDescent="0.6">
      <c r="A442" s="113" t="str">
        <f t="shared" si="3"/>
        <v>780</v>
      </c>
      <c r="B442" s="112">
        <v>1813280780</v>
      </c>
      <c r="C442" s="112" t="s">
        <v>462</v>
      </c>
      <c r="D442" s="111">
        <v>180000</v>
      </c>
      <c r="E442" s="114">
        <v>180518</v>
      </c>
      <c r="F442" s="114">
        <v>179999.99</v>
      </c>
    </row>
    <row r="443" spans="1:6" s="113" customFormat="1" hidden="1" x14ac:dyDescent="0.6">
      <c r="A443" s="113" t="str">
        <f t="shared" si="3"/>
        <v>785</v>
      </c>
      <c r="B443" s="112">
        <v>1813280785</v>
      </c>
      <c r="C443" s="112" t="s">
        <v>463</v>
      </c>
      <c r="D443" s="111">
        <v>180000</v>
      </c>
      <c r="E443" s="114">
        <v>208523.42</v>
      </c>
      <c r="F443" s="114">
        <v>211520.12</v>
      </c>
    </row>
    <row r="444" spans="1:6" s="113" customFormat="1" hidden="1" x14ac:dyDescent="0.6">
      <c r="A444" s="113" t="str">
        <f t="shared" si="3"/>
        <v>786</v>
      </c>
      <c r="B444" s="112">
        <v>1813280786</v>
      </c>
      <c r="C444" s="112" t="s">
        <v>464</v>
      </c>
      <c r="D444" s="111">
        <v>50000</v>
      </c>
      <c r="E444" s="114">
        <v>22359.19</v>
      </c>
      <c r="F444" s="114">
        <v>7780.84</v>
      </c>
    </row>
    <row r="445" spans="1:6" s="113" customFormat="1" hidden="1" x14ac:dyDescent="0.6">
      <c r="A445" s="113" t="str">
        <f t="shared" si="3"/>
        <v>110</v>
      </c>
      <c r="B445" s="112">
        <v>1813600110</v>
      </c>
      <c r="C445" s="112" t="s">
        <v>469</v>
      </c>
      <c r="D445" s="111">
        <v>333497.51</v>
      </c>
      <c r="E445" s="114">
        <v>387174.07</v>
      </c>
      <c r="F445" s="114">
        <v>335944.64</v>
      </c>
    </row>
    <row r="446" spans="1:6" s="113" customFormat="1" hidden="1" x14ac:dyDescent="0.6">
      <c r="A446" s="113" t="str">
        <f t="shared" si="3"/>
        <v>431</v>
      </c>
      <c r="B446" s="112">
        <v>1813300431</v>
      </c>
      <c r="C446" s="112" t="s">
        <v>466</v>
      </c>
      <c r="D446" s="111">
        <v>84282.05</v>
      </c>
      <c r="E446" s="114">
        <v>90385.62</v>
      </c>
      <c r="F446" s="114">
        <v>83223.7</v>
      </c>
    </row>
    <row r="447" spans="1:6" s="113" customFormat="1" hidden="1" x14ac:dyDescent="0.6">
      <c r="A447" s="113" t="str">
        <f t="shared" si="3"/>
        <v>432</v>
      </c>
      <c r="B447" s="112">
        <v>1813300432</v>
      </c>
      <c r="C447" s="112" t="s">
        <v>467</v>
      </c>
      <c r="D447" s="111">
        <v>35000</v>
      </c>
      <c r="E447" s="114">
        <v>88608.78</v>
      </c>
      <c r="F447" s="114">
        <v>23824.37</v>
      </c>
    </row>
    <row r="448" spans="1:6" s="113" customFormat="1" hidden="1" x14ac:dyDescent="0.6">
      <c r="A448" s="113" t="str">
        <f t="shared" si="3"/>
        <v>780</v>
      </c>
      <c r="B448" s="112">
        <v>1813300780</v>
      </c>
      <c r="C448" s="112" t="s">
        <v>468</v>
      </c>
      <c r="D448" s="111">
        <v>20000</v>
      </c>
      <c r="E448" s="114">
        <v>48988.65</v>
      </c>
      <c r="F448" s="114">
        <v>33513.269999999997</v>
      </c>
    </row>
    <row r="449" spans="1:6" s="113" customFormat="1" hidden="1" x14ac:dyDescent="0.6">
      <c r="A449" s="113" t="str">
        <f t="shared" si="3"/>
        <v>785</v>
      </c>
      <c r="B449" s="112">
        <v>1813300785</v>
      </c>
      <c r="C449" s="112" t="s">
        <v>110</v>
      </c>
      <c r="D449" s="111">
        <v>270000</v>
      </c>
      <c r="E449" s="114">
        <v>260411.92</v>
      </c>
      <c r="F449" s="114">
        <v>180880.69</v>
      </c>
    </row>
    <row r="450" spans="1:6" s="113" customFormat="1" hidden="1" x14ac:dyDescent="0.6">
      <c r="A450" s="113" t="str">
        <f t="shared" si="3"/>
        <v>110</v>
      </c>
      <c r="B450" s="112">
        <v>1813700110</v>
      </c>
      <c r="C450" s="112" t="s">
        <v>474</v>
      </c>
      <c r="D450" s="111">
        <v>211074.88</v>
      </c>
      <c r="E450" s="114">
        <v>254496.99</v>
      </c>
      <c r="F450" s="114">
        <v>248944.29</v>
      </c>
    </row>
    <row r="451" spans="1:6" s="113" customFormat="1" hidden="1" x14ac:dyDescent="0.6">
      <c r="A451" s="113" t="str">
        <f t="shared" si="3"/>
        <v>431</v>
      </c>
      <c r="B451" s="112">
        <v>1813600431</v>
      </c>
      <c r="C451" s="112" t="s">
        <v>470</v>
      </c>
      <c r="D451" s="111">
        <v>8596.6200000000008</v>
      </c>
      <c r="E451" s="114">
        <v>12068.24</v>
      </c>
      <c r="F451" s="114">
        <v>8461.36</v>
      </c>
    </row>
    <row r="452" spans="1:6" s="113" customFormat="1" hidden="1" x14ac:dyDescent="0.6">
      <c r="A452" s="113" t="str">
        <f t="shared" si="3"/>
        <v>432</v>
      </c>
      <c r="B452" s="112">
        <v>1813600432</v>
      </c>
      <c r="C452" s="112" t="s">
        <v>471</v>
      </c>
      <c r="D452" s="111">
        <v>8000</v>
      </c>
      <c r="E452" s="114">
        <v>8980.92</v>
      </c>
      <c r="F452" s="114">
        <v>5765.63</v>
      </c>
    </row>
    <row r="453" spans="1:6" s="113" customFormat="1" hidden="1" x14ac:dyDescent="0.6">
      <c r="A453" s="113" t="str">
        <f t="shared" si="3"/>
        <v>540</v>
      </c>
      <c r="B453" s="112">
        <v>1813600540</v>
      </c>
      <c r="C453" s="112" t="s">
        <v>472</v>
      </c>
      <c r="D453" s="111">
        <v>3000</v>
      </c>
      <c r="E453" s="114">
        <v>6252.69</v>
      </c>
      <c r="F453" s="114">
        <v>4573.84</v>
      </c>
    </row>
    <row r="454" spans="1:6" s="113" customFormat="1" hidden="1" x14ac:dyDescent="0.6">
      <c r="A454" s="113" t="str">
        <f t="shared" si="3"/>
        <v>780</v>
      </c>
      <c r="B454" s="112">
        <v>1813600780</v>
      </c>
      <c r="C454" s="112" t="s">
        <v>473</v>
      </c>
      <c r="D454" s="111">
        <v>180000</v>
      </c>
      <c r="E454" s="114">
        <v>158892.49</v>
      </c>
      <c r="F454" s="114">
        <v>212538.48</v>
      </c>
    </row>
    <row r="455" spans="1:6" s="113" customFormat="1" hidden="1" x14ac:dyDescent="0.6">
      <c r="A455" s="113" t="str">
        <f t="shared" si="3"/>
        <v>110</v>
      </c>
      <c r="B455" s="112">
        <v>1813810110</v>
      </c>
      <c r="C455" s="112" t="s">
        <v>751</v>
      </c>
      <c r="D455" s="111">
        <v>330158.88</v>
      </c>
      <c r="E455" s="114">
        <v>333006.74</v>
      </c>
      <c r="F455" s="114">
        <v>354390.76</v>
      </c>
    </row>
    <row r="456" spans="1:6" s="113" customFormat="1" hidden="1" x14ac:dyDescent="0.6">
      <c r="A456" s="113" t="str">
        <f t="shared" si="3"/>
        <v>780</v>
      </c>
      <c r="B456" s="112">
        <v>1813700780</v>
      </c>
      <c r="C456" s="112" t="s">
        <v>475</v>
      </c>
      <c r="D456" s="111">
        <v>75000</v>
      </c>
      <c r="E456" s="114">
        <v>60097.4</v>
      </c>
      <c r="F456" s="114">
        <v>30634.54</v>
      </c>
    </row>
    <row r="457" spans="1:6" s="113" customFormat="1" hidden="1" x14ac:dyDescent="0.6">
      <c r="A457" s="113" t="str">
        <f t="shared" si="3"/>
        <v>780</v>
      </c>
      <c r="B457" s="112">
        <v>1813800780</v>
      </c>
      <c r="C457" s="112" t="s">
        <v>476</v>
      </c>
      <c r="D457" s="111">
        <v>450000</v>
      </c>
      <c r="E457" s="114">
        <v>330068.43</v>
      </c>
      <c r="F457" s="114">
        <v>343729.74</v>
      </c>
    </row>
    <row r="458" spans="1:6" s="113" customFormat="1" hidden="1" x14ac:dyDescent="0.6">
      <c r="A458" s="113" t="str">
        <f t="shared" si="3"/>
        <v>110</v>
      </c>
      <c r="B458" s="112">
        <v>1814100110</v>
      </c>
      <c r="C458" s="112" t="s">
        <v>481</v>
      </c>
      <c r="D458" s="111">
        <v>219808.41</v>
      </c>
      <c r="E458" s="114">
        <v>9141.1200000000008</v>
      </c>
      <c r="F458" s="114">
        <v>238681.45</v>
      </c>
    </row>
    <row r="459" spans="1:6" s="113" customFormat="1" hidden="1" x14ac:dyDescent="0.6">
      <c r="A459" s="113" t="str">
        <f t="shared" si="3"/>
        <v>780</v>
      </c>
      <c r="B459" s="112">
        <v>1813810780</v>
      </c>
      <c r="C459" s="112" t="s">
        <v>478</v>
      </c>
      <c r="D459" s="111">
        <v>100000</v>
      </c>
      <c r="E459" s="114">
        <v>164758.70000000001</v>
      </c>
      <c r="F459" s="114">
        <v>145573</v>
      </c>
    </row>
    <row r="460" spans="1:6" s="113" customFormat="1" hidden="1" x14ac:dyDescent="0.6">
      <c r="A460" s="113" t="str">
        <f t="shared" si="3"/>
        <v>781</v>
      </c>
      <c r="B460" s="112">
        <v>1813810781</v>
      </c>
      <c r="C460" s="112" t="s">
        <v>479</v>
      </c>
      <c r="D460" s="111">
        <v>200000</v>
      </c>
      <c r="E460" s="114">
        <v>191360</v>
      </c>
      <c r="F460" s="114"/>
    </row>
    <row r="461" spans="1:6" s="113" customFormat="1" hidden="1" x14ac:dyDescent="0.6">
      <c r="A461" s="113" t="str">
        <f t="shared" si="3"/>
        <v>110</v>
      </c>
      <c r="B461" s="112">
        <v>1814200110</v>
      </c>
      <c r="C461" s="112" t="s">
        <v>482</v>
      </c>
      <c r="D461" s="112"/>
      <c r="E461" s="114"/>
      <c r="F461" s="114">
        <v>292.99</v>
      </c>
    </row>
    <row r="462" spans="1:6" s="113" customFormat="1" hidden="1" x14ac:dyDescent="0.6">
      <c r="A462" s="113" t="str">
        <f t="shared" si="3"/>
        <v>110</v>
      </c>
      <c r="B462" s="112">
        <v>1815700110</v>
      </c>
      <c r="C462" s="112" t="s">
        <v>483</v>
      </c>
      <c r="D462" s="111">
        <v>107185.36</v>
      </c>
      <c r="E462" s="114">
        <v>328444.58</v>
      </c>
      <c r="F462" s="114">
        <v>10625.33</v>
      </c>
    </row>
    <row r="463" spans="1:6" s="113" customFormat="1" hidden="1" x14ac:dyDescent="0.6">
      <c r="A463" s="113" t="str">
        <f t="shared" si="3"/>
        <v>780</v>
      </c>
      <c r="B463" s="112">
        <v>1815000780</v>
      </c>
      <c r="C463" s="112" t="s">
        <v>116</v>
      </c>
      <c r="D463" s="111">
        <v>1379700</v>
      </c>
      <c r="E463" s="114">
        <v>1390800</v>
      </c>
      <c r="F463" s="114">
        <v>1394400</v>
      </c>
    </row>
    <row r="464" spans="1:6" s="113" customFormat="1" hidden="1" x14ac:dyDescent="0.6">
      <c r="A464" s="113" t="str">
        <f t="shared" si="3"/>
        <v>110</v>
      </c>
      <c r="B464" s="112">
        <v>1815710110</v>
      </c>
      <c r="C464" s="112" t="s">
        <v>484</v>
      </c>
      <c r="D464" s="111">
        <v>563788.18000000005</v>
      </c>
      <c r="E464" s="114">
        <v>556735.5</v>
      </c>
      <c r="F464" s="114">
        <v>558803.99</v>
      </c>
    </row>
    <row r="465" spans="1:6" s="113" customFormat="1" hidden="1" x14ac:dyDescent="0.6">
      <c r="A465" s="113" t="str">
        <f t="shared" si="3"/>
        <v>110</v>
      </c>
      <c r="B465" s="112">
        <v>1815730110</v>
      </c>
      <c r="C465" s="112" t="s">
        <v>485</v>
      </c>
      <c r="D465" s="111">
        <v>147637.34</v>
      </c>
      <c r="E465" s="114">
        <v>142223.04999999999</v>
      </c>
      <c r="F465" s="114">
        <v>145139.28</v>
      </c>
    </row>
    <row r="466" spans="1:6" s="113" customFormat="1" hidden="1" x14ac:dyDescent="0.6">
      <c r="A466" s="113" t="str">
        <f t="shared" si="3"/>
        <v>110</v>
      </c>
      <c r="B466" s="112">
        <v>1817100110</v>
      </c>
      <c r="C466" s="112" t="s">
        <v>486</v>
      </c>
      <c r="D466" s="111">
        <v>162191.85</v>
      </c>
      <c r="E466" s="114">
        <v>190799.99</v>
      </c>
      <c r="F466" s="114">
        <v>159384.67000000001</v>
      </c>
    </row>
    <row r="467" spans="1:6" s="113" customFormat="1" hidden="1" x14ac:dyDescent="0.6">
      <c r="A467" s="113" t="str">
        <f t="shared" si="3"/>
        <v>110</v>
      </c>
      <c r="B467" s="112">
        <v>1817200110</v>
      </c>
      <c r="C467" s="112" t="s">
        <v>487</v>
      </c>
      <c r="D467" s="111">
        <v>262583.71000000002</v>
      </c>
      <c r="E467" s="114">
        <v>314885.99</v>
      </c>
      <c r="F467" s="114">
        <v>261967.13</v>
      </c>
    </row>
    <row r="468" spans="1:6" s="113" customFormat="1" hidden="1" x14ac:dyDescent="0.6">
      <c r="A468" s="113" t="str">
        <f t="shared" si="3"/>
        <v>110</v>
      </c>
      <c r="B468" s="112">
        <v>1817300110</v>
      </c>
      <c r="C468" s="112" t="s">
        <v>490</v>
      </c>
      <c r="D468" s="111">
        <v>1183377.05</v>
      </c>
      <c r="E468" s="114">
        <v>1350447.68</v>
      </c>
      <c r="F468" s="114">
        <v>1164542.0900000001</v>
      </c>
    </row>
    <row r="469" spans="1:6" s="113" customFormat="1" hidden="1" x14ac:dyDescent="0.6">
      <c r="A469" s="113" t="str">
        <f t="shared" si="3"/>
        <v>431</v>
      </c>
      <c r="B469" s="112">
        <v>1817200431</v>
      </c>
      <c r="C469" s="112" t="s">
        <v>488</v>
      </c>
      <c r="D469" s="111">
        <v>25206</v>
      </c>
      <c r="E469" s="114">
        <v>26121.07</v>
      </c>
      <c r="F469" s="114">
        <v>23765.32</v>
      </c>
    </row>
    <row r="470" spans="1:6" s="113" customFormat="1" hidden="1" x14ac:dyDescent="0.6">
      <c r="A470" s="113" t="str">
        <f t="shared" si="3"/>
        <v>432</v>
      </c>
      <c r="B470" s="112">
        <v>1817200432</v>
      </c>
      <c r="C470" s="112" t="s">
        <v>489</v>
      </c>
      <c r="D470" s="111">
        <v>2500</v>
      </c>
      <c r="E470" s="114"/>
      <c r="F470" s="114">
        <v>2032.14</v>
      </c>
    </row>
    <row r="471" spans="1:6" s="113" customFormat="1" hidden="1" x14ac:dyDescent="0.6">
      <c r="A471" s="113" t="str">
        <f t="shared" si="3"/>
        <v>110</v>
      </c>
      <c r="B471" s="112">
        <v>1817310110</v>
      </c>
      <c r="C471" s="112" t="s">
        <v>495</v>
      </c>
      <c r="D471" s="111">
        <v>199506.54</v>
      </c>
      <c r="E471" s="114">
        <v>204146.72</v>
      </c>
      <c r="F471" s="114">
        <v>196544.46</v>
      </c>
    </row>
    <row r="472" spans="1:6" s="113" customFormat="1" hidden="1" x14ac:dyDescent="0.6">
      <c r="A472" s="113" t="str">
        <f t="shared" si="3"/>
        <v>431</v>
      </c>
      <c r="B472" s="112">
        <v>1817300431</v>
      </c>
      <c r="C472" s="112" t="s">
        <v>491</v>
      </c>
      <c r="D472" s="111">
        <v>9662.3799999999992</v>
      </c>
      <c r="E472" s="114">
        <v>10490.84</v>
      </c>
      <c r="F472" s="114">
        <v>8864.26</v>
      </c>
    </row>
    <row r="473" spans="1:6" s="113" customFormat="1" hidden="1" x14ac:dyDescent="0.6">
      <c r="A473" s="113" t="str">
        <f t="shared" si="3"/>
        <v>432</v>
      </c>
      <c r="B473" s="112">
        <v>1817300432</v>
      </c>
      <c r="C473" s="112" t="s">
        <v>492</v>
      </c>
      <c r="D473" s="112"/>
      <c r="E473" s="114"/>
      <c r="F473" s="114">
        <v>547.14</v>
      </c>
    </row>
    <row r="474" spans="1:6" s="113" customFormat="1" hidden="1" x14ac:dyDescent="0.6">
      <c r="A474" s="113" t="str">
        <f t="shared" si="3"/>
        <v>540</v>
      </c>
      <c r="B474" s="112">
        <v>1817300540</v>
      </c>
      <c r="C474" s="112" t="s">
        <v>493</v>
      </c>
      <c r="D474" s="111">
        <v>7000</v>
      </c>
      <c r="E474" s="114">
        <v>490.22</v>
      </c>
      <c r="F474" s="114">
        <v>10302.290000000001</v>
      </c>
    </row>
    <row r="475" spans="1:6" s="113" customFormat="1" hidden="1" x14ac:dyDescent="0.6">
      <c r="A475" s="113" t="str">
        <f t="shared" si="3"/>
        <v>780</v>
      </c>
      <c r="B475" s="112">
        <v>1817300780</v>
      </c>
      <c r="C475" s="112" t="s">
        <v>494</v>
      </c>
      <c r="D475" s="111">
        <v>40000</v>
      </c>
      <c r="E475" s="114">
        <v>44780.27</v>
      </c>
      <c r="F475" s="114">
        <v>44264.79</v>
      </c>
    </row>
    <row r="476" spans="1:6" s="113" customFormat="1" hidden="1" x14ac:dyDescent="0.6">
      <c r="A476" s="113" t="str">
        <f t="shared" si="3"/>
        <v>110</v>
      </c>
      <c r="B476" s="112">
        <v>1817400110</v>
      </c>
      <c r="C476" s="112" t="s">
        <v>120</v>
      </c>
      <c r="D476" s="111">
        <v>122751.67999999999</v>
      </c>
      <c r="E476" s="114">
        <v>123491.1</v>
      </c>
      <c r="F476" s="114">
        <v>120782.17</v>
      </c>
    </row>
    <row r="477" spans="1:6" s="113" customFormat="1" hidden="1" x14ac:dyDescent="0.6">
      <c r="A477" s="113" t="str">
        <f t="shared" ref="A477:A540" si="4">RIGHT(B477,3)</f>
        <v>780</v>
      </c>
      <c r="B477" s="112">
        <v>1817310780</v>
      </c>
      <c r="C477" s="112" t="s">
        <v>496</v>
      </c>
      <c r="D477" s="112"/>
      <c r="E477" s="114">
        <v>12700</v>
      </c>
      <c r="F477" s="114"/>
    </row>
    <row r="478" spans="1:6" s="113" customFormat="1" hidden="1" x14ac:dyDescent="0.6">
      <c r="A478" s="113" t="str">
        <f t="shared" si="4"/>
        <v>110</v>
      </c>
      <c r="B478" s="112">
        <v>1817600110</v>
      </c>
      <c r="C478" s="112" t="s">
        <v>497</v>
      </c>
      <c r="D478" s="111">
        <v>247752.91</v>
      </c>
      <c r="E478" s="114">
        <v>384391.81</v>
      </c>
      <c r="F478" s="114">
        <v>245041.15</v>
      </c>
    </row>
    <row r="479" spans="1:6" s="113" customFormat="1" hidden="1" x14ac:dyDescent="0.6">
      <c r="A479" s="113" t="str">
        <f t="shared" si="4"/>
        <v>785</v>
      </c>
      <c r="B479" s="112">
        <v>1817400785</v>
      </c>
      <c r="C479" s="112" t="s">
        <v>121</v>
      </c>
      <c r="D479" s="111">
        <v>35000</v>
      </c>
      <c r="E479" s="114">
        <v>38305.85</v>
      </c>
      <c r="F479" s="114">
        <v>12892.51</v>
      </c>
    </row>
    <row r="480" spans="1:6" s="113" customFormat="1" hidden="1" x14ac:dyDescent="0.6">
      <c r="A480" s="113" t="str">
        <f t="shared" si="4"/>
        <v>110</v>
      </c>
      <c r="B480" s="112">
        <v>1817700110</v>
      </c>
      <c r="C480" s="112" t="s">
        <v>500</v>
      </c>
      <c r="D480" s="111">
        <v>346816.58</v>
      </c>
      <c r="E480" s="114">
        <v>361509.52</v>
      </c>
      <c r="F480" s="114">
        <v>351680.05</v>
      </c>
    </row>
    <row r="481" spans="1:6" s="113" customFormat="1" hidden="1" x14ac:dyDescent="0.6">
      <c r="A481" s="113" t="str">
        <f t="shared" si="4"/>
        <v>780</v>
      </c>
      <c r="B481" s="112">
        <v>1817600780</v>
      </c>
      <c r="C481" s="112" t="s">
        <v>498</v>
      </c>
      <c r="D481" s="111">
        <v>360850</v>
      </c>
      <c r="E481" s="114">
        <v>399433</v>
      </c>
      <c r="F481" s="114">
        <v>262413.98</v>
      </c>
    </row>
    <row r="482" spans="1:6" s="113" customFormat="1" hidden="1" x14ac:dyDescent="0.6">
      <c r="A482" s="113" t="str">
        <f t="shared" si="4"/>
        <v>110</v>
      </c>
      <c r="B482" s="112">
        <v>1817800110</v>
      </c>
      <c r="C482" s="112" t="s">
        <v>501</v>
      </c>
      <c r="D482" s="111">
        <v>1134807.77</v>
      </c>
      <c r="E482" s="114">
        <v>1562450.78</v>
      </c>
      <c r="F482" s="114">
        <v>1129501.31</v>
      </c>
    </row>
    <row r="483" spans="1:6" s="113" customFormat="1" hidden="1" x14ac:dyDescent="0.6">
      <c r="A483" s="113" t="str">
        <f t="shared" si="4"/>
        <v>110</v>
      </c>
      <c r="B483" s="112">
        <v>1817810110</v>
      </c>
      <c r="C483" s="112" t="s">
        <v>504</v>
      </c>
      <c r="D483" s="111">
        <v>2349100.88</v>
      </c>
      <c r="E483" s="114">
        <v>1890179.88</v>
      </c>
      <c r="F483" s="114">
        <v>2459085.83</v>
      </c>
    </row>
    <row r="484" spans="1:6" s="113" customFormat="1" hidden="1" x14ac:dyDescent="0.6">
      <c r="A484" s="113" t="str">
        <f t="shared" si="4"/>
        <v>710</v>
      </c>
      <c r="B484" s="112">
        <v>1817800710</v>
      </c>
      <c r="C484" s="112" t="s">
        <v>502</v>
      </c>
      <c r="D484" s="111">
        <v>540000</v>
      </c>
      <c r="E484" s="114">
        <v>384073.29</v>
      </c>
      <c r="F484" s="114">
        <v>544642.47</v>
      </c>
    </row>
    <row r="485" spans="1:6" s="113" customFormat="1" hidden="1" x14ac:dyDescent="0.6">
      <c r="A485" s="113" t="str">
        <f t="shared" si="4"/>
        <v>712</v>
      </c>
      <c r="B485" s="112">
        <v>1817800712</v>
      </c>
      <c r="C485" s="112" t="s">
        <v>126</v>
      </c>
      <c r="D485" s="111">
        <v>3700000</v>
      </c>
      <c r="E485" s="114">
        <v>3466893.9</v>
      </c>
      <c r="F485" s="114">
        <v>3518282.17</v>
      </c>
    </row>
    <row r="486" spans="1:6" s="113" customFormat="1" hidden="1" x14ac:dyDescent="0.6">
      <c r="A486" s="113" t="str">
        <f t="shared" si="4"/>
        <v>713</v>
      </c>
      <c r="B486" s="112">
        <v>1817800713</v>
      </c>
      <c r="C486" s="112" t="s">
        <v>503</v>
      </c>
      <c r="D486" s="111">
        <v>110000</v>
      </c>
      <c r="E486" s="114">
        <v>59740.91</v>
      </c>
      <c r="F486" s="114">
        <v>98986</v>
      </c>
    </row>
    <row r="487" spans="1:6" s="113" customFormat="1" hidden="1" x14ac:dyDescent="0.6">
      <c r="A487" s="113" t="str">
        <f t="shared" si="4"/>
        <v>110</v>
      </c>
      <c r="B487" s="112">
        <v>1817820110</v>
      </c>
      <c r="C487" s="112" t="s">
        <v>505</v>
      </c>
      <c r="D487" s="112"/>
      <c r="E487" s="114">
        <v>141322.48000000001</v>
      </c>
      <c r="F487" s="114"/>
    </row>
    <row r="488" spans="1:6" hidden="1" x14ac:dyDescent="0.6">
      <c r="A488" t="str">
        <f t="shared" si="4"/>
        <v>110</v>
      </c>
      <c r="B488" s="108">
        <v>1817900110</v>
      </c>
      <c r="C488" s="108" t="s">
        <v>506</v>
      </c>
      <c r="F488" s="115">
        <v>3293.45</v>
      </c>
    </row>
    <row r="489" spans="1:6" s="128" customFormat="1" x14ac:dyDescent="0.6">
      <c r="A489" s="128" t="str">
        <f t="shared" si="4"/>
        <v>110</v>
      </c>
      <c r="B489" s="129">
        <v>1817910110</v>
      </c>
      <c r="C489" s="129" t="s">
        <v>507</v>
      </c>
      <c r="D489" s="130">
        <v>280903.71000000002</v>
      </c>
      <c r="E489" s="131">
        <v>240589.05</v>
      </c>
      <c r="F489" s="131">
        <v>282588.84999999998</v>
      </c>
    </row>
    <row r="490" spans="1:6" s="113" customFormat="1" hidden="1" x14ac:dyDescent="0.6">
      <c r="A490" s="113" t="str">
        <f t="shared" si="4"/>
        <v>110</v>
      </c>
      <c r="B490" s="112">
        <v>1824000110</v>
      </c>
      <c r="C490" s="112" t="s">
        <v>510</v>
      </c>
      <c r="D490" s="111">
        <v>379141.12</v>
      </c>
      <c r="E490" s="114">
        <v>393285.85</v>
      </c>
      <c r="F490" s="114">
        <v>348670.59</v>
      </c>
    </row>
    <row r="491" spans="1:6" s="113" customFormat="1" hidden="1" x14ac:dyDescent="0.6">
      <c r="A491" t="str">
        <f t="shared" si="4"/>
        <v>780</v>
      </c>
      <c r="B491" s="112">
        <v>1818000780</v>
      </c>
      <c r="C491" s="112" t="s">
        <v>508</v>
      </c>
      <c r="D491" s="111">
        <v>171961</v>
      </c>
      <c r="E491" s="114">
        <v>159925.82999999999</v>
      </c>
      <c r="F491" s="114">
        <v>427932</v>
      </c>
    </row>
    <row r="492" spans="1:6" s="113" customFormat="1" hidden="1" x14ac:dyDescent="0.6">
      <c r="A492" t="str">
        <f t="shared" si="4"/>
        <v>780</v>
      </c>
      <c r="B492" s="112">
        <v>1818100780</v>
      </c>
      <c r="C492" s="112" t="s">
        <v>131</v>
      </c>
      <c r="D492" s="111">
        <v>120000</v>
      </c>
      <c r="E492" s="114">
        <v>88008</v>
      </c>
      <c r="F492" s="114">
        <v>118008</v>
      </c>
    </row>
    <row r="493" spans="1:6" s="113" customFormat="1" hidden="1" x14ac:dyDescent="0.6">
      <c r="A493" t="str">
        <f t="shared" si="4"/>
        <v>780</v>
      </c>
      <c r="B493" s="112">
        <v>1823000780</v>
      </c>
      <c r="C493" s="112" t="s">
        <v>509</v>
      </c>
      <c r="D493" s="111">
        <v>336000</v>
      </c>
      <c r="E493" s="114">
        <v>329325.71000000002</v>
      </c>
      <c r="F493" s="114">
        <v>356863.22</v>
      </c>
    </row>
    <row r="494" spans="1:6" s="113" customFormat="1" hidden="1" x14ac:dyDescent="0.6">
      <c r="A494" s="113" t="str">
        <f t="shared" si="4"/>
        <v>110</v>
      </c>
      <c r="B494" s="112">
        <v>1824100110</v>
      </c>
      <c r="C494" s="112" t="s">
        <v>513</v>
      </c>
      <c r="D494" s="111">
        <v>44143.53</v>
      </c>
      <c r="E494" s="114"/>
      <c r="F494" s="114"/>
    </row>
    <row r="495" spans="1:6" s="113" customFormat="1" hidden="1" x14ac:dyDescent="0.6">
      <c r="A495" t="str">
        <f t="shared" si="4"/>
        <v>410</v>
      </c>
      <c r="B495" s="112">
        <v>1824000410</v>
      </c>
      <c r="C495" s="112" t="s">
        <v>511</v>
      </c>
      <c r="D495" s="111">
        <v>30000</v>
      </c>
      <c r="E495" s="114">
        <v>30000</v>
      </c>
      <c r="F495" s="114">
        <v>30000</v>
      </c>
    </row>
    <row r="496" spans="1:6" s="113" customFormat="1" hidden="1" x14ac:dyDescent="0.6">
      <c r="A496" t="str">
        <f t="shared" si="4"/>
        <v>810</v>
      </c>
      <c r="B496" s="112">
        <v>1824000810</v>
      </c>
      <c r="C496" s="112" t="s">
        <v>512</v>
      </c>
      <c r="D496" s="111">
        <v>360000</v>
      </c>
      <c r="E496" s="114">
        <v>476877.85</v>
      </c>
      <c r="F496" s="114">
        <v>409524.2</v>
      </c>
    </row>
    <row r="497" spans="1:6" s="113" customFormat="1" hidden="1" x14ac:dyDescent="0.6">
      <c r="A497" s="113" t="str">
        <f t="shared" si="4"/>
        <v>110</v>
      </c>
      <c r="B497" s="112">
        <v>1828100110</v>
      </c>
      <c r="C497" s="112" t="s">
        <v>515</v>
      </c>
      <c r="D497" s="111">
        <v>518348.24</v>
      </c>
      <c r="E497" s="114">
        <v>662509.32999999996</v>
      </c>
      <c r="F497" s="114">
        <v>526680.61</v>
      </c>
    </row>
    <row r="498" spans="1:6" s="113" customFormat="1" hidden="1" x14ac:dyDescent="0.6">
      <c r="A498" t="str">
        <f t="shared" si="4"/>
        <v>720</v>
      </c>
      <c r="B498" s="112">
        <v>1826200720</v>
      </c>
      <c r="C498" s="112" t="s">
        <v>514</v>
      </c>
      <c r="D498" s="111">
        <v>2000</v>
      </c>
      <c r="E498" s="114"/>
      <c r="F498" s="114">
        <v>1572.56</v>
      </c>
    </row>
    <row r="499" spans="1:6" s="113" customFormat="1" hidden="1" x14ac:dyDescent="0.6">
      <c r="A499" s="113" t="str">
        <f t="shared" si="4"/>
        <v>110</v>
      </c>
      <c r="B499" s="112">
        <v>1828200110</v>
      </c>
      <c r="C499" s="112" t="s">
        <v>516</v>
      </c>
      <c r="D499" s="111">
        <v>259402.8</v>
      </c>
      <c r="E499" s="114">
        <v>154050.17000000001</v>
      </c>
      <c r="F499" s="114">
        <v>271737.08</v>
      </c>
    </row>
    <row r="500" spans="1:6" s="113" customFormat="1" hidden="1" x14ac:dyDescent="0.6">
      <c r="A500" t="str">
        <f t="shared" si="4"/>
        <v>780</v>
      </c>
      <c r="B500" s="112">
        <v>1828100780</v>
      </c>
      <c r="C500" s="112" t="s">
        <v>132</v>
      </c>
      <c r="D500" s="111">
        <v>193767</v>
      </c>
      <c r="E500" s="114">
        <v>134280.45000000001</v>
      </c>
      <c r="F500" s="114">
        <v>93019.89</v>
      </c>
    </row>
    <row r="501" spans="1:6" s="113" customFormat="1" hidden="1" x14ac:dyDescent="0.6">
      <c r="A501" t="str">
        <f t="shared" si="4"/>
        <v>781</v>
      </c>
      <c r="B501" s="112">
        <v>1828100781</v>
      </c>
      <c r="C501" s="112" t="s">
        <v>133</v>
      </c>
      <c r="D501" s="111">
        <v>97000</v>
      </c>
      <c r="E501" s="114">
        <v>36693.54</v>
      </c>
      <c r="F501" s="114">
        <v>-944.3</v>
      </c>
    </row>
    <row r="502" spans="1:6" s="113" customFormat="1" hidden="1" x14ac:dyDescent="0.6">
      <c r="A502" s="113" t="str">
        <f t="shared" si="4"/>
        <v>110</v>
      </c>
      <c r="B502" s="112">
        <v>1829200110</v>
      </c>
      <c r="C502" s="112" t="s">
        <v>523</v>
      </c>
      <c r="D502" s="111">
        <v>688371.81</v>
      </c>
      <c r="E502" s="114">
        <v>716106.37</v>
      </c>
      <c r="F502" s="114">
        <v>704637.84</v>
      </c>
    </row>
    <row r="503" spans="1:6" s="113" customFormat="1" hidden="1" x14ac:dyDescent="0.6">
      <c r="A503" t="str">
        <f t="shared" si="4"/>
        <v>431</v>
      </c>
      <c r="B503" s="112">
        <v>1828200431</v>
      </c>
      <c r="C503" s="112" t="s">
        <v>517</v>
      </c>
      <c r="D503" s="111">
        <v>3919.91</v>
      </c>
      <c r="E503" s="114">
        <v>6720.67</v>
      </c>
      <c r="F503" s="114">
        <v>4089.94</v>
      </c>
    </row>
    <row r="504" spans="1:6" s="113" customFormat="1" hidden="1" x14ac:dyDescent="0.6">
      <c r="A504" t="str">
        <f t="shared" si="4"/>
        <v>750</v>
      </c>
      <c r="B504" s="112">
        <v>1828200750</v>
      </c>
      <c r="C504" s="112" t="s">
        <v>518</v>
      </c>
      <c r="D504" s="111">
        <v>1090000</v>
      </c>
      <c r="E504" s="114">
        <v>1130613</v>
      </c>
      <c r="F504" s="114">
        <v>1068451</v>
      </c>
    </row>
    <row r="505" spans="1:6" s="113" customFormat="1" hidden="1" x14ac:dyDescent="0.6">
      <c r="A505" t="str">
        <f t="shared" si="4"/>
        <v>751</v>
      </c>
      <c r="B505" s="112">
        <v>1828200751</v>
      </c>
      <c r="C505" s="112" t="s">
        <v>752</v>
      </c>
      <c r="D505" s="111">
        <v>78000</v>
      </c>
      <c r="E505" s="114">
        <v>198615.84</v>
      </c>
      <c r="F505" s="114">
        <v>82467.95</v>
      </c>
    </row>
    <row r="506" spans="1:6" s="113" customFormat="1" hidden="1" x14ac:dyDescent="0.6">
      <c r="A506" t="str">
        <f t="shared" si="4"/>
        <v>780</v>
      </c>
      <c r="B506" s="112">
        <v>1828200780</v>
      </c>
      <c r="C506" s="112" t="s">
        <v>135</v>
      </c>
      <c r="D506" s="111">
        <v>200000</v>
      </c>
      <c r="E506" s="114">
        <v>405467.94</v>
      </c>
      <c r="F506" s="114">
        <v>223357</v>
      </c>
    </row>
    <row r="507" spans="1:6" s="113" customFormat="1" hidden="1" x14ac:dyDescent="0.6">
      <c r="A507" t="str">
        <f t="shared" si="4"/>
        <v>781</v>
      </c>
      <c r="B507" s="112">
        <v>1828200781</v>
      </c>
      <c r="C507" s="112" t="s">
        <v>520</v>
      </c>
      <c r="D507" s="111">
        <v>250000</v>
      </c>
      <c r="E507" s="114">
        <v>105147.19</v>
      </c>
      <c r="F507" s="114">
        <v>75004</v>
      </c>
    </row>
    <row r="508" spans="1:6" s="113" customFormat="1" hidden="1" x14ac:dyDescent="0.6">
      <c r="A508" t="str">
        <f t="shared" si="4"/>
        <v>780</v>
      </c>
      <c r="B508" s="112">
        <v>1828900780</v>
      </c>
      <c r="C508" s="112" t="s">
        <v>521</v>
      </c>
      <c r="D508" s="111">
        <v>126354</v>
      </c>
      <c r="E508" s="114">
        <v>13200</v>
      </c>
      <c r="F508" s="114">
        <v>23186</v>
      </c>
    </row>
    <row r="509" spans="1:6" s="113" customFormat="1" hidden="1" x14ac:dyDescent="0.6">
      <c r="A509" t="str">
        <f t="shared" si="4"/>
        <v>782</v>
      </c>
      <c r="B509" s="112">
        <v>1829000782</v>
      </c>
      <c r="C509" s="112" t="s">
        <v>522</v>
      </c>
      <c r="D509" s="111">
        <v>150000</v>
      </c>
      <c r="E509" s="114"/>
      <c r="F509" s="114">
        <v>128443.44</v>
      </c>
    </row>
    <row r="510" spans="1:6" s="113" customFormat="1" hidden="1" x14ac:dyDescent="0.6">
      <c r="A510" s="113" t="str">
        <f t="shared" si="4"/>
        <v>110</v>
      </c>
      <c r="B510" s="112">
        <v>1841000110</v>
      </c>
      <c r="C510" s="112" t="s">
        <v>139</v>
      </c>
      <c r="D510" s="111">
        <v>6924438.4900000002</v>
      </c>
      <c r="E510" s="114">
        <v>6425343.2400000002</v>
      </c>
      <c r="F510" s="114">
        <v>6745899.3300000001</v>
      </c>
    </row>
    <row r="511" spans="1:6" s="113" customFormat="1" hidden="1" x14ac:dyDescent="0.6">
      <c r="A511" t="str">
        <f t="shared" si="4"/>
        <v>431</v>
      </c>
      <c r="B511" s="112">
        <v>1829200431</v>
      </c>
      <c r="C511" s="112" t="s">
        <v>524</v>
      </c>
      <c r="D511" s="111">
        <v>7893.73</v>
      </c>
      <c r="E511" s="114">
        <v>10974.75</v>
      </c>
      <c r="F511" s="114">
        <v>7890</v>
      </c>
    </row>
    <row r="512" spans="1:6" s="113" customFormat="1" hidden="1" x14ac:dyDescent="0.6">
      <c r="A512" t="str">
        <f t="shared" si="4"/>
        <v>432</v>
      </c>
      <c r="B512" s="112">
        <v>1829200432</v>
      </c>
      <c r="C512" s="112" t="s">
        <v>525</v>
      </c>
      <c r="D512" s="111">
        <v>5000</v>
      </c>
      <c r="E512" s="114">
        <v>441.09</v>
      </c>
      <c r="F512" s="114">
        <v>4006.82</v>
      </c>
    </row>
    <row r="513" spans="1:6" s="113" customFormat="1" hidden="1" x14ac:dyDescent="0.6">
      <c r="A513" t="str">
        <f t="shared" si="4"/>
        <v>540</v>
      </c>
      <c r="B513" s="112">
        <v>1829200540</v>
      </c>
      <c r="C513" s="112" t="s">
        <v>526</v>
      </c>
      <c r="D513" s="111">
        <v>4000</v>
      </c>
      <c r="E513" s="114">
        <v>2122.7800000000002</v>
      </c>
      <c r="F513" s="114">
        <v>4214.28</v>
      </c>
    </row>
    <row r="514" spans="1:6" s="113" customFormat="1" hidden="1" x14ac:dyDescent="0.6">
      <c r="A514" t="str">
        <f t="shared" si="4"/>
        <v>751</v>
      </c>
      <c r="B514" s="112">
        <v>1829200751</v>
      </c>
      <c r="C514" s="112" t="s">
        <v>527</v>
      </c>
      <c r="D514" s="111">
        <v>435000</v>
      </c>
      <c r="E514" s="114">
        <v>235491.82</v>
      </c>
      <c r="F514" s="114">
        <v>397462.91</v>
      </c>
    </row>
    <row r="515" spans="1:6" s="113" customFormat="1" hidden="1" x14ac:dyDescent="0.6">
      <c r="A515" t="str">
        <f t="shared" si="4"/>
        <v>431</v>
      </c>
      <c r="B515" s="112">
        <v>1829300431</v>
      </c>
      <c r="C515" s="112" t="s">
        <v>528</v>
      </c>
      <c r="D515" s="111">
        <v>121674.01</v>
      </c>
      <c r="E515" s="114">
        <v>184261.97</v>
      </c>
      <c r="F515" s="114">
        <v>116210.15</v>
      </c>
    </row>
    <row r="516" spans="1:6" s="113" customFormat="1" hidden="1" x14ac:dyDescent="0.6">
      <c r="A516" t="str">
        <f t="shared" si="4"/>
        <v>432</v>
      </c>
      <c r="B516" s="112">
        <v>1829300432</v>
      </c>
      <c r="C516" s="112" t="s">
        <v>529</v>
      </c>
      <c r="D516" s="111">
        <v>141000</v>
      </c>
      <c r="E516" s="114">
        <v>34046.199999999997</v>
      </c>
      <c r="F516" s="114">
        <v>93979.73</v>
      </c>
    </row>
    <row r="517" spans="1:6" s="113" customFormat="1" hidden="1" x14ac:dyDescent="0.6">
      <c r="A517" t="str">
        <f t="shared" si="4"/>
        <v>750</v>
      </c>
      <c r="B517" s="112">
        <v>1829300750</v>
      </c>
      <c r="C517" s="112" t="s">
        <v>530</v>
      </c>
      <c r="D517" s="111">
        <v>130000</v>
      </c>
      <c r="E517" s="114">
        <v>199428.27</v>
      </c>
      <c r="F517" s="114">
        <v>110740</v>
      </c>
    </row>
    <row r="518" spans="1:6" s="113" customFormat="1" hidden="1" x14ac:dyDescent="0.6">
      <c r="A518" t="str">
        <f t="shared" si="4"/>
        <v>751</v>
      </c>
      <c r="B518" s="112">
        <v>1829300751</v>
      </c>
      <c r="C518" s="112" t="s">
        <v>531</v>
      </c>
      <c r="D518" s="111">
        <v>75000</v>
      </c>
      <c r="E518" s="114">
        <v>55639</v>
      </c>
      <c r="F518" s="114"/>
    </row>
    <row r="519" spans="1:6" s="113" customFormat="1" hidden="1" x14ac:dyDescent="0.6">
      <c r="A519" t="str">
        <f t="shared" si="4"/>
        <v>780</v>
      </c>
      <c r="B519" s="112">
        <v>1832400780</v>
      </c>
      <c r="C519" s="112" t="s">
        <v>533</v>
      </c>
      <c r="D519" s="111">
        <v>10000</v>
      </c>
      <c r="E519" s="114">
        <v>11865.36</v>
      </c>
      <c r="F519" s="114">
        <v>9321.5</v>
      </c>
    </row>
    <row r="520" spans="1:6" s="113" customFormat="1" hidden="1" x14ac:dyDescent="0.6">
      <c r="A520" t="str">
        <f t="shared" si="4"/>
        <v>781</v>
      </c>
      <c r="B520" s="112">
        <v>1835000781</v>
      </c>
      <c r="C520" s="112" t="s">
        <v>534</v>
      </c>
      <c r="D520" s="111">
        <v>69004</v>
      </c>
      <c r="E520" s="114">
        <v>111112.1</v>
      </c>
      <c r="F520" s="114">
        <v>70120</v>
      </c>
    </row>
    <row r="521" spans="1:6" s="113" customFormat="1" hidden="1" x14ac:dyDescent="0.6">
      <c r="A521" t="str">
        <f t="shared" si="4"/>
        <v>810</v>
      </c>
      <c r="B521" s="112">
        <v>1836200810</v>
      </c>
      <c r="C521" s="112" t="s">
        <v>535</v>
      </c>
      <c r="D521" s="111">
        <v>185000</v>
      </c>
      <c r="E521" s="114">
        <v>195292</v>
      </c>
      <c r="F521" s="114">
        <v>195292</v>
      </c>
    </row>
    <row r="522" spans="1:6" s="113" customFormat="1" hidden="1" x14ac:dyDescent="0.6">
      <c r="A522" s="113" t="str">
        <f t="shared" si="4"/>
        <v>110</v>
      </c>
      <c r="B522" s="112">
        <v>1841100110</v>
      </c>
      <c r="C522" s="112" t="s">
        <v>539</v>
      </c>
      <c r="D522" s="111">
        <v>92542.17</v>
      </c>
      <c r="E522" s="114">
        <v>15958.84</v>
      </c>
      <c r="F522" s="114">
        <v>91655.49</v>
      </c>
    </row>
    <row r="523" spans="1:6" s="113" customFormat="1" hidden="1" x14ac:dyDescent="0.6">
      <c r="A523" s="113" t="str">
        <f t="shared" si="4"/>
        <v>110</v>
      </c>
      <c r="B523" s="112">
        <v>1842400110</v>
      </c>
      <c r="C523" s="112" t="s">
        <v>541</v>
      </c>
      <c r="D523" s="111">
        <v>172040.05</v>
      </c>
      <c r="E523" s="114">
        <v>360371.57</v>
      </c>
      <c r="F523" s="114">
        <v>175020.39</v>
      </c>
    </row>
    <row r="524" spans="1:6" s="113" customFormat="1" hidden="1" x14ac:dyDescent="0.6">
      <c r="A524" s="113" t="str">
        <f t="shared" si="4"/>
        <v>110</v>
      </c>
      <c r="B524" s="112">
        <v>1843500110</v>
      </c>
      <c r="C524" s="112" t="s">
        <v>753</v>
      </c>
      <c r="D524" s="111">
        <v>108888.8</v>
      </c>
      <c r="E524" s="114">
        <v>116015.31</v>
      </c>
      <c r="F524" s="114">
        <v>109813.75</v>
      </c>
    </row>
    <row r="525" spans="1:6" s="113" customFormat="1" hidden="1" x14ac:dyDescent="0.6">
      <c r="A525" s="113" t="str">
        <f t="shared" si="4"/>
        <v>110</v>
      </c>
      <c r="B525" s="112">
        <v>1845200110</v>
      </c>
      <c r="C525" s="112" t="s">
        <v>550</v>
      </c>
      <c r="D525" s="111">
        <v>230940.96</v>
      </c>
      <c r="E525" s="114">
        <v>688520.01</v>
      </c>
      <c r="F525" s="114">
        <v>224804.61</v>
      </c>
    </row>
    <row r="526" spans="1:6" s="113" customFormat="1" hidden="1" x14ac:dyDescent="0.6">
      <c r="A526" s="113" t="str">
        <f t="shared" si="4"/>
        <v>110</v>
      </c>
      <c r="B526" s="112">
        <v>1845210110</v>
      </c>
      <c r="C526" s="112" t="s">
        <v>552</v>
      </c>
      <c r="D526" s="111">
        <v>604438.02</v>
      </c>
      <c r="E526" s="114">
        <v>582544.86</v>
      </c>
      <c r="F526" s="114">
        <v>602304.15</v>
      </c>
    </row>
    <row r="527" spans="1:6" s="113" customFormat="1" hidden="1" x14ac:dyDescent="0.6">
      <c r="A527" s="113" t="str">
        <f t="shared" si="4"/>
        <v>110</v>
      </c>
      <c r="B527" s="112">
        <v>1846300110</v>
      </c>
      <c r="C527" s="112" t="s">
        <v>553</v>
      </c>
      <c r="D527" s="111">
        <v>151855.43</v>
      </c>
      <c r="E527" s="114">
        <v>152686.82999999999</v>
      </c>
      <c r="F527" s="114">
        <v>150788.59</v>
      </c>
    </row>
    <row r="528" spans="1:6" s="113" customFormat="1" hidden="1" x14ac:dyDescent="0.6">
      <c r="A528" s="113" t="str">
        <f t="shared" si="4"/>
        <v>110</v>
      </c>
      <c r="B528" s="112">
        <v>1861000110</v>
      </c>
      <c r="C528" s="112" t="s">
        <v>567</v>
      </c>
      <c r="D528" s="111">
        <v>69225.710000000006</v>
      </c>
      <c r="E528" s="114">
        <v>75953.22</v>
      </c>
      <c r="F528" s="114">
        <v>67755.42</v>
      </c>
    </row>
    <row r="529" spans="1:6" s="113" customFormat="1" hidden="1" x14ac:dyDescent="0.6">
      <c r="A529" s="113" t="str">
        <f t="shared" si="4"/>
        <v>110</v>
      </c>
      <c r="B529" s="112">
        <v>1871000110</v>
      </c>
      <c r="C529" s="112" t="s">
        <v>569</v>
      </c>
      <c r="D529" s="111">
        <v>489330.51</v>
      </c>
      <c r="E529" s="114">
        <v>683587.78</v>
      </c>
      <c r="F529" s="114">
        <v>428457.15</v>
      </c>
    </row>
    <row r="530" spans="1:6" hidden="1" x14ac:dyDescent="0.6">
      <c r="A530" t="str">
        <f t="shared" si="4"/>
        <v>110</v>
      </c>
      <c r="B530" s="108">
        <v>1972000110</v>
      </c>
      <c r="C530" s="108" t="s">
        <v>573</v>
      </c>
      <c r="F530" s="115">
        <v>12881.53</v>
      </c>
    </row>
    <row r="531" spans="1:6" hidden="1" x14ac:dyDescent="0.6">
      <c r="A531" t="str">
        <f t="shared" si="4"/>
        <v>210</v>
      </c>
      <c r="B531" s="108">
        <v>1990000210</v>
      </c>
      <c r="C531" s="108" t="s">
        <v>576</v>
      </c>
      <c r="E531" s="115">
        <v>-18825</v>
      </c>
      <c r="F531" s="115">
        <v>-112975</v>
      </c>
    </row>
    <row r="532" spans="1:6" x14ac:dyDescent="0.6">
      <c r="A532" t="str">
        <f t="shared" si="4"/>
        <v>310</v>
      </c>
      <c r="B532" s="108">
        <v>1990000310</v>
      </c>
      <c r="C532" s="108" t="s">
        <v>577</v>
      </c>
      <c r="D532" s="109">
        <v>23382621.739999998</v>
      </c>
      <c r="E532" s="115">
        <v>22813776.710000001</v>
      </c>
      <c r="F532" s="115">
        <v>22586806.629999999</v>
      </c>
    </row>
    <row r="533" spans="1:6" x14ac:dyDescent="0.6">
      <c r="A533" t="str">
        <f t="shared" si="4"/>
        <v>310</v>
      </c>
      <c r="B533" s="108">
        <v>1999000310</v>
      </c>
      <c r="C533" s="108" t="s">
        <v>580</v>
      </c>
      <c r="D533" s="109">
        <v>87707.02</v>
      </c>
      <c r="E533" s="115">
        <v>112373.24</v>
      </c>
      <c r="F533" s="115">
        <v>88633.81</v>
      </c>
    </row>
    <row r="534" spans="1:6" s="113" customFormat="1" hidden="1" x14ac:dyDescent="0.6">
      <c r="A534" s="113" t="str">
        <f t="shared" si="4"/>
        <v>420</v>
      </c>
      <c r="B534" s="112">
        <v>1844600420</v>
      </c>
      <c r="C534" s="112" t="s">
        <v>549</v>
      </c>
      <c r="D534" s="111">
        <v>120000</v>
      </c>
      <c r="E534" s="114">
        <v>92986.75</v>
      </c>
      <c r="F534" s="114">
        <v>139391.04999999999</v>
      </c>
    </row>
    <row r="535" spans="1:6" s="113" customFormat="1" hidden="1" x14ac:dyDescent="0.6">
      <c r="A535" s="113" t="str">
        <f t="shared" si="4"/>
        <v>420</v>
      </c>
      <c r="B535" s="112">
        <v>1932000420</v>
      </c>
      <c r="C535" s="112" t="s">
        <v>251</v>
      </c>
      <c r="D535" s="111">
        <v>11000</v>
      </c>
      <c r="E535" s="114">
        <v>14743.17</v>
      </c>
      <c r="F535" s="114">
        <v>7798.88</v>
      </c>
    </row>
    <row r="536" spans="1:6" s="113" customFormat="1" hidden="1" x14ac:dyDescent="0.6">
      <c r="A536" s="113" t="str">
        <f t="shared" si="4"/>
        <v>431</v>
      </c>
      <c r="B536" s="112">
        <v>1841000431</v>
      </c>
      <c r="C536" s="112" t="s">
        <v>537</v>
      </c>
      <c r="D536" s="111">
        <v>15832.24</v>
      </c>
      <c r="E536" s="114">
        <v>29263.919999999998</v>
      </c>
      <c r="F536" s="114">
        <v>13950.74</v>
      </c>
    </row>
    <row r="537" spans="1:6" s="113" customFormat="1" hidden="1" x14ac:dyDescent="0.6">
      <c r="A537" s="113" t="str">
        <f t="shared" si="4"/>
        <v>432</v>
      </c>
      <c r="B537" s="112">
        <v>1841000432</v>
      </c>
      <c r="C537" s="112" t="s">
        <v>253</v>
      </c>
      <c r="D537" s="111">
        <v>2000</v>
      </c>
      <c r="E537" s="114"/>
      <c r="F537" s="114">
        <v>2649.27</v>
      </c>
    </row>
    <row r="538" spans="1:6" s="113" customFormat="1" hidden="1" x14ac:dyDescent="0.6">
      <c r="A538" s="113" t="str">
        <f t="shared" si="4"/>
        <v>540</v>
      </c>
      <c r="B538" s="112">
        <v>1841000540</v>
      </c>
      <c r="C538" s="112" t="s">
        <v>241</v>
      </c>
      <c r="D538" s="111">
        <v>35000</v>
      </c>
      <c r="E538" s="114">
        <v>1435.3</v>
      </c>
      <c r="F538" s="114">
        <v>24605.75</v>
      </c>
    </row>
    <row r="539" spans="1:6" s="113" customFormat="1" hidden="1" x14ac:dyDescent="0.6">
      <c r="A539" s="113" t="str">
        <f t="shared" si="4"/>
        <v>694</v>
      </c>
      <c r="B539" s="112">
        <v>1972000694</v>
      </c>
      <c r="C539" s="112" t="s">
        <v>574</v>
      </c>
      <c r="D539" s="111">
        <v>821704.96</v>
      </c>
      <c r="E539" s="114">
        <v>3807456.18</v>
      </c>
      <c r="F539" s="114">
        <v>781529.16</v>
      </c>
    </row>
    <row r="540" spans="1:6" s="113" customFormat="1" hidden="1" x14ac:dyDescent="0.6">
      <c r="A540" s="113" t="str">
        <f t="shared" si="4"/>
        <v>750</v>
      </c>
      <c r="B540" s="112">
        <v>1871000750</v>
      </c>
      <c r="C540" s="112" t="s">
        <v>570</v>
      </c>
      <c r="D540" s="111">
        <v>200000</v>
      </c>
      <c r="E540" s="114">
        <v>357044.62</v>
      </c>
      <c r="F540" s="114">
        <v>246331</v>
      </c>
    </row>
    <row r="541" spans="1:6" s="113" customFormat="1" hidden="1" x14ac:dyDescent="0.6">
      <c r="A541" s="113" t="str">
        <f t="shared" ref="A541:A604" si="5">RIGHT(B541,3)</f>
        <v>751</v>
      </c>
      <c r="B541" s="112">
        <v>1972000751</v>
      </c>
      <c r="C541" s="112" t="s">
        <v>575</v>
      </c>
      <c r="D541" s="111">
        <v>75000</v>
      </c>
      <c r="E541" s="114">
        <v>51480</v>
      </c>
      <c r="F541" s="114">
        <v>56640</v>
      </c>
    </row>
    <row r="542" spans="1:6" s="113" customFormat="1" hidden="1" x14ac:dyDescent="0.6">
      <c r="A542" s="113" t="str">
        <f t="shared" si="5"/>
        <v>770</v>
      </c>
      <c r="B542" s="112">
        <v>1841100770</v>
      </c>
      <c r="C542" s="112" t="s">
        <v>540</v>
      </c>
      <c r="D542" s="111">
        <v>95000</v>
      </c>
      <c r="E542" s="114">
        <v>97141</v>
      </c>
      <c r="F542" s="114">
        <v>87230</v>
      </c>
    </row>
    <row r="543" spans="1:6" s="113" customFormat="1" hidden="1" x14ac:dyDescent="0.6">
      <c r="A543" s="113" t="str">
        <f t="shared" si="5"/>
        <v>780</v>
      </c>
      <c r="B543" s="112">
        <v>1861000780</v>
      </c>
      <c r="C543" s="112" t="s">
        <v>568</v>
      </c>
      <c r="D543" s="111">
        <v>400000</v>
      </c>
      <c r="E543" s="114">
        <v>118137</v>
      </c>
      <c r="F543" s="114">
        <v>403917</v>
      </c>
    </row>
    <row r="544" spans="1:6" s="113" customFormat="1" hidden="1" x14ac:dyDescent="0.6">
      <c r="A544" s="113" t="str">
        <f t="shared" si="5"/>
        <v>780</v>
      </c>
      <c r="B544" s="112">
        <v>1871000780</v>
      </c>
      <c r="C544" s="112" t="s">
        <v>571</v>
      </c>
      <c r="D544" s="111">
        <v>20000</v>
      </c>
      <c r="E544" s="114">
        <v>14818.2</v>
      </c>
      <c r="F544" s="114"/>
    </row>
    <row r="545" spans="1:6" s="113" customFormat="1" hidden="1" x14ac:dyDescent="0.6">
      <c r="A545" s="113" t="str">
        <f t="shared" si="5"/>
        <v>780</v>
      </c>
      <c r="B545" s="112">
        <v>1932000780</v>
      </c>
      <c r="C545" s="112" t="s">
        <v>228</v>
      </c>
      <c r="D545" s="111">
        <v>39000</v>
      </c>
      <c r="E545" s="114">
        <v>19732</v>
      </c>
      <c r="F545" s="114">
        <v>28754</v>
      </c>
    </row>
    <row r="546" spans="1:6" s="113" customFormat="1" hidden="1" x14ac:dyDescent="0.6">
      <c r="A546" s="113" t="str">
        <f t="shared" si="5"/>
        <v>810</v>
      </c>
      <c r="B546" s="112">
        <v>1842200810</v>
      </c>
      <c r="C546" s="112" t="s">
        <v>143</v>
      </c>
      <c r="D546" s="112"/>
      <c r="E546" s="114">
        <v>35061.43</v>
      </c>
      <c r="F546" s="114"/>
    </row>
    <row r="547" spans="1:6" s="113" customFormat="1" hidden="1" x14ac:dyDescent="0.6">
      <c r="A547" s="113" t="str">
        <f t="shared" si="5"/>
        <v>810</v>
      </c>
      <c r="B547" s="112">
        <v>1851000810</v>
      </c>
      <c r="C547" s="112" t="s">
        <v>565</v>
      </c>
      <c r="D547" s="111">
        <v>1378118</v>
      </c>
      <c r="E547" s="114">
        <v>1378632</v>
      </c>
      <c r="F547" s="114">
        <v>1582116</v>
      </c>
    </row>
    <row r="548" spans="1:6" s="113" customFormat="1" hidden="1" x14ac:dyDescent="0.6">
      <c r="A548" s="113" t="str">
        <f t="shared" si="5"/>
        <v>811</v>
      </c>
      <c r="B548" s="112">
        <v>1615000811</v>
      </c>
      <c r="C548" s="112" t="s">
        <v>275</v>
      </c>
      <c r="D548" s="111">
        <v>412000</v>
      </c>
      <c r="E548" s="114">
        <v>395486.9</v>
      </c>
      <c r="F548" s="114">
        <v>184128.6</v>
      </c>
    </row>
    <row r="549" spans="1:6" s="113" customFormat="1" hidden="1" x14ac:dyDescent="0.6">
      <c r="A549" s="113" t="str">
        <f t="shared" si="5"/>
        <v>820</v>
      </c>
      <c r="B549" s="112">
        <v>1844600820</v>
      </c>
      <c r="C549" s="112" t="s">
        <v>754</v>
      </c>
      <c r="D549" s="112"/>
      <c r="E549" s="114">
        <v>53.55</v>
      </c>
      <c r="F549" s="114"/>
    </row>
    <row r="550" spans="1:6" s="113" customFormat="1" hidden="1" x14ac:dyDescent="0.6">
      <c r="A550" s="113" t="str">
        <f t="shared" si="5"/>
        <v>840</v>
      </c>
      <c r="B550" s="112">
        <v>1841000840</v>
      </c>
      <c r="C550" s="112" t="s">
        <v>538</v>
      </c>
      <c r="D550" s="111">
        <v>94312</v>
      </c>
      <c r="E550" s="114">
        <v>55082.27</v>
      </c>
      <c r="F550" s="114">
        <v>87279.76</v>
      </c>
    </row>
    <row r="551" spans="1:6" s="113" customFormat="1" hidden="1" x14ac:dyDescent="0.6">
      <c r="A551" s="113" t="str">
        <f t="shared" si="5"/>
        <v>840</v>
      </c>
      <c r="B551" s="112">
        <v>1842400840</v>
      </c>
      <c r="C551" s="112" t="s">
        <v>541</v>
      </c>
      <c r="D551" s="111">
        <v>30000</v>
      </c>
      <c r="E551" s="114">
        <v>15900.98</v>
      </c>
      <c r="F551" s="114">
        <v>-9246.24</v>
      </c>
    </row>
    <row r="552" spans="1:6" s="113" customFormat="1" hidden="1" x14ac:dyDescent="0.6">
      <c r="A552" s="113" t="str">
        <f t="shared" si="5"/>
        <v>840</v>
      </c>
      <c r="B552" s="112">
        <v>1843500840</v>
      </c>
      <c r="C552" s="112" t="s">
        <v>543</v>
      </c>
      <c r="D552" s="111">
        <v>580236</v>
      </c>
      <c r="E552" s="114">
        <v>558462</v>
      </c>
      <c r="F552" s="114">
        <v>520151</v>
      </c>
    </row>
    <row r="553" spans="1:6" s="113" customFormat="1" hidden="1" x14ac:dyDescent="0.6">
      <c r="A553" s="113" t="str">
        <f t="shared" si="5"/>
        <v>840</v>
      </c>
      <c r="B553" s="112">
        <v>1843800840</v>
      </c>
      <c r="C553" s="112" t="s">
        <v>156</v>
      </c>
      <c r="D553" s="111">
        <v>3900000</v>
      </c>
      <c r="E553" s="114">
        <v>3056470.85</v>
      </c>
      <c r="F553" s="114">
        <v>3696284</v>
      </c>
    </row>
    <row r="554" spans="1:6" s="113" customFormat="1" hidden="1" x14ac:dyDescent="0.6">
      <c r="A554" s="113" t="str">
        <f t="shared" si="5"/>
        <v>840</v>
      </c>
      <c r="B554" s="112">
        <v>1843900840</v>
      </c>
      <c r="C554" s="112" t="s">
        <v>546</v>
      </c>
      <c r="D554" s="111">
        <v>1400000</v>
      </c>
      <c r="E554" s="114">
        <v>1610013</v>
      </c>
      <c r="F554" s="114">
        <v>1472425</v>
      </c>
    </row>
    <row r="555" spans="1:6" s="113" customFormat="1" hidden="1" x14ac:dyDescent="0.6">
      <c r="A555" s="113" t="str">
        <f t="shared" si="5"/>
        <v>840</v>
      </c>
      <c r="B555" s="112">
        <v>1844300840</v>
      </c>
      <c r="C555" s="112" t="s">
        <v>159</v>
      </c>
      <c r="D555" s="111">
        <v>890000</v>
      </c>
      <c r="E555" s="114">
        <v>788695</v>
      </c>
      <c r="F555" s="114">
        <v>986105</v>
      </c>
    </row>
    <row r="556" spans="1:6" s="113" customFormat="1" hidden="1" x14ac:dyDescent="0.6">
      <c r="A556" s="113" t="str">
        <f t="shared" si="5"/>
        <v>840</v>
      </c>
      <c r="B556" s="112">
        <v>1844500840</v>
      </c>
      <c r="C556" s="112" t="s">
        <v>168</v>
      </c>
      <c r="D556" s="111">
        <v>270000</v>
      </c>
      <c r="E556" s="114">
        <v>212512</v>
      </c>
      <c r="F556" s="114">
        <v>283032</v>
      </c>
    </row>
    <row r="557" spans="1:6" s="113" customFormat="1" hidden="1" x14ac:dyDescent="0.6">
      <c r="A557" s="113" t="str">
        <f t="shared" si="5"/>
        <v>840</v>
      </c>
      <c r="B557" s="112">
        <v>1845100840</v>
      </c>
      <c r="C557" s="112" t="s">
        <v>170</v>
      </c>
      <c r="D557" s="111">
        <v>5600000</v>
      </c>
      <c r="E557" s="114">
        <v>6554568</v>
      </c>
      <c r="F557" s="114">
        <v>6014660</v>
      </c>
    </row>
    <row r="558" spans="1:6" s="113" customFormat="1" hidden="1" x14ac:dyDescent="0.6">
      <c r="A558" s="113" t="str">
        <f t="shared" si="5"/>
        <v>840</v>
      </c>
      <c r="B558" s="112">
        <v>1845200840</v>
      </c>
      <c r="C558" s="112" t="s">
        <v>181</v>
      </c>
      <c r="D558" s="111">
        <v>550000</v>
      </c>
      <c r="E558" s="114">
        <v>543493</v>
      </c>
      <c r="F558" s="114">
        <v>588409</v>
      </c>
    </row>
    <row r="559" spans="1:6" s="113" customFormat="1" hidden="1" x14ac:dyDescent="0.6">
      <c r="A559" s="113" t="str">
        <f t="shared" si="5"/>
        <v>840</v>
      </c>
      <c r="B559" s="112">
        <v>1845300840</v>
      </c>
      <c r="C559" s="112" t="s">
        <v>183</v>
      </c>
      <c r="D559" s="111">
        <v>7000</v>
      </c>
      <c r="E559" s="114">
        <v>15935</v>
      </c>
      <c r="F559" s="114">
        <v>8251</v>
      </c>
    </row>
    <row r="560" spans="1:6" s="113" customFormat="1" hidden="1" x14ac:dyDescent="0.6">
      <c r="A560" s="113" t="str">
        <f t="shared" si="5"/>
        <v>840</v>
      </c>
      <c r="B560" s="112">
        <v>1846300840</v>
      </c>
      <c r="C560" s="112" t="s">
        <v>554</v>
      </c>
      <c r="D560" s="111">
        <v>20000</v>
      </c>
      <c r="E560" s="114">
        <v>15138</v>
      </c>
      <c r="F560" s="114">
        <v>17143</v>
      </c>
    </row>
    <row r="561" spans="1:6" s="113" customFormat="1" hidden="1" x14ac:dyDescent="0.6">
      <c r="A561" s="113" t="str">
        <f t="shared" si="5"/>
        <v>840</v>
      </c>
      <c r="B561" s="112">
        <v>1846500840</v>
      </c>
      <c r="C561" s="112" t="s">
        <v>188</v>
      </c>
      <c r="D561" s="111">
        <v>140400</v>
      </c>
      <c r="E561" s="114">
        <v>87900</v>
      </c>
      <c r="F561" s="114">
        <v>140400</v>
      </c>
    </row>
    <row r="562" spans="1:6" s="113" customFormat="1" hidden="1" x14ac:dyDescent="0.6">
      <c r="A562" s="113" t="str">
        <f t="shared" si="5"/>
        <v>840</v>
      </c>
      <c r="B562" s="112">
        <v>1846700840</v>
      </c>
      <c r="C562" s="112" t="s">
        <v>193</v>
      </c>
      <c r="D562" s="111">
        <v>206000</v>
      </c>
      <c r="E562" s="114">
        <v>225980</v>
      </c>
      <c r="F562" s="114">
        <v>68789</v>
      </c>
    </row>
    <row r="563" spans="1:6" s="113" customFormat="1" hidden="1" x14ac:dyDescent="0.6">
      <c r="A563" s="113" t="str">
        <f t="shared" si="5"/>
        <v>840</v>
      </c>
      <c r="B563" s="112">
        <v>1846800840</v>
      </c>
      <c r="C563" s="112" t="s">
        <v>556</v>
      </c>
      <c r="D563" s="111">
        <v>15000</v>
      </c>
      <c r="E563" s="114">
        <v>1623</v>
      </c>
      <c r="F563" s="114">
        <v>-8361</v>
      </c>
    </row>
    <row r="564" spans="1:6" s="113" customFormat="1" hidden="1" x14ac:dyDescent="0.6">
      <c r="A564" s="113" t="str">
        <f t="shared" si="5"/>
        <v>840</v>
      </c>
      <c r="B564" s="112">
        <v>1847300840</v>
      </c>
      <c r="C564" s="112" t="s">
        <v>557</v>
      </c>
      <c r="D564" s="111">
        <v>3000</v>
      </c>
      <c r="E564" s="114">
        <v>2585</v>
      </c>
      <c r="F564" s="114">
        <v>2579.9</v>
      </c>
    </row>
    <row r="565" spans="1:6" s="113" customFormat="1" hidden="1" x14ac:dyDescent="0.6">
      <c r="A565" s="113" t="str">
        <f t="shared" si="5"/>
        <v>840</v>
      </c>
      <c r="B565" s="112">
        <v>1848200840</v>
      </c>
      <c r="C565" s="112" t="s">
        <v>213</v>
      </c>
      <c r="D565" s="111">
        <v>4000</v>
      </c>
      <c r="E565" s="114">
        <v>3905.1</v>
      </c>
      <c r="F565" s="114">
        <v>4718.5</v>
      </c>
    </row>
    <row r="566" spans="1:6" s="113" customFormat="1" hidden="1" x14ac:dyDescent="0.6">
      <c r="A566" s="113" t="str">
        <f t="shared" si="5"/>
        <v>840</v>
      </c>
      <c r="B566" s="112">
        <v>1848300840</v>
      </c>
      <c r="C566" s="112" t="s">
        <v>559</v>
      </c>
      <c r="D566" s="111">
        <v>5000</v>
      </c>
      <c r="E566" s="114"/>
      <c r="F566" s="114"/>
    </row>
    <row r="567" spans="1:6" s="113" customFormat="1" hidden="1" x14ac:dyDescent="0.6">
      <c r="A567" s="113" t="str">
        <f t="shared" si="5"/>
        <v>840</v>
      </c>
      <c r="B567" s="112">
        <v>1848400840</v>
      </c>
      <c r="C567" s="112" t="s">
        <v>560</v>
      </c>
      <c r="D567" s="112"/>
      <c r="E567" s="114"/>
      <c r="F567" s="114">
        <v>840</v>
      </c>
    </row>
    <row r="568" spans="1:6" s="113" customFormat="1" hidden="1" x14ac:dyDescent="0.6">
      <c r="A568" s="113" t="str">
        <f t="shared" si="5"/>
        <v>840</v>
      </c>
      <c r="B568" s="112">
        <v>1848500840</v>
      </c>
      <c r="C568" s="112" t="s">
        <v>562</v>
      </c>
      <c r="D568" s="112"/>
      <c r="E568" s="114">
        <v>1287</v>
      </c>
      <c r="F568" s="114"/>
    </row>
    <row r="569" spans="1:6" s="113" customFormat="1" hidden="1" x14ac:dyDescent="0.6">
      <c r="A569" s="113" t="str">
        <f t="shared" si="5"/>
        <v>840</v>
      </c>
      <c r="B569" s="112">
        <v>1849200840</v>
      </c>
      <c r="C569" s="112" t="s">
        <v>219</v>
      </c>
      <c r="D569" s="111">
        <v>33000</v>
      </c>
      <c r="E569" s="114">
        <v>9586</v>
      </c>
      <c r="F569" s="114">
        <v>13640</v>
      </c>
    </row>
    <row r="570" spans="1:6" s="113" customFormat="1" hidden="1" x14ac:dyDescent="0.6">
      <c r="A570" s="113" t="str">
        <f t="shared" si="5"/>
        <v>841</v>
      </c>
      <c r="B570" s="112">
        <v>1842200841</v>
      </c>
      <c r="C570" s="112" t="s">
        <v>142</v>
      </c>
      <c r="D570" s="111">
        <v>200000</v>
      </c>
      <c r="E570" s="114">
        <v>188606</v>
      </c>
      <c r="F570" s="114">
        <v>156492</v>
      </c>
    </row>
    <row r="571" spans="1:6" s="113" customFormat="1" hidden="1" x14ac:dyDescent="0.6">
      <c r="A571" s="113" t="str">
        <f t="shared" si="5"/>
        <v>841</v>
      </c>
      <c r="B571" s="112">
        <v>1842300841</v>
      </c>
      <c r="C571" s="112" t="s">
        <v>146</v>
      </c>
      <c r="D571" s="111">
        <v>191541</v>
      </c>
      <c r="E571" s="114">
        <v>114409.63</v>
      </c>
      <c r="F571" s="114">
        <v>111899.09</v>
      </c>
    </row>
    <row r="572" spans="1:6" s="113" customFormat="1" hidden="1" x14ac:dyDescent="0.6">
      <c r="A572" s="113" t="str">
        <f t="shared" si="5"/>
        <v>841</v>
      </c>
      <c r="B572" s="112">
        <v>1842400841</v>
      </c>
      <c r="C572" s="112" t="s">
        <v>148</v>
      </c>
      <c r="D572" s="111">
        <v>40500</v>
      </c>
      <c r="E572" s="114">
        <v>7000</v>
      </c>
      <c r="F572" s="114">
        <v>40000</v>
      </c>
    </row>
    <row r="573" spans="1:6" s="113" customFormat="1" hidden="1" x14ac:dyDescent="0.6">
      <c r="A573" s="113" t="str">
        <f t="shared" si="5"/>
        <v>841</v>
      </c>
      <c r="B573" s="112">
        <v>1843500841</v>
      </c>
      <c r="C573" s="112" t="s">
        <v>150</v>
      </c>
      <c r="D573" s="111">
        <v>57000</v>
      </c>
      <c r="E573" s="114"/>
      <c r="F573" s="114"/>
    </row>
    <row r="574" spans="1:6" s="113" customFormat="1" hidden="1" x14ac:dyDescent="0.6">
      <c r="A574" s="113" t="str">
        <f t="shared" si="5"/>
        <v>841</v>
      </c>
      <c r="B574" s="112">
        <v>1843800841</v>
      </c>
      <c r="C574" s="112" t="s">
        <v>157</v>
      </c>
      <c r="D574" s="112"/>
      <c r="E574" s="114">
        <v>654</v>
      </c>
      <c r="F574" s="114">
        <v>1835</v>
      </c>
    </row>
    <row r="575" spans="1:6" s="113" customFormat="1" hidden="1" x14ac:dyDescent="0.6">
      <c r="A575" s="113" t="str">
        <f t="shared" si="5"/>
        <v>841</v>
      </c>
      <c r="B575" s="112">
        <v>1844400841</v>
      </c>
      <c r="C575" s="112" t="s">
        <v>547</v>
      </c>
      <c r="D575" s="111">
        <v>300000</v>
      </c>
      <c r="E575" s="114">
        <v>242673.8</v>
      </c>
      <c r="F575" s="114">
        <v>330095</v>
      </c>
    </row>
    <row r="576" spans="1:6" s="113" customFormat="1" hidden="1" x14ac:dyDescent="0.6">
      <c r="A576" s="113" t="str">
        <f t="shared" si="5"/>
        <v>841</v>
      </c>
      <c r="B576" s="112">
        <v>1845100841</v>
      </c>
      <c r="C576" s="112" t="s">
        <v>171</v>
      </c>
      <c r="D576" s="111">
        <v>325000</v>
      </c>
      <c r="E576" s="114">
        <v>494594</v>
      </c>
      <c r="F576" s="114">
        <v>356097</v>
      </c>
    </row>
    <row r="577" spans="1:6" s="113" customFormat="1" hidden="1" x14ac:dyDescent="0.6">
      <c r="A577" s="113" t="str">
        <f t="shared" si="5"/>
        <v>841</v>
      </c>
      <c r="B577" s="112">
        <v>1845200841</v>
      </c>
      <c r="C577" s="112" t="s">
        <v>551</v>
      </c>
      <c r="D577" s="111">
        <v>100000</v>
      </c>
      <c r="E577" s="114">
        <v>84817</v>
      </c>
      <c r="F577" s="114">
        <v>67517.820000000007</v>
      </c>
    </row>
    <row r="578" spans="1:6" s="113" customFormat="1" hidden="1" x14ac:dyDescent="0.6">
      <c r="A578" s="113" t="str">
        <f t="shared" si="5"/>
        <v>841</v>
      </c>
      <c r="B578" s="112">
        <v>1846300841</v>
      </c>
      <c r="C578" s="112" t="s">
        <v>555</v>
      </c>
      <c r="D578" s="111">
        <v>10000</v>
      </c>
      <c r="E578" s="114"/>
      <c r="F578" s="114"/>
    </row>
    <row r="579" spans="1:6" s="113" customFormat="1" hidden="1" x14ac:dyDescent="0.6">
      <c r="A579" s="113" t="str">
        <f t="shared" si="5"/>
        <v>841</v>
      </c>
      <c r="B579" s="112">
        <v>1846400841</v>
      </c>
      <c r="C579" s="112" t="s">
        <v>187</v>
      </c>
      <c r="D579" s="112"/>
      <c r="E579" s="114">
        <v>4482</v>
      </c>
      <c r="F579" s="114">
        <v>-5268</v>
      </c>
    </row>
    <row r="580" spans="1:6" s="113" customFormat="1" hidden="1" x14ac:dyDescent="0.6">
      <c r="A580" s="113" t="str">
        <f t="shared" si="5"/>
        <v>841</v>
      </c>
      <c r="B580" s="112">
        <v>1846700841</v>
      </c>
      <c r="C580" s="112" t="s">
        <v>194</v>
      </c>
      <c r="D580" s="111">
        <v>40000</v>
      </c>
      <c r="E580" s="114">
        <v>216522</v>
      </c>
      <c r="F580" s="114">
        <v>80520</v>
      </c>
    </row>
    <row r="581" spans="1:6" s="113" customFormat="1" hidden="1" x14ac:dyDescent="0.6">
      <c r="A581" s="113" t="str">
        <f t="shared" si="5"/>
        <v>841</v>
      </c>
      <c r="B581" s="112">
        <v>1846800841</v>
      </c>
      <c r="C581" s="112" t="s">
        <v>202</v>
      </c>
      <c r="D581" s="111">
        <v>6000</v>
      </c>
      <c r="E581" s="114">
        <v>42699.75</v>
      </c>
      <c r="F581" s="114">
        <v>16749</v>
      </c>
    </row>
    <row r="582" spans="1:6" s="113" customFormat="1" hidden="1" x14ac:dyDescent="0.6">
      <c r="A582" s="113" t="str">
        <f t="shared" si="5"/>
        <v>841</v>
      </c>
      <c r="B582" s="112">
        <v>1847100841</v>
      </c>
      <c r="C582" s="112" t="s">
        <v>205</v>
      </c>
      <c r="D582" s="111">
        <v>20000</v>
      </c>
      <c r="E582" s="114"/>
      <c r="F582" s="114"/>
    </row>
    <row r="583" spans="1:6" s="113" customFormat="1" hidden="1" x14ac:dyDescent="0.6">
      <c r="A583" s="113" t="str">
        <f t="shared" si="5"/>
        <v>841</v>
      </c>
      <c r="B583" s="112">
        <v>1847300841</v>
      </c>
      <c r="C583" s="112" t="s">
        <v>211</v>
      </c>
      <c r="D583" s="111">
        <v>240000</v>
      </c>
      <c r="E583" s="114">
        <v>140318</v>
      </c>
      <c r="F583" s="114">
        <v>178365</v>
      </c>
    </row>
    <row r="584" spans="1:6" s="113" customFormat="1" hidden="1" x14ac:dyDescent="0.6">
      <c r="A584" s="113" t="str">
        <f t="shared" si="5"/>
        <v>842</v>
      </c>
      <c r="B584" s="112">
        <v>1843500842</v>
      </c>
      <c r="C584" s="112" t="s">
        <v>544</v>
      </c>
      <c r="D584" s="111">
        <v>350000</v>
      </c>
      <c r="E584" s="114">
        <v>388961</v>
      </c>
      <c r="F584" s="114">
        <v>429265</v>
      </c>
    </row>
    <row r="585" spans="1:6" s="113" customFormat="1" hidden="1" x14ac:dyDescent="0.6">
      <c r="A585" s="113" t="str">
        <f t="shared" si="5"/>
        <v>842</v>
      </c>
      <c r="B585" s="112">
        <v>1844400842</v>
      </c>
      <c r="C585" s="112" t="s">
        <v>548</v>
      </c>
      <c r="D585" s="112"/>
      <c r="E585" s="114">
        <v>3500</v>
      </c>
      <c r="F585" s="114"/>
    </row>
    <row r="586" spans="1:6" s="113" customFormat="1" hidden="1" x14ac:dyDescent="0.6">
      <c r="A586" s="113" t="str">
        <f t="shared" si="5"/>
        <v>842</v>
      </c>
      <c r="B586" s="112">
        <v>1845100842</v>
      </c>
      <c r="C586" s="112" t="s">
        <v>172</v>
      </c>
      <c r="D586" s="111">
        <v>10000</v>
      </c>
      <c r="E586" s="114">
        <v>10426</v>
      </c>
      <c r="F586" s="114">
        <v>10191</v>
      </c>
    </row>
    <row r="587" spans="1:6" s="113" customFormat="1" hidden="1" x14ac:dyDescent="0.6">
      <c r="A587" s="113" t="str">
        <f t="shared" si="5"/>
        <v>842</v>
      </c>
      <c r="B587" s="112">
        <v>1845300842</v>
      </c>
      <c r="C587" s="112" t="s">
        <v>184</v>
      </c>
      <c r="D587" s="111">
        <v>4000</v>
      </c>
      <c r="E587" s="114">
        <v>12951</v>
      </c>
      <c r="F587" s="114"/>
    </row>
    <row r="588" spans="1:6" s="113" customFormat="1" hidden="1" x14ac:dyDescent="0.6">
      <c r="A588" s="113" t="str">
        <f t="shared" si="5"/>
        <v>842</v>
      </c>
      <c r="B588" s="112">
        <v>1846500842</v>
      </c>
      <c r="C588" s="112" t="s">
        <v>189</v>
      </c>
      <c r="D588" s="111">
        <v>2350000</v>
      </c>
      <c r="E588" s="114">
        <v>2854774</v>
      </c>
      <c r="F588" s="114">
        <v>2603604</v>
      </c>
    </row>
    <row r="589" spans="1:6" s="113" customFormat="1" hidden="1" x14ac:dyDescent="0.6">
      <c r="A589" s="113" t="str">
        <f t="shared" si="5"/>
        <v>842</v>
      </c>
      <c r="B589" s="112">
        <v>1847100842</v>
      </c>
      <c r="C589" s="112" t="s">
        <v>206</v>
      </c>
      <c r="D589" s="111">
        <v>12637</v>
      </c>
      <c r="E589" s="114">
        <v>30052</v>
      </c>
      <c r="F589" s="114">
        <v>97</v>
      </c>
    </row>
    <row r="590" spans="1:6" s="113" customFormat="1" hidden="1" x14ac:dyDescent="0.6">
      <c r="A590" s="113" t="str">
        <f t="shared" si="5"/>
        <v>843</v>
      </c>
      <c r="B590" s="112">
        <v>1843500843</v>
      </c>
      <c r="C590" s="112" t="s">
        <v>152</v>
      </c>
      <c r="D590" s="111">
        <v>40000</v>
      </c>
      <c r="E590" s="114">
        <v>25597</v>
      </c>
      <c r="F590" s="114">
        <v>44627</v>
      </c>
    </row>
    <row r="591" spans="1:6" s="113" customFormat="1" hidden="1" x14ac:dyDescent="0.6">
      <c r="A591" s="113" t="str">
        <f t="shared" si="5"/>
        <v>843</v>
      </c>
      <c r="B591" s="112">
        <v>1844400843</v>
      </c>
      <c r="C591" s="112" t="s">
        <v>161</v>
      </c>
      <c r="D591" s="111">
        <v>32000</v>
      </c>
      <c r="E591" s="114">
        <v>24568</v>
      </c>
      <c r="F591" s="114">
        <v>29104</v>
      </c>
    </row>
    <row r="592" spans="1:6" s="113" customFormat="1" hidden="1" x14ac:dyDescent="0.6">
      <c r="A592" s="113" t="str">
        <f t="shared" si="5"/>
        <v>843</v>
      </c>
      <c r="B592" s="112">
        <v>1845100843</v>
      </c>
      <c r="C592" s="112" t="s">
        <v>173</v>
      </c>
      <c r="D592" s="111">
        <v>70000</v>
      </c>
      <c r="E592" s="114">
        <v>73934</v>
      </c>
      <c r="F592" s="114">
        <v>60281</v>
      </c>
    </row>
    <row r="593" spans="1:6" s="113" customFormat="1" hidden="1" x14ac:dyDescent="0.6">
      <c r="A593" s="113" t="str">
        <f t="shared" si="5"/>
        <v>843</v>
      </c>
      <c r="B593" s="112">
        <v>1845200843</v>
      </c>
      <c r="C593" s="112" t="s">
        <v>179</v>
      </c>
      <c r="D593" s="111">
        <v>550000</v>
      </c>
      <c r="E593" s="114">
        <v>426748.32</v>
      </c>
      <c r="F593" s="114">
        <v>509260.36</v>
      </c>
    </row>
    <row r="594" spans="1:6" s="113" customFormat="1" hidden="1" x14ac:dyDescent="0.6">
      <c r="A594" s="113" t="str">
        <f t="shared" si="5"/>
        <v>843</v>
      </c>
      <c r="B594" s="112">
        <v>1845300843</v>
      </c>
      <c r="C594" s="112" t="s">
        <v>185</v>
      </c>
      <c r="D594" s="111">
        <v>240000</v>
      </c>
      <c r="E594" s="114">
        <v>228992.32</v>
      </c>
      <c r="F594" s="114">
        <v>179962</v>
      </c>
    </row>
    <row r="595" spans="1:6" s="113" customFormat="1" hidden="1" x14ac:dyDescent="0.6">
      <c r="A595" s="113" t="str">
        <f t="shared" si="5"/>
        <v>843</v>
      </c>
      <c r="B595" s="112">
        <v>1846500843</v>
      </c>
      <c r="C595" s="112" t="s">
        <v>190</v>
      </c>
      <c r="D595" s="111">
        <v>450000</v>
      </c>
      <c r="E595" s="114">
        <v>494755</v>
      </c>
      <c r="F595" s="114">
        <v>406664</v>
      </c>
    </row>
    <row r="596" spans="1:6" s="113" customFormat="1" hidden="1" x14ac:dyDescent="0.6">
      <c r="A596" s="113" t="str">
        <f t="shared" si="5"/>
        <v>843</v>
      </c>
      <c r="B596" s="112">
        <v>1846700843</v>
      </c>
      <c r="C596" s="112" t="s">
        <v>196</v>
      </c>
      <c r="D596" s="111">
        <v>700000</v>
      </c>
      <c r="E596" s="114">
        <v>1199956</v>
      </c>
      <c r="F596" s="114">
        <v>863390</v>
      </c>
    </row>
    <row r="597" spans="1:6" s="113" customFormat="1" hidden="1" x14ac:dyDescent="0.6">
      <c r="A597" s="113" t="str">
        <f t="shared" si="5"/>
        <v>843</v>
      </c>
      <c r="B597" s="112">
        <v>1846800843</v>
      </c>
      <c r="C597" s="112" t="s">
        <v>204</v>
      </c>
      <c r="D597" s="111">
        <v>5000</v>
      </c>
      <c r="E597" s="114"/>
      <c r="F597" s="114"/>
    </row>
    <row r="598" spans="1:6" s="113" customFormat="1" hidden="1" x14ac:dyDescent="0.6">
      <c r="A598" s="113" t="str">
        <f t="shared" si="5"/>
        <v>843</v>
      </c>
      <c r="B598" s="112">
        <v>1849000843</v>
      </c>
      <c r="C598" s="112" t="s">
        <v>215</v>
      </c>
      <c r="D598" s="111">
        <v>10000</v>
      </c>
      <c r="E598" s="114">
        <v>6900</v>
      </c>
      <c r="F598" s="114">
        <v>500</v>
      </c>
    </row>
    <row r="599" spans="1:6" s="113" customFormat="1" hidden="1" x14ac:dyDescent="0.6">
      <c r="A599" s="113" t="str">
        <f t="shared" si="5"/>
        <v>844</v>
      </c>
      <c r="B599" s="112">
        <v>1843500844</v>
      </c>
      <c r="C599" s="112" t="s">
        <v>153</v>
      </c>
      <c r="D599" s="111">
        <v>74173</v>
      </c>
      <c r="E599" s="114">
        <v>69951</v>
      </c>
      <c r="F599" s="114">
        <v>67653</v>
      </c>
    </row>
    <row r="600" spans="1:6" s="113" customFormat="1" hidden="1" x14ac:dyDescent="0.6">
      <c r="A600" s="113" t="str">
        <f t="shared" si="5"/>
        <v>844</v>
      </c>
      <c r="B600" s="112">
        <v>1844400844</v>
      </c>
      <c r="C600" s="112" t="s">
        <v>162</v>
      </c>
      <c r="D600" s="111">
        <v>90000</v>
      </c>
      <c r="E600" s="114">
        <v>135933</v>
      </c>
      <c r="F600" s="114">
        <v>122070</v>
      </c>
    </row>
    <row r="601" spans="1:6" s="113" customFormat="1" hidden="1" x14ac:dyDescent="0.6">
      <c r="A601" s="113" t="str">
        <f t="shared" si="5"/>
        <v>844</v>
      </c>
      <c r="B601" s="112">
        <v>1845100844</v>
      </c>
      <c r="C601" s="112" t="s">
        <v>174</v>
      </c>
      <c r="D601" s="111">
        <v>67000</v>
      </c>
      <c r="E601" s="114">
        <v>68719</v>
      </c>
      <c r="F601" s="114">
        <v>71508</v>
      </c>
    </row>
    <row r="602" spans="1:6" s="113" customFormat="1" hidden="1" x14ac:dyDescent="0.6">
      <c r="A602" s="113" t="str">
        <f t="shared" si="5"/>
        <v>844</v>
      </c>
      <c r="B602" s="112">
        <v>1849000844</v>
      </c>
      <c r="C602" s="112" t="s">
        <v>216</v>
      </c>
      <c r="D602" s="111">
        <v>5000</v>
      </c>
      <c r="E602" s="114"/>
      <c r="F602" s="114">
        <v>1000</v>
      </c>
    </row>
    <row r="603" spans="1:6" s="113" customFormat="1" hidden="1" x14ac:dyDescent="0.6">
      <c r="A603" s="113" t="str">
        <f t="shared" si="5"/>
        <v>845</v>
      </c>
      <c r="B603" s="112">
        <v>1844400845</v>
      </c>
      <c r="C603" s="112" t="s">
        <v>163</v>
      </c>
      <c r="D603" s="111">
        <v>54000</v>
      </c>
      <c r="E603" s="114">
        <v>4481</v>
      </c>
      <c r="F603" s="114">
        <v>22139</v>
      </c>
    </row>
    <row r="604" spans="1:6" s="113" customFormat="1" hidden="1" x14ac:dyDescent="0.6">
      <c r="A604" s="113" t="str">
        <f t="shared" si="5"/>
        <v>845</v>
      </c>
      <c r="B604" s="112">
        <v>1845100845</v>
      </c>
      <c r="C604" s="112" t="s">
        <v>175</v>
      </c>
      <c r="D604" s="111">
        <v>89600</v>
      </c>
      <c r="E604" s="114">
        <v>27859</v>
      </c>
      <c r="F604" s="114">
        <v>42957</v>
      </c>
    </row>
    <row r="605" spans="1:6" s="113" customFormat="1" hidden="1" x14ac:dyDescent="0.6">
      <c r="A605" s="113" t="str">
        <f t="shared" ref="A605:A625" si="6">RIGHT(B605,3)</f>
        <v>845</v>
      </c>
      <c r="B605" s="112">
        <v>1846700845</v>
      </c>
      <c r="C605" s="112" t="s">
        <v>197</v>
      </c>
      <c r="D605" s="111">
        <v>40000</v>
      </c>
      <c r="E605" s="114">
        <v>52507</v>
      </c>
      <c r="F605" s="114">
        <v>38607</v>
      </c>
    </row>
    <row r="606" spans="1:6" s="113" customFormat="1" hidden="1" x14ac:dyDescent="0.6">
      <c r="A606" s="113" t="str">
        <f t="shared" si="6"/>
        <v>845</v>
      </c>
      <c r="B606" s="112">
        <v>1847100845</v>
      </c>
      <c r="C606" s="112" t="s">
        <v>207</v>
      </c>
      <c r="D606" s="111">
        <v>20000</v>
      </c>
      <c r="E606" s="114"/>
      <c r="F606" s="114"/>
    </row>
    <row r="607" spans="1:6" s="113" customFormat="1" hidden="1" x14ac:dyDescent="0.6">
      <c r="A607" s="113" t="str">
        <f t="shared" si="6"/>
        <v>845</v>
      </c>
      <c r="B607" s="112">
        <v>1849000845</v>
      </c>
      <c r="C607" s="112" t="s">
        <v>563</v>
      </c>
      <c r="D607" s="111">
        <v>10000</v>
      </c>
      <c r="E607" s="114">
        <v>64486</v>
      </c>
      <c r="F607" s="114">
        <v>32808</v>
      </c>
    </row>
    <row r="608" spans="1:6" s="113" customFormat="1" hidden="1" x14ac:dyDescent="0.6">
      <c r="A608" s="113" t="str">
        <f t="shared" si="6"/>
        <v>846</v>
      </c>
      <c r="B608" s="112">
        <v>1842200846</v>
      </c>
      <c r="C608" s="112" t="s">
        <v>144</v>
      </c>
      <c r="D608" s="111">
        <v>90288</v>
      </c>
      <c r="E608" s="114">
        <v>47714</v>
      </c>
      <c r="F608" s="114">
        <v>67786</v>
      </c>
    </row>
    <row r="609" spans="1:6" s="113" customFormat="1" hidden="1" x14ac:dyDescent="0.6">
      <c r="A609" s="113" t="str">
        <f t="shared" si="6"/>
        <v>846</v>
      </c>
      <c r="B609" s="112">
        <v>1844400846</v>
      </c>
      <c r="C609" s="112" t="s">
        <v>164</v>
      </c>
      <c r="D609" s="111">
        <v>42000</v>
      </c>
      <c r="E609" s="114">
        <v>38500</v>
      </c>
      <c r="F609" s="114">
        <v>42000</v>
      </c>
    </row>
    <row r="610" spans="1:6" s="113" customFormat="1" hidden="1" x14ac:dyDescent="0.6">
      <c r="A610" s="113" t="str">
        <f t="shared" si="6"/>
        <v>846</v>
      </c>
      <c r="B610" s="112">
        <v>1845100846</v>
      </c>
      <c r="C610" s="112" t="s">
        <v>176</v>
      </c>
      <c r="D610" s="111">
        <v>50000</v>
      </c>
      <c r="E610" s="114">
        <v>48453</v>
      </c>
      <c r="F610" s="114">
        <v>47186</v>
      </c>
    </row>
    <row r="611" spans="1:6" s="113" customFormat="1" hidden="1" x14ac:dyDescent="0.6">
      <c r="A611" s="113" t="str">
        <f t="shared" si="6"/>
        <v>846</v>
      </c>
      <c r="B611" s="112">
        <v>1846700846</v>
      </c>
      <c r="C611" s="112" t="s">
        <v>198</v>
      </c>
      <c r="D611" s="111">
        <v>210000</v>
      </c>
      <c r="E611" s="114">
        <v>21835</v>
      </c>
      <c r="F611" s="114"/>
    </row>
    <row r="612" spans="1:6" s="113" customFormat="1" hidden="1" x14ac:dyDescent="0.6">
      <c r="A612" s="113" t="str">
        <f t="shared" si="6"/>
        <v>846</v>
      </c>
      <c r="B612" s="112">
        <v>1847100846</v>
      </c>
      <c r="C612" s="112" t="s">
        <v>208</v>
      </c>
      <c r="D612" s="111">
        <v>272000</v>
      </c>
      <c r="E612" s="114">
        <v>287747</v>
      </c>
      <c r="F612" s="114">
        <v>267046</v>
      </c>
    </row>
    <row r="613" spans="1:6" s="113" customFormat="1" hidden="1" x14ac:dyDescent="0.6">
      <c r="A613" s="113" t="str">
        <f t="shared" si="6"/>
        <v>846</v>
      </c>
      <c r="B613" s="112">
        <v>1849000846</v>
      </c>
      <c r="C613" s="112" t="s">
        <v>564</v>
      </c>
      <c r="D613" s="112"/>
      <c r="E613" s="114">
        <v>383717</v>
      </c>
      <c r="F613" s="114">
        <v>55644</v>
      </c>
    </row>
    <row r="614" spans="1:6" s="113" customFormat="1" hidden="1" x14ac:dyDescent="0.6">
      <c r="A614" s="113" t="str">
        <f t="shared" si="6"/>
        <v>847</v>
      </c>
      <c r="B614" s="112">
        <v>1842200847</v>
      </c>
      <c r="C614" s="112" t="s">
        <v>145</v>
      </c>
      <c r="D614" s="111">
        <v>75733</v>
      </c>
      <c r="E614" s="114">
        <v>28037</v>
      </c>
      <c r="F614" s="114">
        <v>22677</v>
      </c>
    </row>
    <row r="615" spans="1:6" s="113" customFormat="1" hidden="1" x14ac:dyDescent="0.6">
      <c r="A615" s="113" t="str">
        <f t="shared" si="6"/>
        <v>847</v>
      </c>
      <c r="B615" s="112">
        <v>1843500847</v>
      </c>
      <c r="C615" s="112" t="s">
        <v>545</v>
      </c>
      <c r="D615" s="111">
        <v>56538</v>
      </c>
      <c r="E615" s="114"/>
      <c r="F615" s="114"/>
    </row>
    <row r="616" spans="1:6" s="113" customFormat="1" hidden="1" x14ac:dyDescent="0.6">
      <c r="A616" s="113" t="str">
        <f t="shared" si="6"/>
        <v>847</v>
      </c>
      <c r="B616" s="112">
        <v>1844400847</v>
      </c>
      <c r="C616" s="112" t="s">
        <v>165</v>
      </c>
      <c r="D616" s="111">
        <v>40000</v>
      </c>
      <c r="E616" s="114">
        <v>24600</v>
      </c>
      <c r="F616" s="114">
        <v>64089</v>
      </c>
    </row>
    <row r="617" spans="1:6" s="113" customFormat="1" hidden="1" x14ac:dyDescent="0.6">
      <c r="A617" s="113" t="str">
        <f t="shared" si="6"/>
        <v>847</v>
      </c>
      <c r="B617" s="112">
        <v>1845100847</v>
      </c>
      <c r="C617" s="112" t="s">
        <v>177</v>
      </c>
      <c r="D617" s="111">
        <v>1200000</v>
      </c>
      <c r="E617" s="114">
        <v>1427550</v>
      </c>
      <c r="F617" s="114">
        <v>1447466</v>
      </c>
    </row>
    <row r="618" spans="1:6" s="113" customFormat="1" hidden="1" x14ac:dyDescent="0.6">
      <c r="A618" s="113" t="str">
        <f t="shared" si="6"/>
        <v>847</v>
      </c>
      <c r="B618" s="112">
        <v>1846700847</v>
      </c>
      <c r="C618" s="112" t="s">
        <v>199</v>
      </c>
      <c r="D618" s="111">
        <v>85000</v>
      </c>
      <c r="E618" s="114">
        <v>110973</v>
      </c>
      <c r="F618" s="114">
        <v>93694</v>
      </c>
    </row>
    <row r="619" spans="1:6" s="113" customFormat="1" hidden="1" x14ac:dyDescent="0.6">
      <c r="A619" s="113" t="str">
        <f t="shared" si="6"/>
        <v>847</v>
      </c>
      <c r="B619" s="112">
        <v>1847100847</v>
      </c>
      <c r="C619" s="112" t="s">
        <v>209</v>
      </c>
      <c r="D619" s="111">
        <v>41000</v>
      </c>
      <c r="E619" s="114">
        <v>4019.7</v>
      </c>
      <c r="F619" s="114">
        <v>1210.1500000000001</v>
      </c>
    </row>
    <row r="620" spans="1:6" s="113" customFormat="1" hidden="1" x14ac:dyDescent="0.6">
      <c r="A620" s="113" t="str">
        <f t="shared" si="6"/>
        <v>847</v>
      </c>
      <c r="B620" s="112">
        <v>1849000847</v>
      </c>
      <c r="C620" s="112" t="s">
        <v>218</v>
      </c>
      <c r="D620" s="111">
        <v>5000</v>
      </c>
      <c r="E620" s="114"/>
      <c r="F620" s="114"/>
    </row>
    <row r="621" spans="1:6" s="113" customFormat="1" hidden="1" x14ac:dyDescent="0.6">
      <c r="A621" s="113" t="str">
        <f t="shared" si="6"/>
        <v>848</v>
      </c>
      <c r="B621" s="112">
        <v>1845100848</v>
      </c>
      <c r="C621" s="112" t="s">
        <v>178</v>
      </c>
      <c r="D621" s="111">
        <v>5000</v>
      </c>
      <c r="E621" s="114"/>
      <c r="F621" s="114"/>
    </row>
    <row r="622" spans="1:6" s="113" customFormat="1" hidden="1" x14ac:dyDescent="0.6">
      <c r="A622" s="113" t="str">
        <f t="shared" si="6"/>
        <v>320</v>
      </c>
      <c r="B622" s="112">
        <v>1991000320</v>
      </c>
      <c r="C622" s="112" t="s">
        <v>578</v>
      </c>
      <c r="D622" s="111">
        <v>5274114.5599999996</v>
      </c>
      <c r="E622" s="114">
        <v>1554441.39</v>
      </c>
      <c r="F622" s="114">
        <v>757466.86</v>
      </c>
    </row>
    <row r="623" spans="1:6" s="113" customFormat="1" hidden="1" x14ac:dyDescent="0.6">
      <c r="A623" s="113" t="str">
        <f t="shared" si="6"/>
        <v>980</v>
      </c>
      <c r="B623" s="112">
        <v>1994000980</v>
      </c>
      <c r="C623" s="112" t="s">
        <v>579</v>
      </c>
      <c r="D623" s="111">
        <v>1300000</v>
      </c>
      <c r="E623" s="114">
        <v>1321835.1000000001</v>
      </c>
      <c r="F623" s="114">
        <v>9926.51</v>
      </c>
    </row>
    <row r="624" spans="1:6" s="113" customFormat="1" hidden="1" x14ac:dyDescent="0.6">
      <c r="A624" s="113" t="str">
        <f t="shared" si="6"/>
        <v>860</v>
      </c>
      <c r="B624" s="112">
        <v>1995000860</v>
      </c>
      <c r="C624" s="112" t="s">
        <v>3</v>
      </c>
      <c r="D624" s="111">
        <v>11665641</v>
      </c>
      <c r="E624" s="114">
        <v>12466175</v>
      </c>
      <c r="F624" s="114">
        <v>11570877</v>
      </c>
    </row>
    <row r="625" spans="1:6" s="113" customFormat="1" hidden="1" x14ac:dyDescent="0.6">
      <c r="A625" s="113" t="str">
        <f t="shared" si="6"/>
        <v>848</v>
      </c>
      <c r="B625" s="112">
        <v>1846700848</v>
      </c>
      <c r="C625" s="112" t="s">
        <v>200</v>
      </c>
      <c r="D625" s="111">
        <v>70000</v>
      </c>
      <c r="E625" s="114">
        <v>69811</v>
      </c>
      <c r="F625" s="114">
        <v>71663</v>
      </c>
    </row>
    <row r="626" spans="1:6" s="113" customFormat="1" hidden="1" x14ac:dyDescent="0.6">
      <c r="A626" t="str">
        <f>RIGHT(B626,3)</f>
        <v>980</v>
      </c>
      <c r="B626" s="112">
        <v>1999100980</v>
      </c>
      <c r="C626" s="112" t="s">
        <v>16</v>
      </c>
      <c r="D626" s="111">
        <v>12000000</v>
      </c>
      <c r="E626" s="114">
        <v>8259000</v>
      </c>
      <c r="F626" s="114">
        <v>5500000</v>
      </c>
    </row>
    <row r="627" spans="1:6" s="113" customFormat="1" hidden="1" x14ac:dyDescent="0.6">
      <c r="A627" t="str">
        <f>RIGHT(B627,3)</f>
        <v/>
      </c>
      <c r="B627" s="112"/>
      <c r="C627" s="112" t="s">
        <v>663</v>
      </c>
      <c r="D627" s="111">
        <v>206576172.11000001</v>
      </c>
      <c r="E627" s="114">
        <v>231861114.74000001</v>
      </c>
      <c r="F627" s="114">
        <v>191066128.91</v>
      </c>
    </row>
    <row r="628" spans="1:6" s="113" customFormat="1" hidden="1" x14ac:dyDescent="0.6">
      <c r="A628" t="str">
        <f>RIGHT(B628,3)</f>
        <v/>
      </c>
      <c r="B628" s="112"/>
      <c r="C628" s="112" t="s">
        <v>755</v>
      </c>
      <c r="D628" s="111">
        <v>-17957896.18</v>
      </c>
      <c r="E628" s="114">
        <v>-16718634.43</v>
      </c>
      <c r="F628" s="114">
        <v>-11648060.41</v>
      </c>
    </row>
  </sheetData>
  <autoFilter ref="A1:F1">
    <sortState ref="A221:F533">
      <sortCondition ref="B1"/>
    </sortState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rightToLeft="1" workbookViewId="0">
      <selection activeCell="E17" sqref="E17"/>
    </sheetView>
  </sheetViews>
  <sheetFormatPr defaultRowHeight="14" x14ac:dyDescent="0.3"/>
  <cols>
    <col min="3" max="3" width="14.08203125" style="171" bestFit="1" customWidth="1"/>
  </cols>
  <sheetData>
    <row r="1" spans="1:3" x14ac:dyDescent="0.3">
      <c r="A1" t="s">
        <v>1035</v>
      </c>
      <c r="C1" s="171">
        <v>66741696</v>
      </c>
    </row>
    <row r="3" spans="1:3" x14ac:dyDescent="0.3">
      <c r="A3" t="s">
        <v>1036</v>
      </c>
      <c r="C3" s="171">
        <v>-13000000</v>
      </c>
    </row>
    <row r="5" spans="1:3" x14ac:dyDescent="0.3">
      <c r="A5" t="s">
        <v>1037</v>
      </c>
      <c r="C5" s="171">
        <f>C1+C3</f>
        <v>53741696</v>
      </c>
    </row>
    <row r="7" spans="1:3" x14ac:dyDescent="0.3">
      <c r="A7" t="s">
        <v>2140</v>
      </c>
      <c r="C7" s="171">
        <f>0.9*C5</f>
        <v>48367526.399999999</v>
      </c>
    </row>
    <row r="9" spans="1:3" x14ac:dyDescent="0.3">
      <c r="A9" t="s">
        <v>1039</v>
      </c>
      <c r="C9" s="171">
        <v>3800000</v>
      </c>
    </row>
    <row r="11" spans="1:3" x14ac:dyDescent="0.3">
      <c r="A11" t="s">
        <v>1038</v>
      </c>
      <c r="C11" s="171">
        <v>4000000</v>
      </c>
    </row>
    <row r="13" spans="1:3" x14ac:dyDescent="0.3">
      <c r="A13" t="s">
        <v>1040</v>
      </c>
      <c r="C13" s="171">
        <v>1400000</v>
      </c>
    </row>
    <row r="17" spans="1:3" ht="17" x14ac:dyDescent="0.6">
      <c r="A17" s="186" t="s">
        <v>976</v>
      </c>
      <c r="B17" s="186"/>
      <c r="C17" s="187">
        <f>C13+C11+C9+C7</f>
        <v>57567526.399999999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rightToLeft="1" zoomScale="60" zoomScaleNormal="60" workbookViewId="0">
      <pane ySplit="1" topLeftCell="A64" activePane="bottomLeft" state="frozen"/>
      <selection pane="bottomLeft" activeCell="J120" sqref="J120"/>
    </sheetView>
  </sheetViews>
  <sheetFormatPr defaultRowHeight="14" x14ac:dyDescent="0.3"/>
  <cols>
    <col min="1" max="1" width="24.83203125" customWidth="1"/>
    <col min="2" max="2" width="21.5" customWidth="1"/>
    <col min="3" max="3" width="41.58203125" customWidth="1"/>
    <col min="4" max="4" width="18" hidden="1" customWidth="1"/>
    <col min="5" max="5" width="20.58203125" hidden="1" customWidth="1"/>
    <col min="6" max="6" width="20.58203125" style="113" hidden="1" customWidth="1"/>
    <col min="7" max="7" width="20.58203125" bestFit="1" customWidth="1"/>
    <col min="8" max="8" width="12.5" hidden="1" customWidth="1"/>
    <col min="9" max="9" width="12.5" bestFit="1" customWidth="1"/>
    <col min="10" max="10" width="18.5" style="124" customWidth="1"/>
    <col min="11" max="11" width="13.83203125" style="124" customWidth="1"/>
    <col min="12" max="12" width="20.58203125" style="124" bestFit="1" customWidth="1"/>
    <col min="13" max="13" width="20.58203125" style="231" customWidth="1"/>
    <col min="14" max="15" width="11.83203125" hidden="1" customWidth="1"/>
    <col min="16" max="16" width="22.25" hidden="1" customWidth="1"/>
    <col min="17" max="18" width="22.08203125" hidden="1" customWidth="1"/>
    <col min="19" max="20" width="24.58203125" style="231" customWidth="1"/>
    <col min="21" max="21" width="73.25" bestFit="1" customWidth="1"/>
    <col min="22" max="23" width="75.33203125" bestFit="1" customWidth="1"/>
    <col min="25" max="25" width="19" hidden="1" customWidth="1"/>
    <col min="259" max="259" width="24.83203125" customWidth="1"/>
    <col min="260" max="260" width="21.5" customWidth="1"/>
    <col min="261" max="261" width="41.58203125" customWidth="1"/>
    <col min="262" max="263" width="0" hidden="1" customWidth="1"/>
    <col min="264" max="265" width="20.58203125" bestFit="1" customWidth="1"/>
    <col min="266" max="266" width="0" hidden="1" customWidth="1"/>
    <col min="267" max="268" width="12.5" bestFit="1" customWidth="1"/>
    <col min="269" max="270" width="20.58203125" bestFit="1" customWidth="1"/>
    <col min="271" max="273" width="0" hidden="1" customWidth="1"/>
    <col min="274" max="275" width="22.08203125" customWidth="1"/>
    <col min="276" max="276" width="20.58203125" bestFit="1" customWidth="1"/>
    <col min="277" max="277" width="73.25" bestFit="1" customWidth="1"/>
    <col min="278" max="279" width="75.33203125" bestFit="1" customWidth="1"/>
    <col min="515" max="515" width="24.83203125" customWidth="1"/>
    <col min="516" max="516" width="21.5" customWidth="1"/>
    <col min="517" max="517" width="41.58203125" customWidth="1"/>
    <col min="518" max="519" width="0" hidden="1" customWidth="1"/>
    <col min="520" max="521" width="20.58203125" bestFit="1" customWidth="1"/>
    <col min="522" max="522" width="0" hidden="1" customWidth="1"/>
    <col min="523" max="524" width="12.5" bestFit="1" customWidth="1"/>
    <col min="525" max="526" width="20.58203125" bestFit="1" customWidth="1"/>
    <col min="527" max="529" width="0" hidden="1" customWidth="1"/>
    <col min="530" max="531" width="22.08203125" customWidth="1"/>
    <col min="532" max="532" width="20.58203125" bestFit="1" customWidth="1"/>
    <col min="533" max="533" width="73.25" bestFit="1" customWidth="1"/>
    <col min="534" max="535" width="75.33203125" bestFit="1" customWidth="1"/>
    <col min="771" max="771" width="24.83203125" customWidth="1"/>
    <col min="772" max="772" width="21.5" customWidth="1"/>
    <col min="773" max="773" width="41.58203125" customWidth="1"/>
    <col min="774" max="775" width="0" hidden="1" customWidth="1"/>
    <col min="776" max="777" width="20.58203125" bestFit="1" customWidth="1"/>
    <col min="778" max="778" width="0" hidden="1" customWidth="1"/>
    <col min="779" max="780" width="12.5" bestFit="1" customWidth="1"/>
    <col min="781" max="782" width="20.58203125" bestFit="1" customWidth="1"/>
    <col min="783" max="785" width="0" hidden="1" customWidth="1"/>
    <col min="786" max="787" width="22.08203125" customWidth="1"/>
    <col min="788" max="788" width="20.58203125" bestFit="1" customWidth="1"/>
    <col min="789" max="789" width="73.25" bestFit="1" customWidth="1"/>
    <col min="790" max="791" width="75.33203125" bestFit="1" customWidth="1"/>
    <col min="1027" max="1027" width="24.83203125" customWidth="1"/>
    <col min="1028" max="1028" width="21.5" customWidth="1"/>
    <col min="1029" max="1029" width="41.58203125" customWidth="1"/>
    <col min="1030" max="1031" width="0" hidden="1" customWidth="1"/>
    <col min="1032" max="1033" width="20.58203125" bestFit="1" customWidth="1"/>
    <col min="1034" max="1034" width="0" hidden="1" customWidth="1"/>
    <col min="1035" max="1036" width="12.5" bestFit="1" customWidth="1"/>
    <col min="1037" max="1038" width="20.58203125" bestFit="1" customWidth="1"/>
    <col min="1039" max="1041" width="0" hidden="1" customWidth="1"/>
    <col min="1042" max="1043" width="22.08203125" customWidth="1"/>
    <col min="1044" max="1044" width="20.58203125" bestFit="1" customWidth="1"/>
    <col min="1045" max="1045" width="73.25" bestFit="1" customWidth="1"/>
    <col min="1046" max="1047" width="75.33203125" bestFit="1" customWidth="1"/>
    <col min="1283" max="1283" width="24.83203125" customWidth="1"/>
    <col min="1284" max="1284" width="21.5" customWidth="1"/>
    <col min="1285" max="1285" width="41.58203125" customWidth="1"/>
    <col min="1286" max="1287" width="0" hidden="1" customWidth="1"/>
    <col min="1288" max="1289" width="20.58203125" bestFit="1" customWidth="1"/>
    <col min="1290" max="1290" width="0" hidden="1" customWidth="1"/>
    <col min="1291" max="1292" width="12.5" bestFit="1" customWidth="1"/>
    <col min="1293" max="1294" width="20.58203125" bestFit="1" customWidth="1"/>
    <col min="1295" max="1297" width="0" hidden="1" customWidth="1"/>
    <col min="1298" max="1299" width="22.08203125" customWidth="1"/>
    <col min="1300" max="1300" width="20.58203125" bestFit="1" customWidth="1"/>
    <col min="1301" max="1301" width="73.25" bestFit="1" customWidth="1"/>
    <col min="1302" max="1303" width="75.33203125" bestFit="1" customWidth="1"/>
    <col min="1539" max="1539" width="24.83203125" customWidth="1"/>
    <col min="1540" max="1540" width="21.5" customWidth="1"/>
    <col min="1541" max="1541" width="41.58203125" customWidth="1"/>
    <col min="1542" max="1543" width="0" hidden="1" customWidth="1"/>
    <col min="1544" max="1545" width="20.58203125" bestFit="1" customWidth="1"/>
    <col min="1546" max="1546" width="0" hidden="1" customWidth="1"/>
    <col min="1547" max="1548" width="12.5" bestFit="1" customWidth="1"/>
    <col min="1549" max="1550" width="20.58203125" bestFit="1" customWidth="1"/>
    <col min="1551" max="1553" width="0" hidden="1" customWidth="1"/>
    <col min="1554" max="1555" width="22.08203125" customWidth="1"/>
    <col min="1556" max="1556" width="20.58203125" bestFit="1" customWidth="1"/>
    <col min="1557" max="1557" width="73.25" bestFit="1" customWidth="1"/>
    <col min="1558" max="1559" width="75.33203125" bestFit="1" customWidth="1"/>
    <col min="1795" max="1795" width="24.83203125" customWidth="1"/>
    <col min="1796" max="1796" width="21.5" customWidth="1"/>
    <col min="1797" max="1797" width="41.58203125" customWidth="1"/>
    <col min="1798" max="1799" width="0" hidden="1" customWidth="1"/>
    <col min="1800" max="1801" width="20.58203125" bestFit="1" customWidth="1"/>
    <col min="1802" max="1802" width="0" hidden="1" customWidth="1"/>
    <col min="1803" max="1804" width="12.5" bestFit="1" customWidth="1"/>
    <col min="1805" max="1806" width="20.58203125" bestFit="1" customWidth="1"/>
    <col min="1807" max="1809" width="0" hidden="1" customWidth="1"/>
    <col min="1810" max="1811" width="22.08203125" customWidth="1"/>
    <col min="1812" max="1812" width="20.58203125" bestFit="1" customWidth="1"/>
    <col min="1813" max="1813" width="73.25" bestFit="1" customWidth="1"/>
    <col min="1814" max="1815" width="75.33203125" bestFit="1" customWidth="1"/>
    <col min="2051" max="2051" width="24.83203125" customWidth="1"/>
    <col min="2052" max="2052" width="21.5" customWidth="1"/>
    <col min="2053" max="2053" width="41.58203125" customWidth="1"/>
    <col min="2054" max="2055" width="0" hidden="1" customWidth="1"/>
    <col min="2056" max="2057" width="20.58203125" bestFit="1" customWidth="1"/>
    <col min="2058" max="2058" width="0" hidden="1" customWidth="1"/>
    <col min="2059" max="2060" width="12.5" bestFit="1" customWidth="1"/>
    <col min="2061" max="2062" width="20.58203125" bestFit="1" customWidth="1"/>
    <col min="2063" max="2065" width="0" hidden="1" customWidth="1"/>
    <col min="2066" max="2067" width="22.08203125" customWidth="1"/>
    <col min="2068" max="2068" width="20.58203125" bestFit="1" customWidth="1"/>
    <col min="2069" max="2069" width="73.25" bestFit="1" customWidth="1"/>
    <col min="2070" max="2071" width="75.33203125" bestFit="1" customWidth="1"/>
    <col min="2307" max="2307" width="24.83203125" customWidth="1"/>
    <col min="2308" max="2308" width="21.5" customWidth="1"/>
    <col min="2309" max="2309" width="41.58203125" customWidth="1"/>
    <col min="2310" max="2311" width="0" hidden="1" customWidth="1"/>
    <col min="2312" max="2313" width="20.58203125" bestFit="1" customWidth="1"/>
    <col min="2314" max="2314" width="0" hidden="1" customWidth="1"/>
    <col min="2315" max="2316" width="12.5" bestFit="1" customWidth="1"/>
    <col min="2317" max="2318" width="20.58203125" bestFit="1" customWidth="1"/>
    <col min="2319" max="2321" width="0" hidden="1" customWidth="1"/>
    <col min="2322" max="2323" width="22.08203125" customWidth="1"/>
    <col min="2324" max="2324" width="20.58203125" bestFit="1" customWidth="1"/>
    <col min="2325" max="2325" width="73.25" bestFit="1" customWidth="1"/>
    <col min="2326" max="2327" width="75.33203125" bestFit="1" customWidth="1"/>
    <col min="2563" max="2563" width="24.83203125" customWidth="1"/>
    <col min="2564" max="2564" width="21.5" customWidth="1"/>
    <col min="2565" max="2565" width="41.58203125" customWidth="1"/>
    <col min="2566" max="2567" width="0" hidden="1" customWidth="1"/>
    <col min="2568" max="2569" width="20.58203125" bestFit="1" customWidth="1"/>
    <col min="2570" max="2570" width="0" hidden="1" customWidth="1"/>
    <col min="2571" max="2572" width="12.5" bestFit="1" customWidth="1"/>
    <col min="2573" max="2574" width="20.58203125" bestFit="1" customWidth="1"/>
    <col min="2575" max="2577" width="0" hidden="1" customWidth="1"/>
    <col min="2578" max="2579" width="22.08203125" customWidth="1"/>
    <col min="2580" max="2580" width="20.58203125" bestFit="1" customWidth="1"/>
    <col min="2581" max="2581" width="73.25" bestFit="1" customWidth="1"/>
    <col min="2582" max="2583" width="75.33203125" bestFit="1" customWidth="1"/>
    <col min="2819" max="2819" width="24.83203125" customWidth="1"/>
    <col min="2820" max="2820" width="21.5" customWidth="1"/>
    <col min="2821" max="2821" width="41.58203125" customWidth="1"/>
    <col min="2822" max="2823" width="0" hidden="1" customWidth="1"/>
    <col min="2824" max="2825" width="20.58203125" bestFit="1" customWidth="1"/>
    <col min="2826" max="2826" width="0" hidden="1" customWidth="1"/>
    <col min="2827" max="2828" width="12.5" bestFit="1" customWidth="1"/>
    <col min="2829" max="2830" width="20.58203125" bestFit="1" customWidth="1"/>
    <col min="2831" max="2833" width="0" hidden="1" customWidth="1"/>
    <col min="2834" max="2835" width="22.08203125" customWidth="1"/>
    <col min="2836" max="2836" width="20.58203125" bestFit="1" customWidth="1"/>
    <col min="2837" max="2837" width="73.25" bestFit="1" customWidth="1"/>
    <col min="2838" max="2839" width="75.33203125" bestFit="1" customWidth="1"/>
    <col min="3075" max="3075" width="24.83203125" customWidth="1"/>
    <col min="3076" max="3076" width="21.5" customWidth="1"/>
    <col min="3077" max="3077" width="41.58203125" customWidth="1"/>
    <col min="3078" max="3079" width="0" hidden="1" customWidth="1"/>
    <col min="3080" max="3081" width="20.58203125" bestFit="1" customWidth="1"/>
    <col min="3082" max="3082" width="0" hidden="1" customWidth="1"/>
    <col min="3083" max="3084" width="12.5" bestFit="1" customWidth="1"/>
    <col min="3085" max="3086" width="20.58203125" bestFit="1" customWidth="1"/>
    <col min="3087" max="3089" width="0" hidden="1" customWidth="1"/>
    <col min="3090" max="3091" width="22.08203125" customWidth="1"/>
    <col min="3092" max="3092" width="20.58203125" bestFit="1" customWidth="1"/>
    <col min="3093" max="3093" width="73.25" bestFit="1" customWidth="1"/>
    <col min="3094" max="3095" width="75.33203125" bestFit="1" customWidth="1"/>
    <col min="3331" max="3331" width="24.83203125" customWidth="1"/>
    <col min="3332" max="3332" width="21.5" customWidth="1"/>
    <col min="3333" max="3333" width="41.58203125" customWidth="1"/>
    <col min="3334" max="3335" width="0" hidden="1" customWidth="1"/>
    <col min="3336" max="3337" width="20.58203125" bestFit="1" customWidth="1"/>
    <col min="3338" max="3338" width="0" hidden="1" customWidth="1"/>
    <col min="3339" max="3340" width="12.5" bestFit="1" customWidth="1"/>
    <col min="3341" max="3342" width="20.58203125" bestFit="1" customWidth="1"/>
    <col min="3343" max="3345" width="0" hidden="1" customWidth="1"/>
    <col min="3346" max="3347" width="22.08203125" customWidth="1"/>
    <col min="3348" max="3348" width="20.58203125" bestFit="1" customWidth="1"/>
    <col min="3349" max="3349" width="73.25" bestFit="1" customWidth="1"/>
    <col min="3350" max="3351" width="75.33203125" bestFit="1" customWidth="1"/>
    <col min="3587" max="3587" width="24.83203125" customWidth="1"/>
    <col min="3588" max="3588" width="21.5" customWidth="1"/>
    <col min="3589" max="3589" width="41.58203125" customWidth="1"/>
    <col min="3590" max="3591" width="0" hidden="1" customWidth="1"/>
    <col min="3592" max="3593" width="20.58203125" bestFit="1" customWidth="1"/>
    <col min="3594" max="3594" width="0" hidden="1" customWidth="1"/>
    <col min="3595" max="3596" width="12.5" bestFit="1" customWidth="1"/>
    <col min="3597" max="3598" width="20.58203125" bestFit="1" customWidth="1"/>
    <col min="3599" max="3601" width="0" hidden="1" customWidth="1"/>
    <col min="3602" max="3603" width="22.08203125" customWidth="1"/>
    <col min="3604" max="3604" width="20.58203125" bestFit="1" customWidth="1"/>
    <col min="3605" max="3605" width="73.25" bestFit="1" customWidth="1"/>
    <col min="3606" max="3607" width="75.33203125" bestFit="1" customWidth="1"/>
    <col min="3843" max="3843" width="24.83203125" customWidth="1"/>
    <col min="3844" max="3844" width="21.5" customWidth="1"/>
    <col min="3845" max="3845" width="41.58203125" customWidth="1"/>
    <col min="3846" max="3847" width="0" hidden="1" customWidth="1"/>
    <col min="3848" max="3849" width="20.58203125" bestFit="1" customWidth="1"/>
    <col min="3850" max="3850" width="0" hidden="1" customWidth="1"/>
    <col min="3851" max="3852" width="12.5" bestFit="1" customWidth="1"/>
    <col min="3853" max="3854" width="20.58203125" bestFit="1" customWidth="1"/>
    <col min="3855" max="3857" width="0" hidden="1" customWidth="1"/>
    <col min="3858" max="3859" width="22.08203125" customWidth="1"/>
    <col min="3860" max="3860" width="20.58203125" bestFit="1" customWidth="1"/>
    <col min="3861" max="3861" width="73.25" bestFit="1" customWidth="1"/>
    <col min="3862" max="3863" width="75.33203125" bestFit="1" customWidth="1"/>
    <col min="4099" max="4099" width="24.83203125" customWidth="1"/>
    <col min="4100" max="4100" width="21.5" customWidth="1"/>
    <col min="4101" max="4101" width="41.58203125" customWidth="1"/>
    <col min="4102" max="4103" width="0" hidden="1" customWidth="1"/>
    <col min="4104" max="4105" width="20.58203125" bestFit="1" customWidth="1"/>
    <col min="4106" max="4106" width="0" hidden="1" customWidth="1"/>
    <col min="4107" max="4108" width="12.5" bestFit="1" customWidth="1"/>
    <col min="4109" max="4110" width="20.58203125" bestFit="1" customWidth="1"/>
    <col min="4111" max="4113" width="0" hidden="1" customWidth="1"/>
    <col min="4114" max="4115" width="22.08203125" customWidth="1"/>
    <col min="4116" max="4116" width="20.58203125" bestFit="1" customWidth="1"/>
    <col min="4117" max="4117" width="73.25" bestFit="1" customWidth="1"/>
    <col min="4118" max="4119" width="75.33203125" bestFit="1" customWidth="1"/>
    <col min="4355" max="4355" width="24.83203125" customWidth="1"/>
    <col min="4356" max="4356" width="21.5" customWidth="1"/>
    <col min="4357" max="4357" width="41.58203125" customWidth="1"/>
    <col min="4358" max="4359" width="0" hidden="1" customWidth="1"/>
    <col min="4360" max="4361" width="20.58203125" bestFit="1" customWidth="1"/>
    <col min="4362" max="4362" width="0" hidden="1" customWidth="1"/>
    <col min="4363" max="4364" width="12.5" bestFit="1" customWidth="1"/>
    <col min="4365" max="4366" width="20.58203125" bestFit="1" customWidth="1"/>
    <col min="4367" max="4369" width="0" hidden="1" customWidth="1"/>
    <col min="4370" max="4371" width="22.08203125" customWidth="1"/>
    <col min="4372" max="4372" width="20.58203125" bestFit="1" customWidth="1"/>
    <col min="4373" max="4373" width="73.25" bestFit="1" customWidth="1"/>
    <col min="4374" max="4375" width="75.33203125" bestFit="1" customWidth="1"/>
    <col min="4611" max="4611" width="24.83203125" customWidth="1"/>
    <col min="4612" max="4612" width="21.5" customWidth="1"/>
    <col min="4613" max="4613" width="41.58203125" customWidth="1"/>
    <col min="4614" max="4615" width="0" hidden="1" customWidth="1"/>
    <col min="4616" max="4617" width="20.58203125" bestFit="1" customWidth="1"/>
    <col min="4618" max="4618" width="0" hidden="1" customWidth="1"/>
    <col min="4619" max="4620" width="12.5" bestFit="1" customWidth="1"/>
    <col min="4621" max="4622" width="20.58203125" bestFit="1" customWidth="1"/>
    <col min="4623" max="4625" width="0" hidden="1" customWidth="1"/>
    <col min="4626" max="4627" width="22.08203125" customWidth="1"/>
    <col min="4628" max="4628" width="20.58203125" bestFit="1" customWidth="1"/>
    <col min="4629" max="4629" width="73.25" bestFit="1" customWidth="1"/>
    <col min="4630" max="4631" width="75.33203125" bestFit="1" customWidth="1"/>
    <col min="4867" max="4867" width="24.83203125" customWidth="1"/>
    <col min="4868" max="4868" width="21.5" customWidth="1"/>
    <col min="4869" max="4869" width="41.58203125" customWidth="1"/>
    <col min="4870" max="4871" width="0" hidden="1" customWidth="1"/>
    <col min="4872" max="4873" width="20.58203125" bestFit="1" customWidth="1"/>
    <col min="4874" max="4874" width="0" hidden="1" customWidth="1"/>
    <col min="4875" max="4876" width="12.5" bestFit="1" customWidth="1"/>
    <col min="4877" max="4878" width="20.58203125" bestFit="1" customWidth="1"/>
    <col min="4879" max="4881" width="0" hidden="1" customWidth="1"/>
    <col min="4882" max="4883" width="22.08203125" customWidth="1"/>
    <col min="4884" max="4884" width="20.58203125" bestFit="1" customWidth="1"/>
    <col min="4885" max="4885" width="73.25" bestFit="1" customWidth="1"/>
    <col min="4886" max="4887" width="75.33203125" bestFit="1" customWidth="1"/>
    <col min="5123" max="5123" width="24.83203125" customWidth="1"/>
    <col min="5124" max="5124" width="21.5" customWidth="1"/>
    <col min="5125" max="5125" width="41.58203125" customWidth="1"/>
    <col min="5126" max="5127" width="0" hidden="1" customWidth="1"/>
    <col min="5128" max="5129" width="20.58203125" bestFit="1" customWidth="1"/>
    <col min="5130" max="5130" width="0" hidden="1" customWidth="1"/>
    <col min="5131" max="5132" width="12.5" bestFit="1" customWidth="1"/>
    <col min="5133" max="5134" width="20.58203125" bestFit="1" customWidth="1"/>
    <col min="5135" max="5137" width="0" hidden="1" customWidth="1"/>
    <col min="5138" max="5139" width="22.08203125" customWidth="1"/>
    <col min="5140" max="5140" width="20.58203125" bestFit="1" customWidth="1"/>
    <col min="5141" max="5141" width="73.25" bestFit="1" customWidth="1"/>
    <col min="5142" max="5143" width="75.33203125" bestFit="1" customWidth="1"/>
    <col min="5379" max="5379" width="24.83203125" customWidth="1"/>
    <col min="5380" max="5380" width="21.5" customWidth="1"/>
    <col min="5381" max="5381" width="41.58203125" customWidth="1"/>
    <col min="5382" max="5383" width="0" hidden="1" customWidth="1"/>
    <col min="5384" max="5385" width="20.58203125" bestFit="1" customWidth="1"/>
    <col min="5386" max="5386" width="0" hidden="1" customWidth="1"/>
    <col min="5387" max="5388" width="12.5" bestFit="1" customWidth="1"/>
    <col min="5389" max="5390" width="20.58203125" bestFit="1" customWidth="1"/>
    <col min="5391" max="5393" width="0" hidden="1" customWidth="1"/>
    <col min="5394" max="5395" width="22.08203125" customWidth="1"/>
    <col min="5396" max="5396" width="20.58203125" bestFit="1" customWidth="1"/>
    <col min="5397" max="5397" width="73.25" bestFit="1" customWidth="1"/>
    <col min="5398" max="5399" width="75.33203125" bestFit="1" customWidth="1"/>
    <col min="5635" max="5635" width="24.83203125" customWidth="1"/>
    <col min="5636" max="5636" width="21.5" customWidth="1"/>
    <col min="5637" max="5637" width="41.58203125" customWidth="1"/>
    <col min="5638" max="5639" width="0" hidden="1" customWidth="1"/>
    <col min="5640" max="5641" width="20.58203125" bestFit="1" customWidth="1"/>
    <col min="5642" max="5642" width="0" hidden="1" customWidth="1"/>
    <col min="5643" max="5644" width="12.5" bestFit="1" customWidth="1"/>
    <col min="5645" max="5646" width="20.58203125" bestFit="1" customWidth="1"/>
    <col min="5647" max="5649" width="0" hidden="1" customWidth="1"/>
    <col min="5650" max="5651" width="22.08203125" customWidth="1"/>
    <col min="5652" max="5652" width="20.58203125" bestFit="1" customWidth="1"/>
    <col min="5653" max="5653" width="73.25" bestFit="1" customWidth="1"/>
    <col min="5654" max="5655" width="75.33203125" bestFit="1" customWidth="1"/>
    <col min="5891" max="5891" width="24.83203125" customWidth="1"/>
    <col min="5892" max="5892" width="21.5" customWidth="1"/>
    <col min="5893" max="5893" width="41.58203125" customWidth="1"/>
    <col min="5894" max="5895" width="0" hidden="1" customWidth="1"/>
    <col min="5896" max="5897" width="20.58203125" bestFit="1" customWidth="1"/>
    <col min="5898" max="5898" width="0" hidden="1" customWidth="1"/>
    <col min="5899" max="5900" width="12.5" bestFit="1" customWidth="1"/>
    <col min="5901" max="5902" width="20.58203125" bestFit="1" customWidth="1"/>
    <col min="5903" max="5905" width="0" hidden="1" customWidth="1"/>
    <col min="5906" max="5907" width="22.08203125" customWidth="1"/>
    <col min="5908" max="5908" width="20.58203125" bestFit="1" customWidth="1"/>
    <col min="5909" max="5909" width="73.25" bestFit="1" customWidth="1"/>
    <col min="5910" max="5911" width="75.33203125" bestFit="1" customWidth="1"/>
    <col min="6147" max="6147" width="24.83203125" customWidth="1"/>
    <col min="6148" max="6148" width="21.5" customWidth="1"/>
    <col min="6149" max="6149" width="41.58203125" customWidth="1"/>
    <col min="6150" max="6151" width="0" hidden="1" customWidth="1"/>
    <col min="6152" max="6153" width="20.58203125" bestFit="1" customWidth="1"/>
    <col min="6154" max="6154" width="0" hidden="1" customWidth="1"/>
    <col min="6155" max="6156" width="12.5" bestFit="1" customWidth="1"/>
    <col min="6157" max="6158" width="20.58203125" bestFit="1" customWidth="1"/>
    <col min="6159" max="6161" width="0" hidden="1" customWidth="1"/>
    <col min="6162" max="6163" width="22.08203125" customWidth="1"/>
    <col min="6164" max="6164" width="20.58203125" bestFit="1" customWidth="1"/>
    <col min="6165" max="6165" width="73.25" bestFit="1" customWidth="1"/>
    <col min="6166" max="6167" width="75.33203125" bestFit="1" customWidth="1"/>
    <col min="6403" max="6403" width="24.83203125" customWidth="1"/>
    <col min="6404" max="6404" width="21.5" customWidth="1"/>
    <col min="6405" max="6405" width="41.58203125" customWidth="1"/>
    <col min="6406" max="6407" width="0" hidden="1" customWidth="1"/>
    <col min="6408" max="6409" width="20.58203125" bestFit="1" customWidth="1"/>
    <col min="6410" max="6410" width="0" hidden="1" customWidth="1"/>
    <col min="6411" max="6412" width="12.5" bestFit="1" customWidth="1"/>
    <col min="6413" max="6414" width="20.58203125" bestFit="1" customWidth="1"/>
    <col min="6415" max="6417" width="0" hidden="1" customWidth="1"/>
    <col min="6418" max="6419" width="22.08203125" customWidth="1"/>
    <col min="6420" max="6420" width="20.58203125" bestFit="1" customWidth="1"/>
    <col min="6421" max="6421" width="73.25" bestFit="1" customWidth="1"/>
    <col min="6422" max="6423" width="75.33203125" bestFit="1" customWidth="1"/>
    <col min="6659" max="6659" width="24.83203125" customWidth="1"/>
    <col min="6660" max="6660" width="21.5" customWidth="1"/>
    <col min="6661" max="6661" width="41.58203125" customWidth="1"/>
    <col min="6662" max="6663" width="0" hidden="1" customWidth="1"/>
    <col min="6664" max="6665" width="20.58203125" bestFit="1" customWidth="1"/>
    <col min="6666" max="6666" width="0" hidden="1" customWidth="1"/>
    <col min="6667" max="6668" width="12.5" bestFit="1" customWidth="1"/>
    <col min="6669" max="6670" width="20.58203125" bestFit="1" customWidth="1"/>
    <col min="6671" max="6673" width="0" hidden="1" customWidth="1"/>
    <col min="6674" max="6675" width="22.08203125" customWidth="1"/>
    <col min="6676" max="6676" width="20.58203125" bestFit="1" customWidth="1"/>
    <col min="6677" max="6677" width="73.25" bestFit="1" customWidth="1"/>
    <col min="6678" max="6679" width="75.33203125" bestFit="1" customWidth="1"/>
    <col min="6915" max="6915" width="24.83203125" customWidth="1"/>
    <col min="6916" max="6916" width="21.5" customWidth="1"/>
    <col min="6917" max="6917" width="41.58203125" customWidth="1"/>
    <col min="6918" max="6919" width="0" hidden="1" customWidth="1"/>
    <col min="6920" max="6921" width="20.58203125" bestFit="1" customWidth="1"/>
    <col min="6922" max="6922" width="0" hidden="1" customWidth="1"/>
    <col min="6923" max="6924" width="12.5" bestFit="1" customWidth="1"/>
    <col min="6925" max="6926" width="20.58203125" bestFit="1" customWidth="1"/>
    <col min="6927" max="6929" width="0" hidden="1" customWidth="1"/>
    <col min="6930" max="6931" width="22.08203125" customWidth="1"/>
    <col min="6932" max="6932" width="20.58203125" bestFit="1" customWidth="1"/>
    <col min="6933" max="6933" width="73.25" bestFit="1" customWidth="1"/>
    <col min="6934" max="6935" width="75.33203125" bestFit="1" customWidth="1"/>
    <col min="7171" max="7171" width="24.83203125" customWidth="1"/>
    <col min="7172" max="7172" width="21.5" customWidth="1"/>
    <col min="7173" max="7173" width="41.58203125" customWidth="1"/>
    <col min="7174" max="7175" width="0" hidden="1" customWidth="1"/>
    <col min="7176" max="7177" width="20.58203125" bestFit="1" customWidth="1"/>
    <col min="7178" max="7178" width="0" hidden="1" customWidth="1"/>
    <col min="7179" max="7180" width="12.5" bestFit="1" customWidth="1"/>
    <col min="7181" max="7182" width="20.58203125" bestFit="1" customWidth="1"/>
    <col min="7183" max="7185" width="0" hidden="1" customWidth="1"/>
    <col min="7186" max="7187" width="22.08203125" customWidth="1"/>
    <col min="7188" max="7188" width="20.58203125" bestFit="1" customWidth="1"/>
    <col min="7189" max="7189" width="73.25" bestFit="1" customWidth="1"/>
    <col min="7190" max="7191" width="75.33203125" bestFit="1" customWidth="1"/>
    <col min="7427" max="7427" width="24.83203125" customWidth="1"/>
    <col min="7428" max="7428" width="21.5" customWidth="1"/>
    <col min="7429" max="7429" width="41.58203125" customWidth="1"/>
    <col min="7430" max="7431" width="0" hidden="1" customWidth="1"/>
    <col min="7432" max="7433" width="20.58203125" bestFit="1" customWidth="1"/>
    <col min="7434" max="7434" width="0" hidden="1" customWidth="1"/>
    <col min="7435" max="7436" width="12.5" bestFit="1" customWidth="1"/>
    <col min="7437" max="7438" width="20.58203125" bestFit="1" customWidth="1"/>
    <col min="7439" max="7441" width="0" hidden="1" customWidth="1"/>
    <col min="7442" max="7443" width="22.08203125" customWidth="1"/>
    <col min="7444" max="7444" width="20.58203125" bestFit="1" customWidth="1"/>
    <col min="7445" max="7445" width="73.25" bestFit="1" customWidth="1"/>
    <col min="7446" max="7447" width="75.33203125" bestFit="1" customWidth="1"/>
    <col min="7683" max="7683" width="24.83203125" customWidth="1"/>
    <col min="7684" max="7684" width="21.5" customWidth="1"/>
    <col min="7685" max="7685" width="41.58203125" customWidth="1"/>
    <col min="7686" max="7687" width="0" hidden="1" customWidth="1"/>
    <col min="7688" max="7689" width="20.58203125" bestFit="1" customWidth="1"/>
    <col min="7690" max="7690" width="0" hidden="1" customWidth="1"/>
    <col min="7691" max="7692" width="12.5" bestFit="1" customWidth="1"/>
    <col min="7693" max="7694" width="20.58203125" bestFit="1" customWidth="1"/>
    <col min="7695" max="7697" width="0" hidden="1" customWidth="1"/>
    <col min="7698" max="7699" width="22.08203125" customWidth="1"/>
    <col min="7700" max="7700" width="20.58203125" bestFit="1" customWidth="1"/>
    <col min="7701" max="7701" width="73.25" bestFit="1" customWidth="1"/>
    <col min="7702" max="7703" width="75.33203125" bestFit="1" customWidth="1"/>
    <col min="7939" max="7939" width="24.83203125" customWidth="1"/>
    <col min="7940" max="7940" width="21.5" customWidth="1"/>
    <col min="7941" max="7941" width="41.58203125" customWidth="1"/>
    <col min="7942" max="7943" width="0" hidden="1" customWidth="1"/>
    <col min="7944" max="7945" width="20.58203125" bestFit="1" customWidth="1"/>
    <col min="7946" max="7946" width="0" hidden="1" customWidth="1"/>
    <col min="7947" max="7948" width="12.5" bestFit="1" customWidth="1"/>
    <col min="7949" max="7950" width="20.58203125" bestFit="1" customWidth="1"/>
    <col min="7951" max="7953" width="0" hidden="1" customWidth="1"/>
    <col min="7954" max="7955" width="22.08203125" customWidth="1"/>
    <col min="7956" max="7956" width="20.58203125" bestFit="1" customWidth="1"/>
    <col min="7957" max="7957" width="73.25" bestFit="1" customWidth="1"/>
    <col min="7958" max="7959" width="75.33203125" bestFit="1" customWidth="1"/>
    <col min="8195" max="8195" width="24.83203125" customWidth="1"/>
    <col min="8196" max="8196" width="21.5" customWidth="1"/>
    <col min="8197" max="8197" width="41.58203125" customWidth="1"/>
    <col min="8198" max="8199" width="0" hidden="1" customWidth="1"/>
    <col min="8200" max="8201" width="20.58203125" bestFit="1" customWidth="1"/>
    <col min="8202" max="8202" width="0" hidden="1" customWidth="1"/>
    <col min="8203" max="8204" width="12.5" bestFit="1" customWidth="1"/>
    <col min="8205" max="8206" width="20.58203125" bestFit="1" customWidth="1"/>
    <col min="8207" max="8209" width="0" hidden="1" customWidth="1"/>
    <col min="8210" max="8211" width="22.08203125" customWidth="1"/>
    <col min="8212" max="8212" width="20.58203125" bestFit="1" customWidth="1"/>
    <col min="8213" max="8213" width="73.25" bestFit="1" customWidth="1"/>
    <col min="8214" max="8215" width="75.33203125" bestFit="1" customWidth="1"/>
    <col min="8451" max="8451" width="24.83203125" customWidth="1"/>
    <col min="8452" max="8452" width="21.5" customWidth="1"/>
    <col min="8453" max="8453" width="41.58203125" customWidth="1"/>
    <col min="8454" max="8455" width="0" hidden="1" customWidth="1"/>
    <col min="8456" max="8457" width="20.58203125" bestFit="1" customWidth="1"/>
    <col min="8458" max="8458" width="0" hidden="1" customWidth="1"/>
    <col min="8459" max="8460" width="12.5" bestFit="1" customWidth="1"/>
    <col min="8461" max="8462" width="20.58203125" bestFit="1" customWidth="1"/>
    <col min="8463" max="8465" width="0" hidden="1" customWidth="1"/>
    <col min="8466" max="8467" width="22.08203125" customWidth="1"/>
    <col min="8468" max="8468" width="20.58203125" bestFit="1" customWidth="1"/>
    <col min="8469" max="8469" width="73.25" bestFit="1" customWidth="1"/>
    <col min="8470" max="8471" width="75.33203125" bestFit="1" customWidth="1"/>
    <col min="8707" max="8707" width="24.83203125" customWidth="1"/>
    <col min="8708" max="8708" width="21.5" customWidth="1"/>
    <col min="8709" max="8709" width="41.58203125" customWidth="1"/>
    <col min="8710" max="8711" width="0" hidden="1" customWidth="1"/>
    <col min="8712" max="8713" width="20.58203125" bestFit="1" customWidth="1"/>
    <col min="8714" max="8714" width="0" hidden="1" customWidth="1"/>
    <col min="8715" max="8716" width="12.5" bestFit="1" customWidth="1"/>
    <col min="8717" max="8718" width="20.58203125" bestFit="1" customWidth="1"/>
    <col min="8719" max="8721" width="0" hidden="1" customWidth="1"/>
    <col min="8722" max="8723" width="22.08203125" customWidth="1"/>
    <col min="8724" max="8724" width="20.58203125" bestFit="1" customWidth="1"/>
    <col min="8725" max="8725" width="73.25" bestFit="1" customWidth="1"/>
    <col min="8726" max="8727" width="75.33203125" bestFit="1" customWidth="1"/>
    <col min="8963" max="8963" width="24.83203125" customWidth="1"/>
    <col min="8964" max="8964" width="21.5" customWidth="1"/>
    <col min="8965" max="8965" width="41.58203125" customWidth="1"/>
    <col min="8966" max="8967" width="0" hidden="1" customWidth="1"/>
    <col min="8968" max="8969" width="20.58203125" bestFit="1" customWidth="1"/>
    <col min="8970" max="8970" width="0" hidden="1" customWidth="1"/>
    <col min="8971" max="8972" width="12.5" bestFit="1" customWidth="1"/>
    <col min="8973" max="8974" width="20.58203125" bestFit="1" customWidth="1"/>
    <col min="8975" max="8977" width="0" hidden="1" customWidth="1"/>
    <col min="8978" max="8979" width="22.08203125" customWidth="1"/>
    <col min="8980" max="8980" width="20.58203125" bestFit="1" customWidth="1"/>
    <col min="8981" max="8981" width="73.25" bestFit="1" customWidth="1"/>
    <col min="8982" max="8983" width="75.33203125" bestFit="1" customWidth="1"/>
    <col min="9219" max="9219" width="24.83203125" customWidth="1"/>
    <col min="9220" max="9220" width="21.5" customWidth="1"/>
    <col min="9221" max="9221" width="41.58203125" customWidth="1"/>
    <col min="9222" max="9223" width="0" hidden="1" customWidth="1"/>
    <col min="9224" max="9225" width="20.58203125" bestFit="1" customWidth="1"/>
    <col min="9226" max="9226" width="0" hidden="1" customWidth="1"/>
    <col min="9227" max="9228" width="12.5" bestFit="1" customWidth="1"/>
    <col min="9229" max="9230" width="20.58203125" bestFit="1" customWidth="1"/>
    <col min="9231" max="9233" width="0" hidden="1" customWidth="1"/>
    <col min="9234" max="9235" width="22.08203125" customWidth="1"/>
    <col min="9236" max="9236" width="20.58203125" bestFit="1" customWidth="1"/>
    <col min="9237" max="9237" width="73.25" bestFit="1" customWidth="1"/>
    <col min="9238" max="9239" width="75.33203125" bestFit="1" customWidth="1"/>
    <col min="9475" max="9475" width="24.83203125" customWidth="1"/>
    <col min="9476" max="9476" width="21.5" customWidth="1"/>
    <col min="9477" max="9477" width="41.58203125" customWidth="1"/>
    <col min="9478" max="9479" width="0" hidden="1" customWidth="1"/>
    <col min="9480" max="9481" width="20.58203125" bestFit="1" customWidth="1"/>
    <col min="9482" max="9482" width="0" hidden="1" customWidth="1"/>
    <col min="9483" max="9484" width="12.5" bestFit="1" customWidth="1"/>
    <col min="9485" max="9486" width="20.58203125" bestFit="1" customWidth="1"/>
    <col min="9487" max="9489" width="0" hidden="1" customWidth="1"/>
    <col min="9490" max="9491" width="22.08203125" customWidth="1"/>
    <col min="9492" max="9492" width="20.58203125" bestFit="1" customWidth="1"/>
    <col min="9493" max="9493" width="73.25" bestFit="1" customWidth="1"/>
    <col min="9494" max="9495" width="75.33203125" bestFit="1" customWidth="1"/>
    <col min="9731" max="9731" width="24.83203125" customWidth="1"/>
    <col min="9732" max="9732" width="21.5" customWidth="1"/>
    <col min="9733" max="9733" width="41.58203125" customWidth="1"/>
    <col min="9734" max="9735" width="0" hidden="1" customWidth="1"/>
    <col min="9736" max="9737" width="20.58203125" bestFit="1" customWidth="1"/>
    <col min="9738" max="9738" width="0" hidden="1" customWidth="1"/>
    <col min="9739" max="9740" width="12.5" bestFit="1" customWidth="1"/>
    <col min="9741" max="9742" width="20.58203125" bestFit="1" customWidth="1"/>
    <col min="9743" max="9745" width="0" hidden="1" customWidth="1"/>
    <col min="9746" max="9747" width="22.08203125" customWidth="1"/>
    <col min="9748" max="9748" width="20.58203125" bestFit="1" customWidth="1"/>
    <col min="9749" max="9749" width="73.25" bestFit="1" customWidth="1"/>
    <col min="9750" max="9751" width="75.33203125" bestFit="1" customWidth="1"/>
    <col min="9987" max="9987" width="24.83203125" customWidth="1"/>
    <col min="9988" max="9988" width="21.5" customWidth="1"/>
    <col min="9989" max="9989" width="41.58203125" customWidth="1"/>
    <col min="9990" max="9991" width="0" hidden="1" customWidth="1"/>
    <col min="9992" max="9993" width="20.58203125" bestFit="1" customWidth="1"/>
    <col min="9994" max="9994" width="0" hidden="1" customWidth="1"/>
    <col min="9995" max="9996" width="12.5" bestFit="1" customWidth="1"/>
    <col min="9997" max="9998" width="20.58203125" bestFit="1" customWidth="1"/>
    <col min="9999" max="10001" width="0" hidden="1" customWidth="1"/>
    <col min="10002" max="10003" width="22.08203125" customWidth="1"/>
    <col min="10004" max="10004" width="20.58203125" bestFit="1" customWidth="1"/>
    <col min="10005" max="10005" width="73.25" bestFit="1" customWidth="1"/>
    <col min="10006" max="10007" width="75.33203125" bestFit="1" customWidth="1"/>
    <col min="10243" max="10243" width="24.83203125" customWidth="1"/>
    <col min="10244" max="10244" width="21.5" customWidth="1"/>
    <col min="10245" max="10245" width="41.58203125" customWidth="1"/>
    <col min="10246" max="10247" width="0" hidden="1" customWidth="1"/>
    <col min="10248" max="10249" width="20.58203125" bestFit="1" customWidth="1"/>
    <col min="10250" max="10250" width="0" hidden="1" customWidth="1"/>
    <col min="10251" max="10252" width="12.5" bestFit="1" customWidth="1"/>
    <col min="10253" max="10254" width="20.58203125" bestFit="1" customWidth="1"/>
    <col min="10255" max="10257" width="0" hidden="1" customWidth="1"/>
    <col min="10258" max="10259" width="22.08203125" customWidth="1"/>
    <col min="10260" max="10260" width="20.58203125" bestFit="1" customWidth="1"/>
    <col min="10261" max="10261" width="73.25" bestFit="1" customWidth="1"/>
    <col min="10262" max="10263" width="75.33203125" bestFit="1" customWidth="1"/>
    <col min="10499" max="10499" width="24.83203125" customWidth="1"/>
    <col min="10500" max="10500" width="21.5" customWidth="1"/>
    <col min="10501" max="10501" width="41.58203125" customWidth="1"/>
    <col min="10502" max="10503" width="0" hidden="1" customWidth="1"/>
    <col min="10504" max="10505" width="20.58203125" bestFit="1" customWidth="1"/>
    <col min="10506" max="10506" width="0" hidden="1" customWidth="1"/>
    <col min="10507" max="10508" width="12.5" bestFit="1" customWidth="1"/>
    <col min="10509" max="10510" width="20.58203125" bestFit="1" customWidth="1"/>
    <col min="10511" max="10513" width="0" hidden="1" customWidth="1"/>
    <col min="10514" max="10515" width="22.08203125" customWidth="1"/>
    <col min="10516" max="10516" width="20.58203125" bestFit="1" customWidth="1"/>
    <col min="10517" max="10517" width="73.25" bestFit="1" customWidth="1"/>
    <col min="10518" max="10519" width="75.33203125" bestFit="1" customWidth="1"/>
    <col min="10755" max="10755" width="24.83203125" customWidth="1"/>
    <col min="10756" max="10756" width="21.5" customWidth="1"/>
    <col min="10757" max="10757" width="41.58203125" customWidth="1"/>
    <col min="10758" max="10759" width="0" hidden="1" customWidth="1"/>
    <col min="10760" max="10761" width="20.58203125" bestFit="1" customWidth="1"/>
    <col min="10762" max="10762" width="0" hidden="1" customWidth="1"/>
    <col min="10763" max="10764" width="12.5" bestFit="1" customWidth="1"/>
    <col min="10765" max="10766" width="20.58203125" bestFit="1" customWidth="1"/>
    <col min="10767" max="10769" width="0" hidden="1" customWidth="1"/>
    <col min="10770" max="10771" width="22.08203125" customWidth="1"/>
    <col min="10772" max="10772" width="20.58203125" bestFit="1" customWidth="1"/>
    <col min="10773" max="10773" width="73.25" bestFit="1" customWidth="1"/>
    <col min="10774" max="10775" width="75.33203125" bestFit="1" customWidth="1"/>
    <col min="11011" max="11011" width="24.83203125" customWidth="1"/>
    <col min="11012" max="11012" width="21.5" customWidth="1"/>
    <col min="11013" max="11013" width="41.58203125" customWidth="1"/>
    <col min="11014" max="11015" width="0" hidden="1" customWidth="1"/>
    <col min="11016" max="11017" width="20.58203125" bestFit="1" customWidth="1"/>
    <col min="11018" max="11018" width="0" hidden="1" customWidth="1"/>
    <col min="11019" max="11020" width="12.5" bestFit="1" customWidth="1"/>
    <col min="11021" max="11022" width="20.58203125" bestFit="1" customWidth="1"/>
    <col min="11023" max="11025" width="0" hidden="1" customWidth="1"/>
    <col min="11026" max="11027" width="22.08203125" customWidth="1"/>
    <col min="11028" max="11028" width="20.58203125" bestFit="1" customWidth="1"/>
    <col min="11029" max="11029" width="73.25" bestFit="1" customWidth="1"/>
    <col min="11030" max="11031" width="75.33203125" bestFit="1" customWidth="1"/>
    <col min="11267" max="11267" width="24.83203125" customWidth="1"/>
    <col min="11268" max="11268" width="21.5" customWidth="1"/>
    <col min="11269" max="11269" width="41.58203125" customWidth="1"/>
    <col min="11270" max="11271" width="0" hidden="1" customWidth="1"/>
    <col min="11272" max="11273" width="20.58203125" bestFit="1" customWidth="1"/>
    <col min="11274" max="11274" width="0" hidden="1" customWidth="1"/>
    <col min="11275" max="11276" width="12.5" bestFit="1" customWidth="1"/>
    <col min="11277" max="11278" width="20.58203125" bestFit="1" customWidth="1"/>
    <col min="11279" max="11281" width="0" hidden="1" customWidth="1"/>
    <col min="11282" max="11283" width="22.08203125" customWidth="1"/>
    <col min="11284" max="11284" width="20.58203125" bestFit="1" customWidth="1"/>
    <col min="11285" max="11285" width="73.25" bestFit="1" customWidth="1"/>
    <col min="11286" max="11287" width="75.33203125" bestFit="1" customWidth="1"/>
    <col min="11523" max="11523" width="24.83203125" customWidth="1"/>
    <col min="11524" max="11524" width="21.5" customWidth="1"/>
    <col min="11525" max="11525" width="41.58203125" customWidth="1"/>
    <col min="11526" max="11527" width="0" hidden="1" customWidth="1"/>
    <col min="11528" max="11529" width="20.58203125" bestFit="1" customWidth="1"/>
    <col min="11530" max="11530" width="0" hidden="1" customWidth="1"/>
    <col min="11531" max="11532" width="12.5" bestFit="1" customWidth="1"/>
    <col min="11533" max="11534" width="20.58203125" bestFit="1" customWidth="1"/>
    <col min="11535" max="11537" width="0" hidden="1" customWidth="1"/>
    <col min="11538" max="11539" width="22.08203125" customWidth="1"/>
    <col min="11540" max="11540" width="20.58203125" bestFit="1" customWidth="1"/>
    <col min="11541" max="11541" width="73.25" bestFit="1" customWidth="1"/>
    <col min="11542" max="11543" width="75.33203125" bestFit="1" customWidth="1"/>
    <col min="11779" max="11779" width="24.83203125" customWidth="1"/>
    <col min="11780" max="11780" width="21.5" customWidth="1"/>
    <col min="11781" max="11781" width="41.58203125" customWidth="1"/>
    <col min="11782" max="11783" width="0" hidden="1" customWidth="1"/>
    <col min="11784" max="11785" width="20.58203125" bestFit="1" customWidth="1"/>
    <col min="11786" max="11786" width="0" hidden="1" customWidth="1"/>
    <col min="11787" max="11788" width="12.5" bestFit="1" customWidth="1"/>
    <col min="11789" max="11790" width="20.58203125" bestFit="1" customWidth="1"/>
    <col min="11791" max="11793" width="0" hidden="1" customWidth="1"/>
    <col min="11794" max="11795" width="22.08203125" customWidth="1"/>
    <col min="11796" max="11796" width="20.58203125" bestFit="1" customWidth="1"/>
    <col min="11797" max="11797" width="73.25" bestFit="1" customWidth="1"/>
    <col min="11798" max="11799" width="75.33203125" bestFit="1" customWidth="1"/>
    <col min="12035" max="12035" width="24.83203125" customWidth="1"/>
    <col min="12036" max="12036" width="21.5" customWidth="1"/>
    <col min="12037" max="12037" width="41.58203125" customWidth="1"/>
    <col min="12038" max="12039" width="0" hidden="1" customWidth="1"/>
    <col min="12040" max="12041" width="20.58203125" bestFit="1" customWidth="1"/>
    <col min="12042" max="12042" width="0" hidden="1" customWidth="1"/>
    <col min="12043" max="12044" width="12.5" bestFit="1" customWidth="1"/>
    <col min="12045" max="12046" width="20.58203125" bestFit="1" customWidth="1"/>
    <col min="12047" max="12049" width="0" hidden="1" customWidth="1"/>
    <col min="12050" max="12051" width="22.08203125" customWidth="1"/>
    <col min="12052" max="12052" width="20.58203125" bestFit="1" customWidth="1"/>
    <col min="12053" max="12053" width="73.25" bestFit="1" customWidth="1"/>
    <col min="12054" max="12055" width="75.33203125" bestFit="1" customWidth="1"/>
    <col min="12291" max="12291" width="24.83203125" customWidth="1"/>
    <col min="12292" max="12292" width="21.5" customWidth="1"/>
    <col min="12293" max="12293" width="41.58203125" customWidth="1"/>
    <col min="12294" max="12295" width="0" hidden="1" customWidth="1"/>
    <col min="12296" max="12297" width="20.58203125" bestFit="1" customWidth="1"/>
    <col min="12298" max="12298" width="0" hidden="1" customWidth="1"/>
    <col min="12299" max="12300" width="12.5" bestFit="1" customWidth="1"/>
    <col min="12301" max="12302" width="20.58203125" bestFit="1" customWidth="1"/>
    <col min="12303" max="12305" width="0" hidden="1" customWidth="1"/>
    <col min="12306" max="12307" width="22.08203125" customWidth="1"/>
    <col min="12308" max="12308" width="20.58203125" bestFit="1" customWidth="1"/>
    <col min="12309" max="12309" width="73.25" bestFit="1" customWidth="1"/>
    <col min="12310" max="12311" width="75.33203125" bestFit="1" customWidth="1"/>
    <col min="12547" max="12547" width="24.83203125" customWidth="1"/>
    <col min="12548" max="12548" width="21.5" customWidth="1"/>
    <col min="12549" max="12549" width="41.58203125" customWidth="1"/>
    <col min="12550" max="12551" width="0" hidden="1" customWidth="1"/>
    <col min="12552" max="12553" width="20.58203125" bestFit="1" customWidth="1"/>
    <col min="12554" max="12554" width="0" hidden="1" customWidth="1"/>
    <col min="12555" max="12556" width="12.5" bestFit="1" customWidth="1"/>
    <col min="12557" max="12558" width="20.58203125" bestFit="1" customWidth="1"/>
    <col min="12559" max="12561" width="0" hidden="1" customWidth="1"/>
    <col min="12562" max="12563" width="22.08203125" customWidth="1"/>
    <col min="12564" max="12564" width="20.58203125" bestFit="1" customWidth="1"/>
    <col min="12565" max="12565" width="73.25" bestFit="1" customWidth="1"/>
    <col min="12566" max="12567" width="75.33203125" bestFit="1" customWidth="1"/>
    <col min="12803" max="12803" width="24.83203125" customWidth="1"/>
    <col min="12804" max="12804" width="21.5" customWidth="1"/>
    <col min="12805" max="12805" width="41.58203125" customWidth="1"/>
    <col min="12806" max="12807" width="0" hidden="1" customWidth="1"/>
    <col min="12808" max="12809" width="20.58203125" bestFit="1" customWidth="1"/>
    <col min="12810" max="12810" width="0" hidden="1" customWidth="1"/>
    <col min="12811" max="12812" width="12.5" bestFit="1" customWidth="1"/>
    <col min="12813" max="12814" width="20.58203125" bestFit="1" customWidth="1"/>
    <col min="12815" max="12817" width="0" hidden="1" customWidth="1"/>
    <col min="12818" max="12819" width="22.08203125" customWidth="1"/>
    <col min="12820" max="12820" width="20.58203125" bestFit="1" customWidth="1"/>
    <col min="12821" max="12821" width="73.25" bestFit="1" customWidth="1"/>
    <col min="12822" max="12823" width="75.33203125" bestFit="1" customWidth="1"/>
    <col min="13059" max="13059" width="24.83203125" customWidth="1"/>
    <col min="13060" max="13060" width="21.5" customWidth="1"/>
    <col min="13061" max="13061" width="41.58203125" customWidth="1"/>
    <col min="13062" max="13063" width="0" hidden="1" customWidth="1"/>
    <col min="13064" max="13065" width="20.58203125" bestFit="1" customWidth="1"/>
    <col min="13066" max="13066" width="0" hidden="1" customWidth="1"/>
    <col min="13067" max="13068" width="12.5" bestFit="1" customWidth="1"/>
    <col min="13069" max="13070" width="20.58203125" bestFit="1" customWidth="1"/>
    <col min="13071" max="13073" width="0" hidden="1" customWidth="1"/>
    <col min="13074" max="13075" width="22.08203125" customWidth="1"/>
    <col min="13076" max="13076" width="20.58203125" bestFit="1" customWidth="1"/>
    <col min="13077" max="13077" width="73.25" bestFit="1" customWidth="1"/>
    <col min="13078" max="13079" width="75.33203125" bestFit="1" customWidth="1"/>
    <col min="13315" max="13315" width="24.83203125" customWidth="1"/>
    <col min="13316" max="13316" width="21.5" customWidth="1"/>
    <col min="13317" max="13317" width="41.58203125" customWidth="1"/>
    <col min="13318" max="13319" width="0" hidden="1" customWidth="1"/>
    <col min="13320" max="13321" width="20.58203125" bestFit="1" customWidth="1"/>
    <col min="13322" max="13322" width="0" hidden="1" customWidth="1"/>
    <col min="13323" max="13324" width="12.5" bestFit="1" customWidth="1"/>
    <col min="13325" max="13326" width="20.58203125" bestFit="1" customWidth="1"/>
    <col min="13327" max="13329" width="0" hidden="1" customWidth="1"/>
    <col min="13330" max="13331" width="22.08203125" customWidth="1"/>
    <col min="13332" max="13332" width="20.58203125" bestFit="1" customWidth="1"/>
    <col min="13333" max="13333" width="73.25" bestFit="1" customWidth="1"/>
    <col min="13334" max="13335" width="75.33203125" bestFit="1" customWidth="1"/>
    <col min="13571" max="13571" width="24.83203125" customWidth="1"/>
    <col min="13572" max="13572" width="21.5" customWidth="1"/>
    <col min="13573" max="13573" width="41.58203125" customWidth="1"/>
    <col min="13574" max="13575" width="0" hidden="1" customWidth="1"/>
    <col min="13576" max="13577" width="20.58203125" bestFit="1" customWidth="1"/>
    <col min="13578" max="13578" width="0" hidden="1" customWidth="1"/>
    <col min="13579" max="13580" width="12.5" bestFit="1" customWidth="1"/>
    <col min="13581" max="13582" width="20.58203125" bestFit="1" customWidth="1"/>
    <col min="13583" max="13585" width="0" hidden="1" customWidth="1"/>
    <col min="13586" max="13587" width="22.08203125" customWidth="1"/>
    <col min="13588" max="13588" width="20.58203125" bestFit="1" customWidth="1"/>
    <col min="13589" max="13589" width="73.25" bestFit="1" customWidth="1"/>
    <col min="13590" max="13591" width="75.33203125" bestFit="1" customWidth="1"/>
    <col min="13827" max="13827" width="24.83203125" customWidth="1"/>
    <col min="13828" max="13828" width="21.5" customWidth="1"/>
    <col min="13829" max="13829" width="41.58203125" customWidth="1"/>
    <col min="13830" max="13831" width="0" hidden="1" customWidth="1"/>
    <col min="13832" max="13833" width="20.58203125" bestFit="1" customWidth="1"/>
    <col min="13834" max="13834" width="0" hidden="1" customWidth="1"/>
    <col min="13835" max="13836" width="12.5" bestFit="1" customWidth="1"/>
    <col min="13837" max="13838" width="20.58203125" bestFit="1" customWidth="1"/>
    <col min="13839" max="13841" width="0" hidden="1" customWidth="1"/>
    <col min="13842" max="13843" width="22.08203125" customWidth="1"/>
    <col min="13844" max="13844" width="20.58203125" bestFit="1" customWidth="1"/>
    <col min="13845" max="13845" width="73.25" bestFit="1" customWidth="1"/>
    <col min="13846" max="13847" width="75.33203125" bestFit="1" customWidth="1"/>
    <col min="14083" max="14083" width="24.83203125" customWidth="1"/>
    <col min="14084" max="14084" width="21.5" customWidth="1"/>
    <col min="14085" max="14085" width="41.58203125" customWidth="1"/>
    <col min="14086" max="14087" width="0" hidden="1" customWidth="1"/>
    <col min="14088" max="14089" width="20.58203125" bestFit="1" customWidth="1"/>
    <col min="14090" max="14090" width="0" hidden="1" customWidth="1"/>
    <col min="14091" max="14092" width="12.5" bestFit="1" customWidth="1"/>
    <col min="14093" max="14094" width="20.58203125" bestFit="1" customWidth="1"/>
    <col min="14095" max="14097" width="0" hidden="1" customWidth="1"/>
    <col min="14098" max="14099" width="22.08203125" customWidth="1"/>
    <col min="14100" max="14100" width="20.58203125" bestFit="1" customWidth="1"/>
    <col min="14101" max="14101" width="73.25" bestFit="1" customWidth="1"/>
    <col min="14102" max="14103" width="75.33203125" bestFit="1" customWidth="1"/>
    <col min="14339" max="14339" width="24.83203125" customWidth="1"/>
    <col min="14340" max="14340" width="21.5" customWidth="1"/>
    <col min="14341" max="14341" width="41.58203125" customWidth="1"/>
    <col min="14342" max="14343" width="0" hidden="1" customWidth="1"/>
    <col min="14344" max="14345" width="20.58203125" bestFit="1" customWidth="1"/>
    <col min="14346" max="14346" width="0" hidden="1" customWidth="1"/>
    <col min="14347" max="14348" width="12.5" bestFit="1" customWidth="1"/>
    <col min="14349" max="14350" width="20.58203125" bestFit="1" customWidth="1"/>
    <col min="14351" max="14353" width="0" hidden="1" customWidth="1"/>
    <col min="14354" max="14355" width="22.08203125" customWidth="1"/>
    <col min="14356" max="14356" width="20.58203125" bestFit="1" customWidth="1"/>
    <col min="14357" max="14357" width="73.25" bestFit="1" customWidth="1"/>
    <col min="14358" max="14359" width="75.33203125" bestFit="1" customWidth="1"/>
    <col min="14595" max="14595" width="24.83203125" customWidth="1"/>
    <col min="14596" max="14596" width="21.5" customWidth="1"/>
    <col min="14597" max="14597" width="41.58203125" customWidth="1"/>
    <col min="14598" max="14599" width="0" hidden="1" customWidth="1"/>
    <col min="14600" max="14601" width="20.58203125" bestFit="1" customWidth="1"/>
    <col min="14602" max="14602" width="0" hidden="1" customWidth="1"/>
    <col min="14603" max="14604" width="12.5" bestFit="1" customWidth="1"/>
    <col min="14605" max="14606" width="20.58203125" bestFit="1" customWidth="1"/>
    <col min="14607" max="14609" width="0" hidden="1" customWidth="1"/>
    <col min="14610" max="14611" width="22.08203125" customWidth="1"/>
    <col min="14612" max="14612" width="20.58203125" bestFit="1" customWidth="1"/>
    <col min="14613" max="14613" width="73.25" bestFit="1" customWidth="1"/>
    <col min="14614" max="14615" width="75.33203125" bestFit="1" customWidth="1"/>
    <col min="14851" max="14851" width="24.83203125" customWidth="1"/>
    <col min="14852" max="14852" width="21.5" customWidth="1"/>
    <col min="14853" max="14853" width="41.58203125" customWidth="1"/>
    <col min="14854" max="14855" width="0" hidden="1" customWidth="1"/>
    <col min="14856" max="14857" width="20.58203125" bestFit="1" customWidth="1"/>
    <col min="14858" max="14858" width="0" hidden="1" customWidth="1"/>
    <col min="14859" max="14860" width="12.5" bestFit="1" customWidth="1"/>
    <col min="14861" max="14862" width="20.58203125" bestFit="1" customWidth="1"/>
    <col min="14863" max="14865" width="0" hidden="1" customWidth="1"/>
    <col min="14866" max="14867" width="22.08203125" customWidth="1"/>
    <col min="14868" max="14868" width="20.58203125" bestFit="1" customWidth="1"/>
    <col min="14869" max="14869" width="73.25" bestFit="1" customWidth="1"/>
    <col min="14870" max="14871" width="75.33203125" bestFit="1" customWidth="1"/>
    <col min="15107" max="15107" width="24.83203125" customWidth="1"/>
    <col min="15108" max="15108" width="21.5" customWidth="1"/>
    <col min="15109" max="15109" width="41.58203125" customWidth="1"/>
    <col min="15110" max="15111" width="0" hidden="1" customWidth="1"/>
    <col min="15112" max="15113" width="20.58203125" bestFit="1" customWidth="1"/>
    <col min="15114" max="15114" width="0" hidden="1" customWidth="1"/>
    <col min="15115" max="15116" width="12.5" bestFit="1" customWidth="1"/>
    <col min="15117" max="15118" width="20.58203125" bestFit="1" customWidth="1"/>
    <col min="15119" max="15121" width="0" hidden="1" customWidth="1"/>
    <col min="15122" max="15123" width="22.08203125" customWidth="1"/>
    <col min="15124" max="15124" width="20.58203125" bestFit="1" customWidth="1"/>
    <col min="15125" max="15125" width="73.25" bestFit="1" customWidth="1"/>
    <col min="15126" max="15127" width="75.33203125" bestFit="1" customWidth="1"/>
    <col min="15363" max="15363" width="24.83203125" customWidth="1"/>
    <col min="15364" max="15364" width="21.5" customWidth="1"/>
    <col min="15365" max="15365" width="41.58203125" customWidth="1"/>
    <col min="15366" max="15367" width="0" hidden="1" customWidth="1"/>
    <col min="15368" max="15369" width="20.58203125" bestFit="1" customWidth="1"/>
    <col min="15370" max="15370" width="0" hidden="1" customWidth="1"/>
    <col min="15371" max="15372" width="12.5" bestFit="1" customWidth="1"/>
    <col min="15373" max="15374" width="20.58203125" bestFit="1" customWidth="1"/>
    <col min="15375" max="15377" width="0" hidden="1" customWidth="1"/>
    <col min="15378" max="15379" width="22.08203125" customWidth="1"/>
    <col min="15380" max="15380" width="20.58203125" bestFit="1" customWidth="1"/>
    <col min="15381" max="15381" width="73.25" bestFit="1" customWidth="1"/>
    <col min="15382" max="15383" width="75.33203125" bestFit="1" customWidth="1"/>
    <col min="15619" max="15619" width="24.83203125" customWidth="1"/>
    <col min="15620" max="15620" width="21.5" customWidth="1"/>
    <col min="15621" max="15621" width="41.58203125" customWidth="1"/>
    <col min="15622" max="15623" width="0" hidden="1" customWidth="1"/>
    <col min="15624" max="15625" width="20.58203125" bestFit="1" customWidth="1"/>
    <col min="15626" max="15626" width="0" hidden="1" customWidth="1"/>
    <col min="15627" max="15628" width="12.5" bestFit="1" customWidth="1"/>
    <col min="15629" max="15630" width="20.58203125" bestFit="1" customWidth="1"/>
    <col min="15631" max="15633" width="0" hidden="1" customWidth="1"/>
    <col min="15634" max="15635" width="22.08203125" customWidth="1"/>
    <col min="15636" max="15636" width="20.58203125" bestFit="1" customWidth="1"/>
    <col min="15637" max="15637" width="73.25" bestFit="1" customWidth="1"/>
    <col min="15638" max="15639" width="75.33203125" bestFit="1" customWidth="1"/>
    <col min="15875" max="15875" width="24.83203125" customWidth="1"/>
    <col min="15876" max="15876" width="21.5" customWidth="1"/>
    <col min="15877" max="15877" width="41.58203125" customWidth="1"/>
    <col min="15878" max="15879" width="0" hidden="1" customWidth="1"/>
    <col min="15880" max="15881" width="20.58203125" bestFit="1" customWidth="1"/>
    <col min="15882" max="15882" width="0" hidden="1" customWidth="1"/>
    <col min="15883" max="15884" width="12.5" bestFit="1" customWidth="1"/>
    <col min="15885" max="15886" width="20.58203125" bestFit="1" customWidth="1"/>
    <col min="15887" max="15889" width="0" hidden="1" customWidth="1"/>
    <col min="15890" max="15891" width="22.08203125" customWidth="1"/>
    <col min="15892" max="15892" width="20.58203125" bestFit="1" customWidth="1"/>
    <col min="15893" max="15893" width="73.25" bestFit="1" customWidth="1"/>
    <col min="15894" max="15895" width="75.33203125" bestFit="1" customWidth="1"/>
    <col min="16131" max="16131" width="24.83203125" customWidth="1"/>
    <col min="16132" max="16132" width="21.5" customWidth="1"/>
    <col min="16133" max="16133" width="41.58203125" customWidth="1"/>
    <col min="16134" max="16135" width="0" hidden="1" customWidth="1"/>
    <col min="16136" max="16137" width="20.58203125" bestFit="1" customWidth="1"/>
    <col min="16138" max="16138" width="0" hidden="1" customWidth="1"/>
    <col min="16139" max="16140" width="12.5" bestFit="1" customWidth="1"/>
    <col min="16141" max="16142" width="20.58203125" bestFit="1" customWidth="1"/>
    <col min="16143" max="16145" width="0" hidden="1" customWidth="1"/>
    <col min="16146" max="16147" width="22.08203125" customWidth="1"/>
    <col min="16148" max="16148" width="20.58203125" bestFit="1" customWidth="1"/>
    <col min="16149" max="16149" width="73.25" bestFit="1" customWidth="1"/>
    <col min="16150" max="16151" width="75.33203125" bestFit="1" customWidth="1"/>
  </cols>
  <sheetData>
    <row r="1" spans="1:25" ht="84" x14ac:dyDescent="0.3">
      <c r="A1" s="219" t="s">
        <v>0</v>
      </c>
      <c r="B1" s="220"/>
      <c r="C1" s="219" t="s">
        <v>34</v>
      </c>
      <c r="D1" s="219" t="s">
        <v>605</v>
      </c>
      <c r="E1" s="219" t="s">
        <v>608</v>
      </c>
      <c r="F1" s="221" t="s">
        <v>611</v>
      </c>
      <c r="G1" s="219" t="s">
        <v>606</v>
      </c>
      <c r="H1" s="219" t="s">
        <v>609</v>
      </c>
      <c r="I1" s="219" t="s">
        <v>610</v>
      </c>
      <c r="J1" s="219" t="s">
        <v>909</v>
      </c>
      <c r="K1" s="219" t="s">
        <v>2216</v>
      </c>
      <c r="L1" s="219" t="s">
        <v>713</v>
      </c>
      <c r="M1" s="221" t="s">
        <v>714</v>
      </c>
      <c r="N1" s="219" t="s">
        <v>715</v>
      </c>
      <c r="O1" s="219" t="s">
        <v>716</v>
      </c>
      <c r="P1" s="219" t="s">
        <v>717</v>
      </c>
      <c r="Q1" s="110" t="s">
        <v>2088</v>
      </c>
      <c r="R1" s="110" t="s">
        <v>2089</v>
      </c>
      <c r="S1" s="221" t="s">
        <v>2090</v>
      </c>
      <c r="T1" s="315"/>
      <c r="U1" s="152" t="s">
        <v>756</v>
      </c>
      <c r="V1" s="110" t="s">
        <v>2091</v>
      </c>
      <c r="W1" s="110" t="s">
        <v>756</v>
      </c>
      <c r="Y1" t="s">
        <v>714</v>
      </c>
    </row>
    <row r="2" spans="1:25" s="193" customFormat="1" ht="28" x14ac:dyDescent="0.6">
      <c r="A2" s="121">
        <v>1611000110</v>
      </c>
      <c r="B2" s="121" t="s">
        <v>17</v>
      </c>
      <c r="C2" s="121" t="s">
        <v>234</v>
      </c>
      <c r="D2" s="122">
        <v>546227.84</v>
      </c>
      <c r="E2" s="122">
        <v>392788</v>
      </c>
      <c r="F2" s="125"/>
      <c r="G2" s="122"/>
      <c r="H2" s="123">
        <v>2.2000000000000002</v>
      </c>
      <c r="I2" s="123"/>
      <c r="J2" s="123"/>
      <c r="K2" s="123"/>
      <c r="L2" s="122"/>
      <c r="M2" s="125">
        <v>0</v>
      </c>
      <c r="N2" s="122">
        <v>12</v>
      </c>
      <c r="O2" s="122">
        <v>12</v>
      </c>
      <c r="P2" s="222">
        <v>608726.30963333324</v>
      </c>
      <c r="Q2" s="222">
        <v>0</v>
      </c>
      <c r="R2" s="223" t="e">
        <v>#DIV/0!</v>
      </c>
      <c r="S2" s="125">
        <v>0</v>
      </c>
      <c r="T2" s="123">
        <f>S2-M2</f>
        <v>0</v>
      </c>
      <c r="U2" s="224" t="s">
        <v>2092</v>
      </c>
      <c r="V2" s="225" t="s">
        <v>2093</v>
      </c>
      <c r="W2" s="225" t="s">
        <v>2094</v>
      </c>
      <c r="Y2" s="193">
        <v>0</v>
      </c>
    </row>
    <row r="3" spans="1:25" s="193" customFormat="1" ht="28" x14ac:dyDescent="0.6">
      <c r="A3" s="121">
        <v>1611100110</v>
      </c>
      <c r="B3" s="121" t="s">
        <v>17</v>
      </c>
      <c r="C3" s="121" t="s">
        <v>246</v>
      </c>
      <c r="D3" s="122">
        <v>1346899.65</v>
      </c>
      <c r="E3" s="122">
        <v>1365946</v>
      </c>
      <c r="F3" s="125">
        <v>1386435.6365999999</v>
      </c>
      <c r="G3" s="122">
        <v>1376127.3717298307</v>
      </c>
      <c r="H3" s="123">
        <v>3</v>
      </c>
      <c r="I3" s="123">
        <v>3</v>
      </c>
      <c r="J3" s="123">
        <f>'שכר מפורט'!G5</f>
        <v>3</v>
      </c>
      <c r="K3" s="123">
        <f>'שכר מפורט'!S5</f>
        <v>3</v>
      </c>
      <c r="L3" s="226">
        <v>1403126.44</v>
      </c>
      <c r="M3" s="227">
        <f>S3</f>
        <v>1514502</v>
      </c>
      <c r="N3" s="122">
        <v>12</v>
      </c>
      <c r="O3" s="122">
        <v>12</v>
      </c>
      <c r="P3" s="222">
        <v>1438200</v>
      </c>
      <c r="Q3" s="222">
        <v>128066.36340000015</v>
      </c>
      <c r="R3" s="223">
        <v>9.2370940286893771E-2</v>
      </c>
      <c r="S3" s="123">
        <f>'שכר מפורט'!AF5</f>
        <v>1514502</v>
      </c>
      <c r="T3" s="123">
        <f>S3-M3</f>
        <v>0</v>
      </c>
      <c r="U3" s="224" t="s">
        <v>2095</v>
      </c>
      <c r="V3" s="228" t="s">
        <v>2096</v>
      </c>
      <c r="W3" s="228"/>
      <c r="Y3" s="193">
        <v>1514502</v>
      </c>
    </row>
    <row r="4" spans="1:25" s="193" customFormat="1" ht="28" x14ac:dyDescent="0.6">
      <c r="A4" s="121">
        <v>1612000110</v>
      </c>
      <c r="B4" s="121" t="s">
        <v>17</v>
      </c>
      <c r="C4" s="121" t="s">
        <v>247</v>
      </c>
      <c r="D4" s="122">
        <v>646152.71</v>
      </c>
      <c r="E4" s="122">
        <v>559500</v>
      </c>
      <c r="F4" s="125">
        <v>595450.90033333329</v>
      </c>
      <c r="G4" s="122">
        <v>660174.22004039097</v>
      </c>
      <c r="H4" s="123">
        <v>2</v>
      </c>
      <c r="I4" s="123">
        <v>2</v>
      </c>
      <c r="J4" s="123">
        <f>'שכר מפורט'!G10</f>
        <v>2</v>
      </c>
      <c r="K4" s="123">
        <f>'שכר מפורט'!S10</f>
        <v>2</v>
      </c>
      <c r="L4" s="226">
        <v>559801.43999999994</v>
      </c>
      <c r="M4" s="227">
        <f t="shared" ref="M4:M67" si="0">S4</f>
        <v>612214.28571428568</v>
      </c>
      <c r="N4" s="122">
        <v>12</v>
      </c>
      <c r="O4" s="122">
        <v>12</v>
      </c>
      <c r="P4" s="222">
        <v>582000</v>
      </c>
      <c r="Q4" s="222">
        <v>16763.385380952386</v>
      </c>
      <c r="R4" s="223">
        <v>2.8152422595327752E-2</v>
      </c>
      <c r="S4" s="123">
        <f>'שכר מפורט'!AF10</f>
        <v>612214.28571428568</v>
      </c>
      <c r="T4" s="123">
        <f t="shared" ref="T4:T67" si="1">S4-M4</f>
        <v>0</v>
      </c>
      <c r="U4" s="224"/>
      <c r="V4" s="193" t="s">
        <v>2097</v>
      </c>
      <c r="W4" s="193" t="s">
        <v>2098</v>
      </c>
      <c r="Y4" s="193">
        <v>612214.28571428568</v>
      </c>
    </row>
    <row r="5" spans="1:25" s="193" customFormat="1" ht="28" x14ac:dyDescent="0.6">
      <c r="A5" s="121">
        <v>1613000110</v>
      </c>
      <c r="B5" s="121" t="s">
        <v>17</v>
      </c>
      <c r="C5" s="121" t="s">
        <v>250</v>
      </c>
      <c r="D5" s="122">
        <v>2177739.0299999998</v>
      </c>
      <c r="E5" s="122">
        <v>2375926</v>
      </c>
      <c r="F5" s="125">
        <v>2990911.079225</v>
      </c>
      <c r="G5" s="122">
        <v>2634424.0215670001</v>
      </c>
      <c r="H5" s="123">
        <v>14.339999999999998</v>
      </c>
      <c r="I5" s="123">
        <v>18.82</v>
      </c>
      <c r="J5" s="123">
        <f>'שכר מפורט'!G31</f>
        <v>17.05</v>
      </c>
      <c r="K5" s="123">
        <f>'שכר מפורט'!S31</f>
        <v>13.783333333333333</v>
      </c>
      <c r="L5" s="226">
        <v>2768714</v>
      </c>
      <c r="M5" s="227">
        <f t="shared" si="0"/>
        <v>2653849.616296296</v>
      </c>
      <c r="N5" s="122">
        <v>12</v>
      </c>
      <c r="O5" s="122">
        <v>12</v>
      </c>
      <c r="P5" s="222">
        <v>2377800</v>
      </c>
      <c r="Q5" s="222">
        <v>-337061.46292870399</v>
      </c>
      <c r="R5" s="223">
        <v>-0.11269524703357038</v>
      </c>
      <c r="S5" s="123">
        <f>'שכר מפורט'!AF31</f>
        <v>2653849.616296296</v>
      </c>
      <c r="T5" s="123">
        <f t="shared" si="1"/>
        <v>0</v>
      </c>
      <c r="U5" s="224"/>
      <c r="V5" s="193" t="s">
        <v>2099</v>
      </c>
      <c r="Y5" s="193">
        <v>2653849.616296296</v>
      </c>
    </row>
    <row r="6" spans="1:25" s="193" customFormat="1" ht="28" x14ac:dyDescent="0.6">
      <c r="A6" s="121">
        <v>1614000110</v>
      </c>
      <c r="B6" s="121" t="s">
        <v>17</v>
      </c>
      <c r="C6" s="121" t="s">
        <v>269</v>
      </c>
      <c r="D6" s="122">
        <v>408978.45</v>
      </c>
      <c r="E6" s="122">
        <v>429354</v>
      </c>
      <c r="F6" s="125">
        <v>396329.1403958333</v>
      </c>
      <c r="G6" s="122">
        <v>249732.28237663745</v>
      </c>
      <c r="H6" s="123">
        <v>2</v>
      </c>
      <c r="I6" s="123">
        <v>2</v>
      </c>
      <c r="J6" s="123">
        <f>'שכר מפורט'!G36</f>
        <v>2</v>
      </c>
      <c r="K6" s="123">
        <f>'שכר מפורט'!S36</f>
        <v>1.5</v>
      </c>
      <c r="L6" s="226">
        <v>426955.47</v>
      </c>
      <c r="M6" s="227">
        <f t="shared" si="0"/>
        <v>467400</v>
      </c>
      <c r="N6" s="122">
        <v>12</v>
      </c>
      <c r="O6" s="122">
        <v>12</v>
      </c>
      <c r="P6" s="222">
        <v>424800</v>
      </c>
      <c r="Q6" s="222">
        <v>71070.859604166704</v>
      </c>
      <c r="R6" s="223">
        <v>0.17932282126210744</v>
      </c>
      <c r="S6" s="123">
        <f>'שכר מפורט'!AF36</f>
        <v>467400</v>
      </c>
      <c r="T6" s="123">
        <f t="shared" si="1"/>
        <v>0</v>
      </c>
      <c r="U6" s="224" t="s">
        <v>2100</v>
      </c>
      <c r="V6" s="193" t="s">
        <v>2101</v>
      </c>
      <c r="Y6" s="193">
        <v>467400</v>
      </c>
    </row>
    <row r="7" spans="1:25" s="193" customFormat="1" ht="28" x14ac:dyDescent="0.6">
      <c r="A7" s="121">
        <v>1615000110</v>
      </c>
      <c r="B7" s="121" t="s">
        <v>17</v>
      </c>
      <c r="C7" s="121" t="s">
        <v>271</v>
      </c>
      <c r="D7" s="122">
        <v>722497.46</v>
      </c>
      <c r="E7" s="122">
        <v>739473</v>
      </c>
      <c r="F7" s="125">
        <v>763705.85624999984</v>
      </c>
      <c r="G7" s="122">
        <v>738175.6511595234</v>
      </c>
      <c r="H7" s="123">
        <v>3</v>
      </c>
      <c r="I7" s="123">
        <v>3</v>
      </c>
      <c r="J7" s="123">
        <f>'שכר מפורט'!G42</f>
        <v>3</v>
      </c>
      <c r="K7" s="123">
        <f>'שכר מפורט'!S42</f>
        <v>3</v>
      </c>
      <c r="L7" s="226">
        <v>739473</v>
      </c>
      <c r="M7" s="227">
        <f t="shared" si="0"/>
        <v>752850</v>
      </c>
      <c r="N7" s="122">
        <v>12</v>
      </c>
      <c r="O7" s="122">
        <v>12</v>
      </c>
      <c r="P7" s="222">
        <v>747000</v>
      </c>
      <c r="Q7" s="222">
        <v>-10855.856249999837</v>
      </c>
      <c r="R7" s="223">
        <v>-1.4214708661925151E-2</v>
      </c>
      <c r="S7" s="123">
        <f>'שכר מפורט'!AF42</f>
        <v>752850</v>
      </c>
      <c r="T7" s="123">
        <f t="shared" si="1"/>
        <v>0</v>
      </c>
      <c r="U7" s="224"/>
      <c r="V7" s="193" t="s">
        <v>2102</v>
      </c>
      <c r="Y7" s="193">
        <v>752850</v>
      </c>
    </row>
    <row r="8" spans="1:25" s="193" customFormat="1" ht="28" x14ac:dyDescent="0.6">
      <c r="A8" s="121">
        <v>1617000110</v>
      </c>
      <c r="B8" s="121" t="s">
        <v>17</v>
      </c>
      <c r="C8" s="121" t="s">
        <v>277</v>
      </c>
      <c r="D8" s="122">
        <v>778251.9</v>
      </c>
      <c r="E8" s="122">
        <v>791863</v>
      </c>
      <c r="F8" s="125">
        <v>892847.41954999988</v>
      </c>
      <c r="G8" s="122">
        <v>868512.46965124959</v>
      </c>
      <c r="H8" s="123">
        <v>3.3289999999999997</v>
      </c>
      <c r="I8" s="123">
        <v>4</v>
      </c>
      <c r="J8" s="123">
        <f>'שכר מפורט'!G48</f>
        <v>4</v>
      </c>
      <c r="K8" s="123">
        <f>'שכר מפורט'!S48</f>
        <v>4</v>
      </c>
      <c r="L8" s="235">
        <v>792422.84</v>
      </c>
      <c r="M8" s="227">
        <f t="shared" si="0"/>
        <v>980800</v>
      </c>
      <c r="N8" s="122">
        <v>12</v>
      </c>
      <c r="O8" s="122">
        <v>12</v>
      </c>
      <c r="P8" s="222">
        <v>980800</v>
      </c>
      <c r="Q8" s="222">
        <v>87952.580450000125</v>
      </c>
      <c r="R8" s="223">
        <v>9.8507962865960585E-2</v>
      </c>
      <c r="S8" s="123">
        <f>'שכר מפורט'!AF48</f>
        <v>980800</v>
      </c>
      <c r="T8" s="123">
        <f t="shared" si="1"/>
        <v>0</v>
      </c>
      <c r="U8" s="224" t="s">
        <v>2208</v>
      </c>
      <c r="Y8" s="193">
        <v>980800</v>
      </c>
    </row>
    <row r="9" spans="1:25" s="193" customFormat="1" ht="28" hidden="1" x14ac:dyDescent="0.6">
      <c r="A9" s="121" t="s">
        <v>1</v>
      </c>
      <c r="B9" s="121" t="s">
        <v>17</v>
      </c>
      <c r="C9" s="121" t="s">
        <v>583</v>
      </c>
      <c r="D9" s="122" t="s">
        <v>8</v>
      </c>
      <c r="E9" s="122">
        <v>0</v>
      </c>
      <c r="F9" s="125"/>
      <c r="G9" s="122">
        <v>2634.5422295998001</v>
      </c>
      <c r="H9" s="123"/>
      <c r="I9" s="123"/>
      <c r="J9" s="123"/>
      <c r="K9" s="123"/>
      <c r="L9" s="226">
        <v>0</v>
      </c>
      <c r="M9" s="227">
        <f t="shared" si="0"/>
        <v>0</v>
      </c>
      <c r="N9" s="122">
        <v>12</v>
      </c>
      <c r="O9" s="122">
        <v>12</v>
      </c>
      <c r="P9" s="222">
        <v>0</v>
      </c>
      <c r="Q9" s="222">
        <v>0</v>
      </c>
      <c r="R9" s="229" t="e">
        <v>#DIV/0!</v>
      </c>
      <c r="S9" s="123"/>
      <c r="T9" s="123">
        <f t="shared" si="1"/>
        <v>0</v>
      </c>
      <c r="U9" s="224"/>
    </row>
    <row r="10" spans="1:25" s="193" customFormat="1" ht="28" hidden="1" x14ac:dyDescent="0.6">
      <c r="A10" s="121" t="s">
        <v>1</v>
      </c>
      <c r="B10" s="121" t="s">
        <v>17</v>
      </c>
      <c r="C10" s="121" t="s">
        <v>583</v>
      </c>
      <c r="D10" s="122" t="s">
        <v>8</v>
      </c>
      <c r="E10" s="122">
        <v>0</v>
      </c>
      <c r="F10" s="125"/>
      <c r="G10" s="122">
        <v>2276.7971810349663</v>
      </c>
      <c r="H10" s="123"/>
      <c r="I10" s="123"/>
      <c r="J10" s="123"/>
      <c r="K10" s="123"/>
      <c r="L10" s="226">
        <v>0</v>
      </c>
      <c r="M10" s="227">
        <f t="shared" si="0"/>
        <v>0</v>
      </c>
      <c r="N10" s="122">
        <v>12</v>
      </c>
      <c r="O10" s="122">
        <v>12</v>
      </c>
      <c r="P10" s="222">
        <v>0</v>
      </c>
      <c r="Q10" s="222">
        <v>0</v>
      </c>
      <c r="R10" s="229" t="e">
        <v>#DIV/0!</v>
      </c>
      <c r="S10" s="123"/>
      <c r="T10" s="123">
        <f t="shared" si="1"/>
        <v>0</v>
      </c>
      <c r="U10" s="224"/>
    </row>
    <row r="11" spans="1:25" s="193" customFormat="1" ht="28" x14ac:dyDescent="0.6">
      <c r="A11" s="121">
        <v>1621000110</v>
      </c>
      <c r="B11" s="121" t="s">
        <v>17</v>
      </c>
      <c r="C11" s="121" t="s">
        <v>283</v>
      </c>
      <c r="D11" s="122">
        <v>746669.35</v>
      </c>
      <c r="E11" s="122">
        <v>733571</v>
      </c>
      <c r="F11" s="125">
        <v>724723.37505000003</v>
      </c>
      <c r="G11" s="122">
        <v>762872.0711733941</v>
      </c>
      <c r="H11" s="123">
        <v>3.1709000000000001</v>
      </c>
      <c r="I11" s="123">
        <v>3</v>
      </c>
      <c r="J11" s="123">
        <f>'שכר מפורט'!G53</f>
        <v>3</v>
      </c>
      <c r="K11" s="123">
        <f>'שכר מפורט'!S53</f>
        <v>2.8333333333333335</v>
      </c>
      <c r="L11" s="235">
        <v>733813.19</v>
      </c>
      <c r="M11" s="227">
        <f t="shared" si="0"/>
        <v>685600</v>
      </c>
      <c r="N11" s="122">
        <v>12</v>
      </c>
      <c r="O11" s="122">
        <v>12</v>
      </c>
      <c r="P11" s="222">
        <v>665600</v>
      </c>
      <c r="Q11" s="222">
        <v>-39123.375050000031</v>
      </c>
      <c r="R11" s="223">
        <v>-5.3983873567346762E-2</v>
      </c>
      <c r="S11" s="123">
        <f>'שכר מפורט'!AF53</f>
        <v>685600</v>
      </c>
      <c r="T11" s="123">
        <f t="shared" si="1"/>
        <v>0</v>
      </c>
      <c r="U11" s="224" t="s">
        <v>2209</v>
      </c>
      <c r="Y11" s="193">
        <v>685600</v>
      </c>
    </row>
    <row r="12" spans="1:25" s="193" customFormat="1" ht="28" x14ac:dyDescent="0.6">
      <c r="A12" s="121">
        <v>1621300110</v>
      </c>
      <c r="B12" s="121" t="s">
        <v>17</v>
      </c>
      <c r="C12" s="121" t="s">
        <v>291</v>
      </c>
      <c r="D12" s="122">
        <v>674809.93</v>
      </c>
      <c r="E12" s="122">
        <v>713691</v>
      </c>
      <c r="F12" s="125">
        <v>532536.34549999994</v>
      </c>
      <c r="G12" s="122">
        <v>410915.30370392313</v>
      </c>
      <c r="H12" s="123">
        <v>4.95</v>
      </c>
      <c r="I12" s="123">
        <v>5.2</v>
      </c>
      <c r="J12" s="123">
        <f>'שכר מפורט'!G61</f>
        <v>5.0999999999999996</v>
      </c>
      <c r="K12" s="123">
        <f>'שכר מפורט'!S61</f>
        <v>4</v>
      </c>
      <c r="L12" s="235">
        <v>713710.91</v>
      </c>
      <c r="M12" s="227">
        <f t="shared" si="0"/>
        <v>563600</v>
      </c>
      <c r="N12" s="122">
        <v>12</v>
      </c>
      <c r="O12" s="122">
        <v>12</v>
      </c>
      <c r="P12" s="222">
        <v>716400</v>
      </c>
      <c r="Q12" s="222">
        <v>31063.654500000062</v>
      </c>
      <c r="R12" s="223">
        <v>5.8331520022045266E-2</v>
      </c>
      <c r="S12" s="123">
        <f>'שכר מפורט'!AF61</f>
        <v>563600</v>
      </c>
      <c r="T12" s="123">
        <f t="shared" si="1"/>
        <v>0</v>
      </c>
      <c r="U12" s="224" t="s">
        <v>2210</v>
      </c>
      <c r="Y12" s="193">
        <v>563600</v>
      </c>
    </row>
    <row r="13" spans="1:25" s="193" customFormat="1" ht="28" x14ac:dyDescent="0.6">
      <c r="A13" s="121">
        <v>1621400110</v>
      </c>
      <c r="B13" s="121" t="s">
        <v>17</v>
      </c>
      <c r="C13" s="121" t="s">
        <v>292</v>
      </c>
      <c r="D13" s="122">
        <v>209300.02</v>
      </c>
      <c r="E13" s="122">
        <v>202665</v>
      </c>
      <c r="F13" s="125">
        <v>205705.72609999997</v>
      </c>
      <c r="G13" s="122">
        <v>144604.83325218922</v>
      </c>
      <c r="H13" s="123">
        <v>1.5</v>
      </c>
      <c r="I13" s="123">
        <v>1.5</v>
      </c>
      <c r="J13" s="123">
        <f>'שכר מפורט'!G65</f>
        <v>1.5</v>
      </c>
      <c r="K13" s="123">
        <f>'שכר מפורט'!S65</f>
        <v>1.5</v>
      </c>
      <c r="L13" s="226">
        <v>203205.15</v>
      </c>
      <c r="M13" s="227">
        <f t="shared" si="0"/>
        <v>210400</v>
      </c>
      <c r="N13" s="122">
        <v>12</v>
      </c>
      <c r="O13" s="122">
        <v>12</v>
      </c>
      <c r="P13" s="222">
        <v>214400</v>
      </c>
      <c r="Q13" s="222">
        <v>4694.2739000000292</v>
      </c>
      <c r="R13" s="223">
        <v>2.2820336550660705E-2</v>
      </c>
      <c r="S13" s="123">
        <f>'שכר מפורט'!AF65</f>
        <v>210400</v>
      </c>
      <c r="T13" s="123">
        <f t="shared" si="1"/>
        <v>0</v>
      </c>
      <c r="U13" s="224"/>
      <c r="Y13" s="193">
        <v>210400</v>
      </c>
    </row>
    <row r="14" spans="1:25" s="193" customFormat="1" ht="28" x14ac:dyDescent="0.6">
      <c r="A14" s="121">
        <v>1711000110</v>
      </c>
      <c r="B14" s="121" t="s">
        <v>17</v>
      </c>
      <c r="C14" s="121" t="s">
        <v>301</v>
      </c>
      <c r="D14" s="122">
        <v>316260</v>
      </c>
      <c r="E14" s="122">
        <v>343079</v>
      </c>
      <c r="F14" s="125">
        <v>660010.29539999994</v>
      </c>
      <c r="G14" s="122">
        <v>323122.84242377843</v>
      </c>
      <c r="H14" s="123">
        <v>2.2999999999999998</v>
      </c>
      <c r="I14" s="123">
        <v>2.2999999999999998</v>
      </c>
      <c r="J14" s="123">
        <f>'שכר מפורט'!G73</f>
        <v>3.25</v>
      </c>
      <c r="K14" s="123">
        <f>'שכר מפורט'!S73</f>
        <v>2.791666666666667</v>
      </c>
      <c r="L14" s="235">
        <v>347844.2</v>
      </c>
      <c r="M14" s="227">
        <f t="shared" si="0"/>
        <v>541700</v>
      </c>
      <c r="N14" s="122">
        <v>12</v>
      </c>
      <c r="O14" s="122">
        <v>12</v>
      </c>
      <c r="P14" s="222">
        <v>380500</v>
      </c>
      <c r="Q14" s="222">
        <v>-118310.29539999994</v>
      </c>
      <c r="R14" s="223">
        <v>-0.17925522711474956</v>
      </c>
      <c r="S14" s="123">
        <f>'שכר מפורט'!AF73</f>
        <v>541700</v>
      </c>
      <c r="T14" s="123">
        <f t="shared" si="1"/>
        <v>0</v>
      </c>
      <c r="U14" s="224" t="s">
        <v>2211</v>
      </c>
      <c r="V14" s="193" t="s">
        <v>2103</v>
      </c>
      <c r="Y14" s="193">
        <v>541700</v>
      </c>
    </row>
    <row r="15" spans="1:25" s="193" customFormat="1" ht="28" x14ac:dyDescent="0.6">
      <c r="A15" s="121">
        <v>1712300110</v>
      </c>
      <c r="B15" s="121" t="s">
        <v>17</v>
      </c>
      <c r="C15" s="121" t="s">
        <v>308</v>
      </c>
      <c r="D15" s="122">
        <v>2228368.3199999998</v>
      </c>
      <c r="E15" s="122">
        <v>2272000</v>
      </c>
      <c r="F15" s="125">
        <v>2069946.8613583334</v>
      </c>
      <c r="G15" s="122">
        <v>2217126.2067794106</v>
      </c>
      <c r="H15" s="123">
        <v>15.34</v>
      </c>
      <c r="I15" s="123">
        <v>15.7</v>
      </c>
      <c r="J15" s="123">
        <f>'שכר מפורט'!G89</f>
        <v>14</v>
      </c>
      <c r="K15" s="123">
        <f>'שכר מפורט'!S89</f>
        <v>13.416666666666668</v>
      </c>
      <c r="L15" s="226">
        <v>2204005.4700000002</v>
      </c>
      <c r="M15" s="227">
        <f t="shared" si="0"/>
        <v>2063800</v>
      </c>
      <c r="N15" s="122">
        <v>12</v>
      </c>
      <c r="O15" s="122">
        <v>12</v>
      </c>
      <c r="P15" s="222">
        <v>1969800</v>
      </c>
      <c r="Q15" s="222">
        <v>-6146.861358333379</v>
      </c>
      <c r="R15" s="223">
        <v>-2.9695744722160198E-3</v>
      </c>
      <c r="S15" s="123">
        <f>'שכר מפורט'!AF89</f>
        <v>2063800</v>
      </c>
      <c r="T15" s="123">
        <f t="shared" si="1"/>
        <v>0</v>
      </c>
      <c r="U15" s="224" t="s">
        <v>2212</v>
      </c>
      <c r="V15" s="193" t="s">
        <v>2104</v>
      </c>
      <c r="Y15" s="193">
        <v>2063800</v>
      </c>
    </row>
    <row r="16" spans="1:25" s="193" customFormat="1" ht="28" x14ac:dyDescent="0.6">
      <c r="A16" s="121">
        <v>1713000110</v>
      </c>
      <c r="B16" s="121" t="s">
        <v>17</v>
      </c>
      <c r="C16" s="121" t="s">
        <v>322</v>
      </c>
      <c r="D16" s="122">
        <v>30939.119999999999</v>
      </c>
      <c r="E16" s="122">
        <v>27347</v>
      </c>
      <c r="F16" s="125">
        <v>0</v>
      </c>
      <c r="G16" s="122">
        <v>-2633.4962889771682</v>
      </c>
      <c r="H16" s="123">
        <v>0.34670000000000001</v>
      </c>
      <c r="I16" s="123">
        <v>0</v>
      </c>
      <c r="J16" s="123"/>
      <c r="K16" s="123"/>
      <c r="L16" s="226">
        <v>27347</v>
      </c>
      <c r="M16" s="227">
        <f t="shared" si="0"/>
        <v>0</v>
      </c>
      <c r="N16" s="122">
        <v>12</v>
      </c>
      <c r="O16" s="122">
        <v>12</v>
      </c>
      <c r="P16" s="222">
        <v>0</v>
      </c>
      <c r="Q16" s="222">
        <v>0</v>
      </c>
      <c r="R16" s="229"/>
      <c r="S16" s="123"/>
      <c r="T16" s="123">
        <f t="shared" si="1"/>
        <v>0</v>
      </c>
      <c r="U16" s="224"/>
      <c r="Y16" s="193">
        <v>0</v>
      </c>
    </row>
    <row r="17" spans="1:25" s="193" customFormat="1" ht="28" x14ac:dyDescent="0.6">
      <c r="A17" s="121">
        <v>1714000110</v>
      </c>
      <c r="B17" s="121" t="s">
        <v>17</v>
      </c>
      <c r="C17" s="121" t="s">
        <v>323</v>
      </c>
      <c r="D17" s="122">
        <v>331863.01</v>
      </c>
      <c r="E17" s="122">
        <v>305806.22856000002</v>
      </c>
      <c r="F17" s="125">
        <v>309194.08065000002</v>
      </c>
      <c r="G17" s="122">
        <v>339064.44105331908</v>
      </c>
      <c r="H17" s="123">
        <v>0.5</v>
      </c>
      <c r="I17" s="123">
        <v>0.5</v>
      </c>
      <c r="J17" s="123">
        <f>'שכר מפורט'!G92</f>
        <v>0.5</v>
      </c>
      <c r="K17" s="123">
        <f>'שכר מפורט'!S92</f>
        <v>0.5</v>
      </c>
      <c r="L17" s="226">
        <v>304624.40999999997</v>
      </c>
      <c r="M17" s="227">
        <f t="shared" si="0"/>
        <v>303000</v>
      </c>
      <c r="N17" s="122">
        <v>12</v>
      </c>
      <c r="O17" s="122">
        <v>12</v>
      </c>
      <c r="P17" s="222">
        <v>303000</v>
      </c>
      <c r="Q17" s="222">
        <v>-6194.0806500000181</v>
      </c>
      <c r="R17" s="223">
        <v>-2.0032985874045766E-2</v>
      </c>
      <c r="S17" s="123">
        <f>'שכר מפורט'!AF92</f>
        <v>303000</v>
      </c>
      <c r="T17" s="123">
        <f t="shared" si="1"/>
        <v>0</v>
      </c>
      <c r="U17" s="224"/>
      <c r="V17" s="193" t="s">
        <v>2105</v>
      </c>
      <c r="Y17" s="193">
        <v>303000</v>
      </c>
    </row>
    <row r="18" spans="1:25" s="193" customFormat="1" ht="28" x14ac:dyDescent="0.6">
      <c r="A18" s="121">
        <v>1715000110</v>
      </c>
      <c r="B18" s="121" t="s">
        <v>17</v>
      </c>
      <c r="C18" s="121" t="s">
        <v>327</v>
      </c>
      <c r="D18" s="122">
        <v>130696.36</v>
      </c>
      <c r="E18" s="122">
        <v>156883</v>
      </c>
      <c r="F18" s="125">
        <v>159236.53934999998</v>
      </c>
      <c r="G18" s="122">
        <v>133532.47359584141</v>
      </c>
      <c r="H18" s="123">
        <v>1</v>
      </c>
      <c r="I18" s="123">
        <v>1</v>
      </c>
      <c r="J18" s="123">
        <f>'שכר מפורט'!G95</f>
        <v>1</v>
      </c>
      <c r="K18" s="123">
        <f>'שכר מפורט'!S95</f>
        <v>1</v>
      </c>
      <c r="L18" s="226">
        <v>156940.41</v>
      </c>
      <c r="M18" s="227">
        <f t="shared" si="0"/>
        <v>162400</v>
      </c>
      <c r="N18" s="122">
        <v>12</v>
      </c>
      <c r="O18" s="122">
        <v>12</v>
      </c>
      <c r="P18" s="222">
        <v>162400</v>
      </c>
      <c r="Q18" s="222">
        <v>3163.4606500000227</v>
      </c>
      <c r="R18" s="223">
        <v>1.9866424269914425E-2</v>
      </c>
      <c r="S18" s="123">
        <f>'שכר מפורט'!AF95</f>
        <v>162400</v>
      </c>
      <c r="T18" s="123">
        <f t="shared" si="1"/>
        <v>0</v>
      </c>
      <c r="U18" s="224"/>
      <c r="Y18" s="193">
        <v>162400</v>
      </c>
    </row>
    <row r="19" spans="1:25" s="193" customFormat="1" ht="28" hidden="1" x14ac:dyDescent="0.6">
      <c r="A19" s="121">
        <v>1715100110</v>
      </c>
      <c r="B19" s="121" t="s">
        <v>17</v>
      </c>
      <c r="C19" s="121" t="s">
        <v>328</v>
      </c>
      <c r="D19" s="122" t="s">
        <v>8</v>
      </c>
      <c r="E19" s="122">
        <v>0</v>
      </c>
      <c r="F19" s="125">
        <v>0</v>
      </c>
      <c r="G19" s="122"/>
      <c r="H19" s="123">
        <v>0</v>
      </c>
      <c r="I19" s="123">
        <v>0</v>
      </c>
      <c r="J19" s="123"/>
      <c r="K19" s="123"/>
      <c r="L19" s="226">
        <v>0</v>
      </c>
      <c r="M19" s="227">
        <f t="shared" si="0"/>
        <v>0</v>
      </c>
      <c r="N19" s="122">
        <v>12</v>
      </c>
      <c r="O19" s="122">
        <v>12</v>
      </c>
      <c r="P19" s="222">
        <v>0</v>
      </c>
      <c r="Q19" s="222">
        <v>0</v>
      </c>
      <c r="R19" s="229" t="e">
        <v>#DIV/0!</v>
      </c>
      <c r="S19" s="123"/>
      <c r="T19" s="123">
        <f t="shared" si="1"/>
        <v>0</v>
      </c>
      <c r="U19" s="224"/>
      <c r="Y19" s="193">
        <v>0</v>
      </c>
    </row>
    <row r="20" spans="1:25" s="193" customFormat="1" ht="28" x14ac:dyDescent="0.6">
      <c r="A20" s="121">
        <v>1722000110</v>
      </c>
      <c r="B20" s="121" t="s">
        <v>17</v>
      </c>
      <c r="C20" s="121" t="s">
        <v>329</v>
      </c>
      <c r="D20" s="122" t="s">
        <v>8</v>
      </c>
      <c r="E20" s="122">
        <v>74281.957679999992</v>
      </c>
      <c r="F20" s="125">
        <v>0</v>
      </c>
      <c r="G20" s="122" t="s">
        <v>607</v>
      </c>
      <c r="H20" s="123"/>
      <c r="I20" s="123"/>
      <c r="J20" s="123"/>
      <c r="K20" s="123"/>
      <c r="L20" s="226">
        <v>63164.93</v>
      </c>
      <c r="M20" s="227">
        <f t="shared" si="0"/>
        <v>0</v>
      </c>
      <c r="N20" s="122">
        <v>12</v>
      </c>
      <c r="O20" s="122">
        <v>12</v>
      </c>
      <c r="P20" s="222">
        <v>0</v>
      </c>
      <c r="Q20" s="222">
        <v>0</v>
      </c>
      <c r="R20" s="229" t="e">
        <v>#DIV/0!</v>
      </c>
      <c r="S20" s="123"/>
      <c r="T20" s="123">
        <f t="shared" si="1"/>
        <v>0</v>
      </c>
      <c r="U20" s="224"/>
      <c r="Y20" s="193">
        <v>0</v>
      </c>
    </row>
    <row r="21" spans="1:25" s="193" customFormat="1" ht="28" x14ac:dyDescent="0.6">
      <c r="A21" s="121">
        <v>1723000110</v>
      </c>
      <c r="B21" s="121" t="s">
        <v>17</v>
      </c>
      <c r="C21" s="121" t="s">
        <v>331</v>
      </c>
      <c r="D21" s="122">
        <v>915964</v>
      </c>
      <c r="E21" s="122">
        <v>653000</v>
      </c>
      <c r="F21" s="125">
        <v>485968.99174999999</v>
      </c>
      <c r="G21" s="122">
        <v>696453.65824752033</v>
      </c>
      <c r="H21" s="123">
        <v>4.8</v>
      </c>
      <c r="I21" s="123">
        <v>4</v>
      </c>
      <c r="J21" s="123">
        <f>'שכר מפורט'!G102</f>
        <v>4</v>
      </c>
      <c r="K21" s="123">
        <f>'שכר מפורט'!S102</f>
        <v>3.083333333333333</v>
      </c>
      <c r="L21" s="235">
        <v>656950.11</v>
      </c>
      <c r="M21" s="227">
        <f t="shared" si="0"/>
        <v>497700</v>
      </c>
      <c r="N21" s="122">
        <v>12</v>
      </c>
      <c r="O21" s="122">
        <v>12</v>
      </c>
      <c r="P21" s="222">
        <v>552400</v>
      </c>
      <c r="Q21" s="222">
        <v>11731.008250000014</v>
      </c>
      <c r="R21" s="223">
        <v>2.4139417224453012E-2</v>
      </c>
      <c r="S21" s="123">
        <f>'שכר מפורט'!AF102</f>
        <v>497700</v>
      </c>
      <c r="T21" s="123">
        <f t="shared" si="1"/>
        <v>0</v>
      </c>
      <c r="U21" s="224"/>
      <c r="V21" s="193" t="s">
        <v>2106</v>
      </c>
      <c r="Y21" s="193">
        <v>497700</v>
      </c>
    </row>
    <row r="22" spans="1:25" s="193" customFormat="1" ht="28" x14ac:dyDescent="0.6">
      <c r="A22" s="121">
        <v>1723100110</v>
      </c>
      <c r="B22" s="121" t="s">
        <v>17</v>
      </c>
      <c r="C22" s="121" t="s">
        <v>340</v>
      </c>
      <c r="D22" s="122">
        <v>323367.55</v>
      </c>
      <c r="E22" s="122">
        <v>279015</v>
      </c>
      <c r="F22" s="125">
        <v>343200.73249999998</v>
      </c>
      <c r="G22" s="122">
        <v>330384.62231830863</v>
      </c>
      <c r="H22" s="123">
        <v>1.9</v>
      </c>
      <c r="I22" s="123">
        <v>2.4</v>
      </c>
      <c r="J22" s="123">
        <f>'שכר מפורט'!G107</f>
        <v>1.9</v>
      </c>
      <c r="K22" s="123">
        <f>'שכר מפורט'!S107</f>
        <v>1.9</v>
      </c>
      <c r="L22" s="235">
        <v>279217.76</v>
      </c>
      <c r="M22" s="227">
        <f t="shared" si="0"/>
        <v>324000</v>
      </c>
      <c r="N22" s="122">
        <v>12</v>
      </c>
      <c r="O22" s="122">
        <v>12</v>
      </c>
      <c r="P22" s="222">
        <v>244800</v>
      </c>
      <c r="Q22" s="222">
        <v>-19200.732499999984</v>
      </c>
      <c r="R22" s="223">
        <v>-5.5946070861022955E-2</v>
      </c>
      <c r="S22" s="123">
        <f>'שכר מפורט'!AF107</f>
        <v>324000</v>
      </c>
      <c r="T22" s="123">
        <f t="shared" si="1"/>
        <v>0</v>
      </c>
      <c r="U22" s="224"/>
      <c r="V22" s="193" t="s">
        <v>2107</v>
      </c>
      <c r="Y22" s="193">
        <v>324000</v>
      </c>
    </row>
    <row r="23" spans="1:25" s="193" customFormat="1" ht="28" x14ac:dyDescent="0.6">
      <c r="A23" s="121">
        <v>1726000110</v>
      </c>
      <c r="B23" s="121" t="s">
        <v>17</v>
      </c>
      <c r="C23" s="121" t="s">
        <v>342</v>
      </c>
      <c r="D23" s="122">
        <v>458825.22</v>
      </c>
      <c r="E23" s="122">
        <v>464549</v>
      </c>
      <c r="F23" s="125">
        <v>352356.5259666667</v>
      </c>
      <c r="G23" s="122">
        <v>322192.72231773345</v>
      </c>
      <c r="H23" s="123">
        <v>2</v>
      </c>
      <c r="I23" s="123">
        <v>2</v>
      </c>
      <c r="J23" s="123">
        <f>'שכר מפורט'!G110</f>
        <v>1</v>
      </c>
      <c r="K23" s="123">
        <f>'שכר מפורט'!S110</f>
        <v>1</v>
      </c>
      <c r="L23" s="235">
        <v>453628.37</v>
      </c>
      <c r="M23" s="227">
        <f t="shared" si="0"/>
        <v>333000</v>
      </c>
      <c r="N23" s="122">
        <v>12</v>
      </c>
      <c r="O23" s="122">
        <v>12</v>
      </c>
      <c r="P23" s="222">
        <v>333000</v>
      </c>
      <c r="Q23" s="222">
        <v>-19356.525966666697</v>
      </c>
      <c r="R23" s="223">
        <v>-5.4934489757393748E-2</v>
      </c>
      <c r="S23" s="123">
        <f>'שכר מפורט'!AF110</f>
        <v>333000</v>
      </c>
      <c r="T23" s="123">
        <f t="shared" si="1"/>
        <v>0</v>
      </c>
      <c r="U23" s="224"/>
      <c r="V23" s="193" t="s">
        <v>2108</v>
      </c>
      <c r="Y23" s="193">
        <v>333000</v>
      </c>
    </row>
    <row r="24" spans="1:25" s="193" customFormat="1" ht="28" x14ac:dyDescent="0.6">
      <c r="A24" s="121">
        <v>1731000110</v>
      </c>
      <c r="B24" s="121" t="s">
        <v>17</v>
      </c>
      <c r="C24" s="121" t="s">
        <v>349</v>
      </c>
      <c r="D24" s="122">
        <v>1871757.09</v>
      </c>
      <c r="E24" s="122">
        <v>1572000</v>
      </c>
      <c r="F24" s="125">
        <v>1793897.9760079999</v>
      </c>
      <c r="G24" s="122">
        <v>1982374.2159907375</v>
      </c>
      <c r="H24" s="123">
        <v>6.3933999999999989</v>
      </c>
      <c r="I24" s="123">
        <v>6.3933999999999989</v>
      </c>
      <c r="J24" s="123">
        <f>'שכר מפורט'!G123</f>
        <v>9</v>
      </c>
      <c r="K24" s="123">
        <f>'שכר מפורט'!S123</f>
        <v>8.5</v>
      </c>
      <c r="L24" s="235">
        <v>1566420.7</v>
      </c>
      <c r="M24" s="227">
        <f t="shared" si="0"/>
        <v>2010600</v>
      </c>
      <c r="N24" s="122">
        <v>12</v>
      </c>
      <c r="O24" s="122">
        <v>12</v>
      </c>
      <c r="P24" s="222">
        <v>1436600</v>
      </c>
      <c r="Q24" s="222">
        <v>216702.02399200015</v>
      </c>
      <c r="R24" s="223">
        <v>0.12079952532988072</v>
      </c>
      <c r="S24" s="123">
        <f>'שכר מפורט'!AF123</f>
        <v>2010600</v>
      </c>
      <c r="T24" s="123">
        <f t="shared" si="1"/>
        <v>0</v>
      </c>
      <c r="U24" s="224" t="s">
        <v>913</v>
      </c>
      <c r="V24" s="193" t="s">
        <v>2109</v>
      </c>
      <c r="Y24" s="193">
        <v>2010600</v>
      </c>
    </row>
    <row r="25" spans="1:25" s="193" customFormat="1" ht="28" x14ac:dyDescent="0.6">
      <c r="A25" s="121">
        <v>1733000110</v>
      </c>
      <c r="B25" s="121" t="s">
        <v>17</v>
      </c>
      <c r="C25" s="121" t="s">
        <v>356</v>
      </c>
      <c r="D25" s="122">
        <v>853162.76</v>
      </c>
      <c r="E25" s="122">
        <v>1137000</v>
      </c>
      <c r="F25" s="125">
        <v>1143132.4501</v>
      </c>
      <c r="G25" s="122">
        <v>996133.89582193922</v>
      </c>
      <c r="H25" s="123">
        <v>6.2364999999999995</v>
      </c>
      <c r="I25" s="123">
        <v>6.2364999999999995</v>
      </c>
      <c r="J25" s="123">
        <f>'שכר מפורט'!G131</f>
        <v>6</v>
      </c>
      <c r="K25" s="123">
        <f>'שכר מפורט'!S131</f>
        <v>6</v>
      </c>
      <c r="L25" s="226">
        <v>1174651.75</v>
      </c>
      <c r="M25" s="227">
        <f t="shared" si="0"/>
        <v>1124000</v>
      </c>
      <c r="N25" s="122">
        <v>12</v>
      </c>
      <c r="O25" s="122">
        <v>12</v>
      </c>
      <c r="P25" s="222">
        <v>1656600</v>
      </c>
      <c r="Q25" s="222">
        <v>-19132.450100000016</v>
      </c>
      <c r="R25" s="223">
        <v>-1.6736862030577761E-2</v>
      </c>
      <c r="S25" s="123">
        <f>'שכר מפורט'!AF131</f>
        <v>1124000</v>
      </c>
      <c r="T25" s="123">
        <f t="shared" si="1"/>
        <v>0</v>
      </c>
      <c r="U25" s="224" t="s">
        <v>2110</v>
      </c>
      <c r="V25" s="193" t="s">
        <v>2111</v>
      </c>
      <c r="Y25" s="193">
        <v>1124000</v>
      </c>
    </row>
    <row r="26" spans="1:25" s="193" customFormat="1" ht="28" x14ac:dyDescent="0.6">
      <c r="A26" s="121">
        <v>1741000110</v>
      </c>
      <c r="B26" s="121" t="s">
        <v>17</v>
      </c>
      <c r="C26" s="121" t="s">
        <v>360</v>
      </c>
      <c r="D26" s="122">
        <v>392848.39</v>
      </c>
      <c r="E26" s="122">
        <v>693700.62048000004</v>
      </c>
      <c r="F26" s="125">
        <v>546507.68839999998</v>
      </c>
      <c r="G26" s="122">
        <v>282516.197018334</v>
      </c>
      <c r="H26" s="123">
        <v>5.2</v>
      </c>
      <c r="I26" s="123">
        <v>4</v>
      </c>
      <c r="J26" s="123">
        <f>'שכר מפורט'!G137</f>
        <v>4</v>
      </c>
      <c r="K26" s="123">
        <f>'שכר מפורט'!S137</f>
        <v>4</v>
      </c>
      <c r="L26" s="226">
        <v>668508.79</v>
      </c>
      <c r="M26" s="227">
        <f t="shared" si="0"/>
        <v>548800</v>
      </c>
      <c r="N26" s="122">
        <v>12</v>
      </c>
      <c r="O26" s="122">
        <v>12</v>
      </c>
      <c r="P26" s="222">
        <v>536800</v>
      </c>
      <c r="Q26" s="222">
        <v>2292.3116000000155</v>
      </c>
      <c r="R26" s="223">
        <v>4.1944727378148547E-3</v>
      </c>
      <c r="S26" s="123">
        <f>'שכר מפורט'!AF137</f>
        <v>548800</v>
      </c>
      <c r="T26" s="123">
        <f t="shared" si="1"/>
        <v>0</v>
      </c>
      <c r="U26" s="224" t="s">
        <v>915</v>
      </c>
      <c r="V26" s="193">
        <v>0</v>
      </c>
      <c r="Y26" s="193">
        <v>548800</v>
      </c>
    </row>
    <row r="27" spans="1:25" s="193" customFormat="1" ht="28" x14ac:dyDescent="0.6">
      <c r="A27" s="121">
        <v>1743000110</v>
      </c>
      <c r="B27" s="121" t="s">
        <v>17</v>
      </c>
      <c r="C27" s="121" t="s">
        <v>365</v>
      </c>
      <c r="D27" s="122">
        <v>189079.76</v>
      </c>
      <c r="E27" s="122">
        <v>387000</v>
      </c>
      <c r="F27" s="125">
        <v>393815.39189999993</v>
      </c>
      <c r="G27" s="122">
        <v>193182.79094321161</v>
      </c>
      <c r="H27" s="123">
        <v>2</v>
      </c>
      <c r="I27" s="123">
        <v>2</v>
      </c>
      <c r="J27" s="123">
        <f>'שכר מפורט'!G141</f>
        <v>2</v>
      </c>
      <c r="K27" s="123">
        <f>'שכר מפורט'!S141</f>
        <v>2</v>
      </c>
      <c r="L27" s="226">
        <v>387929.35</v>
      </c>
      <c r="M27" s="227">
        <f t="shared" si="0"/>
        <v>390000</v>
      </c>
      <c r="N27" s="122">
        <v>12</v>
      </c>
      <c r="O27" s="122">
        <v>12</v>
      </c>
      <c r="P27" s="222">
        <v>390000</v>
      </c>
      <c r="Q27" s="222">
        <v>-3815.3918999999296</v>
      </c>
      <c r="R27" s="223">
        <v>-9.6882752133993725E-3</v>
      </c>
      <c r="S27" s="123">
        <f>'שכר מפורט'!AF141</f>
        <v>390000</v>
      </c>
      <c r="T27" s="123">
        <f t="shared" si="1"/>
        <v>0</v>
      </c>
      <c r="U27" s="224"/>
      <c r="Y27" s="193">
        <v>390000</v>
      </c>
    </row>
    <row r="28" spans="1:25" s="193" customFormat="1" ht="28" x14ac:dyDescent="0.6">
      <c r="A28" s="121">
        <v>1770000110</v>
      </c>
      <c r="B28" s="121" t="s">
        <v>17</v>
      </c>
      <c r="C28" s="121" t="s">
        <v>388</v>
      </c>
      <c r="D28" s="122">
        <v>1552825.53</v>
      </c>
      <c r="E28" s="122">
        <v>1679000</v>
      </c>
      <c r="F28" s="125">
        <v>1816046.4495999997</v>
      </c>
      <c r="G28" s="122">
        <v>1586521.8472451379</v>
      </c>
      <c r="H28" s="123">
        <v>9.4482999999999997</v>
      </c>
      <c r="I28" s="123">
        <v>9.4482999999999997</v>
      </c>
      <c r="J28" s="123">
        <f>'שכר מפורט'!G153</f>
        <v>10</v>
      </c>
      <c r="K28" s="123">
        <f>'שכר מפורט'!S153</f>
        <v>10</v>
      </c>
      <c r="L28" s="226">
        <v>1672896.63</v>
      </c>
      <c r="M28" s="227">
        <f t="shared" si="0"/>
        <v>1802600</v>
      </c>
      <c r="N28" s="122">
        <v>12</v>
      </c>
      <c r="O28" s="122">
        <v>12</v>
      </c>
      <c r="P28" s="222">
        <v>1782600</v>
      </c>
      <c r="Q28" s="222">
        <v>-13446.449599999702</v>
      </c>
      <c r="R28" s="223">
        <v>-7.4042432135815696E-3</v>
      </c>
      <c r="S28" s="123">
        <f>'שכר מפורט'!AF153</f>
        <v>1802600</v>
      </c>
      <c r="T28" s="123">
        <f t="shared" si="1"/>
        <v>0</v>
      </c>
      <c r="U28" s="224"/>
      <c r="V28" s="193" t="s">
        <v>2112</v>
      </c>
      <c r="Y28" s="193">
        <v>1802600</v>
      </c>
    </row>
    <row r="29" spans="1:25" s="193" customFormat="1" ht="28" x14ac:dyDescent="0.6">
      <c r="A29" s="121">
        <v>1772000110</v>
      </c>
      <c r="B29" s="121" t="s">
        <v>17</v>
      </c>
      <c r="C29" s="121" t="s">
        <v>392</v>
      </c>
      <c r="D29" s="122">
        <v>140089.92000000001</v>
      </c>
      <c r="E29" s="122">
        <v>140000</v>
      </c>
      <c r="F29" s="125">
        <v>0</v>
      </c>
      <c r="G29" s="122">
        <v>143129.87399464351</v>
      </c>
      <c r="H29" s="123">
        <v>1.1200000000000001</v>
      </c>
      <c r="I29" s="123">
        <v>1.1200000000000001</v>
      </c>
      <c r="J29" s="123"/>
      <c r="K29" s="123"/>
      <c r="L29" s="226">
        <v>140000</v>
      </c>
      <c r="M29" s="227">
        <f t="shared" si="0"/>
        <v>0</v>
      </c>
      <c r="N29" s="122">
        <v>12</v>
      </c>
      <c r="O29" s="122">
        <v>12</v>
      </c>
      <c r="P29" s="222">
        <v>0</v>
      </c>
      <c r="Q29" s="222">
        <v>0</v>
      </c>
      <c r="R29" s="223"/>
      <c r="S29" s="123"/>
      <c r="T29" s="123">
        <f t="shared" si="1"/>
        <v>0</v>
      </c>
      <c r="U29" s="224"/>
      <c r="Y29" s="193">
        <v>0</v>
      </c>
    </row>
    <row r="30" spans="1:25" s="193" customFormat="1" ht="28" x14ac:dyDescent="0.6">
      <c r="A30" s="121">
        <v>1772200110</v>
      </c>
      <c r="B30" s="121" t="s">
        <v>17</v>
      </c>
      <c r="C30" s="121" t="s">
        <v>396</v>
      </c>
      <c r="D30" s="122">
        <v>983266.13</v>
      </c>
      <c r="E30" s="122">
        <v>1279000</v>
      </c>
      <c r="F30" s="125">
        <v>1391311.0963999999</v>
      </c>
      <c r="G30" s="122">
        <v>804662.00638611137</v>
      </c>
      <c r="H30" s="123">
        <v>0</v>
      </c>
      <c r="I30" s="123">
        <v>0</v>
      </c>
      <c r="J30" s="123">
        <f>'שכר מפורט'!G162</f>
        <v>7</v>
      </c>
      <c r="K30" s="123">
        <f>'שכר מפורט'!S162</f>
        <v>7</v>
      </c>
      <c r="L30" s="226">
        <v>906000</v>
      </c>
      <c r="M30" s="227">
        <f t="shared" si="0"/>
        <v>1372467.92</v>
      </c>
      <c r="N30" s="122">
        <v>12</v>
      </c>
      <c r="O30" s="122">
        <v>12</v>
      </c>
      <c r="P30" s="222">
        <v>1357000</v>
      </c>
      <c r="Q30" s="222">
        <v>-18843.176399999997</v>
      </c>
      <c r="R30" s="223">
        <v>-1.3543467344403764E-2</v>
      </c>
      <c r="S30" s="123">
        <f>'שכר מפורט'!AF162</f>
        <v>1372467.92</v>
      </c>
      <c r="T30" s="123">
        <f t="shared" si="1"/>
        <v>0</v>
      </c>
      <c r="U30" s="224" t="s">
        <v>916</v>
      </c>
      <c r="V30" s="193" t="s">
        <v>2113</v>
      </c>
      <c r="Y30" s="193">
        <v>1372467.92</v>
      </c>
    </row>
    <row r="31" spans="1:25" s="193" customFormat="1" ht="28" x14ac:dyDescent="0.6">
      <c r="A31" s="121">
        <v>1781000110</v>
      </c>
      <c r="B31" s="121" t="s">
        <v>17</v>
      </c>
      <c r="C31" s="121" t="s">
        <v>397</v>
      </c>
      <c r="D31" s="122">
        <v>834258.16</v>
      </c>
      <c r="E31" s="122">
        <v>839123</v>
      </c>
      <c r="F31" s="125">
        <v>858574.72964999988</v>
      </c>
      <c r="G31" s="122">
        <v>852361.55870652013</v>
      </c>
      <c r="H31" s="123">
        <v>5.2110000000000003</v>
      </c>
      <c r="I31" s="123">
        <v>5.2110000000000003</v>
      </c>
      <c r="J31" s="123">
        <f>'שכר מפורט'!G170</f>
        <v>5.3599999999999994</v>
      </c>
      <c r="K31" s="123">
        <f>'שכר מפורט'!S170</f>
        <v>5.36</v>
      </c>
      <c r="L31" s="226">
        <v>838925.6</v>
      </c>
      <c r="M31" s="227">
        <f t="shared" si="0"/>
        <v>878865.2</v>
      </c>
      <c r="N31" s="122">
        <v>12</v>
      </c>
      <c r="O31" s="122">
        <v>12</v>
      </c>
      <c r="P31" s="222">
        <v>879000</v>
      </c>
      <c r="Q31" s="222">
        <v>20290.470350000076</v>
      </c>
      <c r="R31" s="223">
        <v>2.3632736498396052E-2</v>
      </c>
      <c r="S31" s="123">
        <f>'שכר מפורט'!AF170</f>
        <v>878865.2</v>
      </c>
      <c r="T31" s="123">
        <f t="shared" si="1"/>
        <v>0</v>
      </c>
      <c r="U31" s="224"/>
      <c r="Y31" s="193">
        <v>878865.2</v>
      </c>
    </row>
    <row r="32" spans="1:25" s="193" customFormat="1" ht="28" x14ac:dyDescent="0.6">
      <c r="A32" s="121">
        <v>1811000110</v>
      </c>
      <c r="B32" s="121" t="s">
        <v>21</v>
      </c>
      <c r="C32" s="121" t="s">
        <v>400</v>
      </c>
      <c r="D32" s="122">
        <v>1536583.92</v>
      </c>
      <c r="E32" s="122">
        <v>1352000</v>
      </c>
      <c r="F32" s="125">
        <v>1225261</v>
      </c>
      <c r="G32" s="122">
        <v>1362743.7333310377</v>
      </c>
      <c r="H32" s="123">
        <v>7.6499999999999995</v>
      </c>
      <c r="I32" s="123">
        <v>7.6499999999999995</v>
      </c>
      <c r="J32" s="123">
        <f>'שכר מפורט'!G184</f>
        <v>10.35</v>
      </c>
      <c r="K32" s="123">
        <f>'שכר מפורט'!S184</f>
        <v>7.4375</v>
      </c>
      <c r="L32" s="226">
        <v>1456380</v>
      </c>
      <c r="M32" s="227">
        <f t="shared" si="0"/>
        <v>1500420.7100000002</v>
      </c>
      <c r="N32" s="122">
        <v>12</v>
      </c>
      <c r="O32" s="122">
        <v>12</v>
      </c>
      <c r="P32" s="222">
        <v>1810000</v>
      </c>
      <c r="Q32" s="222">
        <v>275159.7100000002</v>
      </c>
      <c r="R32" s="223">
        <v>0.22457232377428171</v>
      </c>
      <c r="S32" s="123">
        <f>'שכר מפורט'!AF184</f>
        <v>1500420.7100000002</v>
      </c>
      <c r="T32" s="123">
        <f t="shared" si="1"/>
        <v>0</v>
      </c>
      <c r="U32" s="224" t="s">
        <v>917</v>
      </c>
      <c r="V32" s="193" t="s">
        <v>2114</v>
      </c>
      <c r="Y32" s="193">
        <v>1500420.7100000002</v>
      </c>
    </row>
    <row r="33" spans="1:25" s="193" customFormat="1" ht="28" x14ac:dyDescent="0.6">
      <c r="A33" s="121">
        <v>1812100110</v>
      </c>
      <c r="B33" s="121" t="s">
        <v>21</v>
      </c>
      <c r="C33" s="121" t="s">
        <v>415</v>
      </c>
      <c r="D33" s="122">
        <v>183552.59</v>
      </c>
      <c r="E33" s="122">
        <v>175375.68048000004</v>
      </c>
      <c r="F33" s="125">
        <v>119169.43</v>
      </c>
      <c r="G33" s="122">
        <v>187535.67749288466</v>
      </c>
      <c r="H33" s="123">
        <v>1</v>
      </c>
      <c r="I33" s="123">
        <v>1</v>
      </c>
      <c r="J33" s="123"/>
      <c r="K33" s="123"/>
      <c r="L33" s="226">
        <v>171520.99</v>
      </c>
      <c r="M33" s="227">
        <f t="shared" si="0"/>
        <v>59585</v>
      </c>
      <c r="N33" s="122">
        <v>12</v>
      </c>
      <c r="O33" s="122">
        <v>12</v>
      </c>
      <c r="P33" s="222">
        <v>119169.43</v>
      </c>
      <c r="Q33" s="222">
        <v>-59584.714999999997</v>
      </c>
      <c r="R33" s="223">
        <v>-0.5</v>
      </c>
      <c r="S33" s="123">
        <v>59585</v>
      </c>
      <c r="T33" s="123">
        <f t="shared" si="1"/>
        <v>0</v>
      </c>
      <c r="U33" s="224" t="s">
        <v>2115</v>
      </c>
      <c r="V33" s="193" t="s">
        <v>2116</v>
      </c>
      <c r="Y33" s="193">
        <v>59584.714999999997</v>
      </c>
    </row>
    <row r="34" spans="1:25" s="193" customFormat="1" ht="28" x14ac:dyDescent="0.6">
      <c r="A34" s="121">
        <v>1812200110</v>
      </c>
      <c r="B34" s="121" t="s">
        <v>21</v>
      </c>
      <c r="C34" s="121" t="s">
        <v>416</v>
      </c>
      <c r="D34" s="122">
        <v>9275108.3499999996</v>
      </c>
      <c r="E34" s="122">
        <v>8653000</v>
      </c>
      <c r="F34" s="125">
        <v>8656133.40006667</v>
      </c>
      <c r="G34" s="122">
        <v>7041456.8306317618</v>
      </c>
      <c r="H34" s="123">
        <v>51.52999999999998</v>
      </c>
      <c r="I34" s="123">
        <v>50.985999999999983</v>
      </c>
      <c r="J34" s="123">
        <f>'שכר מפורט'!G243</f>
        <v>45.845999999999989</v>
      </c>
      <c r="K34" s="123">
        <f>'שכר מפורט'!S243</f>
        <v>44.762666666666654</v>
      </c>
      <c r="L34" s="226">
        <v>6873761.5700000003</v>
      </c>
      <c r="M34" s="227">
        <f t="shared" si="0"/>
        <v>6455267.3200000022</v>
      </c>
      <c r="N34" s="122">
        <v>12</v>
      </c>
      <c r="O34" s="122">
        <v>12</v>
      </c>
      <c r="P34" s="222">
        <v>6675432</v>
      </c>
      <c r="Q34" s="222">
        <v>-2200866.0800666679</v>
      </c>
      <c r="R34" s="223">
        <v>-0.25425510194305884</v>
      </c>
      <c r="S34" s="123">
        <f>'שכר מפורט'!AF243</f>
        <v>6455267.3200000022</v>
      </c>
      <c r="T34" s="123">
        <f t="shared" si="1"/>
        <v>0</v>
      </c>
      <c r="U34" s="224" t="s">
        <v>2213</v>
      </c>
      <c r="V34" s="225"/>
      <c r="W34" s="225"/>
      <c r="Y34" s="193">
        <v>6455267.3200000022</v>
      </c>
    </row>
    <row r="35" spans="1:25" s="193" customFormat="1" ht="28" x14ac:dyDescent="0.6">
      <c r="A35" s="121">
        <v>1812300110</v>
      </c>
      <c r="B35" s="121" t="s">
        <v>21</v>
      </c>
      <c r="C35" s="121" t="s">
        <v>424</v>
      </c>
      <c r="D35" s="122"/>
      <c r="E35" s="122"/>
      <c r="F35" s="125"/>
      <c r="G35" s="122">
        <v>1641060.3663739522</v>
      </c>
      <c r="H35" s="123">
        <v>14.951999999999996</v>
      </c>
      <c r="I35" s="123">
        <v>14.951999999999996</v>
      </c>
      <c r="J35" s="123">
        <f>'שכר מפורט'!G273</f>
        <v>19.350000000000001</v>
      </c>
      <c r="K35" s="123">
        <f>'שכר מפורט'!S273</f>
        <v>17.399999999999999</v>
      </c>
      <c r="L35" s="226">
        <v>2379097.56</v>
      </c>
      <c r="M35" s="227">
        <f t="shared" si="0"/>
        <v>2556261.2600000002</v>
      </c>
      <c r="N35" s="122">
        <v>12</v>
      </c>
      <c r="O35" s="122">
        <v>12</v>
      </c>
      <c r="P35" s="222">
        <v>2959238</v>
      </c>
      <c r="Q35" s="222">
        <v>2556261.2600000002</v>
      </c>
      <c r="R35" s="223" t="e">
        <v>#DIV/0!</v>
      </c>
      <c r="S35" s="123">
        <f>'שכר מפורט'!AF273</f>
        <v>2556261.2600000002</v>
      </c>
      <c r="T35" s="123">
        <f t="shared" si="1"/>
        <v>0</v>
      </c>
      <c r="U35" s="224" t="s">
        <v>949</v>
      </c>
      <c r="V35" s="225"/>
      <c r="W35" s="225"/>
      <c r="Y35" s="193">
        <v>2556261.2600000002</v>
      </c>
    </row>
    <row r="36" spans="1:25" s="193" customFormat="1" ht="28" hidden="1" x14ac:dyDescent="0.6">
      <c r="A36" s="121">
        <v>1812310110</v>
      </c>
      <c r="B36" s="121" t="s">
        <v>21</v>
      </c>
      <c r="C36" s="121" t="s">
        <v>426</v>
      </c>
      <c r="D36" s="122"/>
      <c r="E36" s="122">
        <v>0</v>
      </c>
      <c r="F36" s="125">
        <v>0</v>
      </c>
      <c r="G36" s="122">
        <v>13685.719326583607</v>
      </c>
      <c r="H36" s="123">
        <v>0</v>
      </c>
      <c r="I36" s="123">
        <v>0</v>
      </c>
      <c r="J36" s="123"/>
      <c r="K36" s="123"/>
      <c r="L36" s="226">
        <v>0</v>
      </c>
      <c r="M36" s="227">
        <f t="shared" si="0"/>
        <v>0</v>
      </c>
      <c r="N36" s="122">
        <v>12</v>
      </c>
      <c r="O36" s="122">
        <v>12</v>
      </c>
      <c r="P36" s="222">
        <v>0</v>
      </c>
      <c r="Q36" s="222">
        <v>0</v>
      </c>
      <c r="R36" s="229" t="e">
        <v>#DIV/0!</v>
      </c>
      <c r="S36" s="123"/>
      <c r="T36" s="123">
        <f t="shared" si="1"/>
        <v>0</v>
      </c>
      <c r="U36" s="224"/>
      <c r="Y36" s="193">
        <v>0</v>
      </c>
    </row>
    <row r="37" spans="1:25" s="193" customFormat="1" ht="28" x14ac:dyDescent="0.6">
      <c r="A37" s="121">
        <v>1812400110</v>
      </c>
      <c r="B37" s="121" t="s">
        <v>21</v>
      </c>
      <c r="C37" s="121" t="s">
        <v>427</v>
      </c>
      <c r="D37" s="122">
        <v>314398.69</v>
      </c>
      <c r="E37" s="122">
        <v>313000</v>
      </c>
      <c r="F37" s="125">
        <v>317883.84074999997</v>
      </c>
      <c r="G37" s="122">
        <v>318352.21262926335</v>
      </c>
      <c r="H37" s="123">
        <v>2.9</v>
      </c>
      <c r="I37" s="123">
        <v>2.9</v>
      </c>
      <c r="J37" s="123">
        <f>'שכר מפורט'!G278</f>
        <v>2.9</v>
      </c>
      <c r="K37" s="123">
        <f>'שכר מפורט'!S278</f>
        <v>2.9</v>
      </c>
      <c r="L37" s="226">
        <v>314671.15999999997</v>
      </c>
      <c r="M37" s="227">
        <f t="shared" si="0"/>
        <v>322563</v>
      </c>
      <c r="N37" s="122">
        <v>12</v>
      </c>
      <c r="O37" s="122">
        <v>12</v>
      </c>
      <c r="P37" s="222">
        <v>322563</v>
      </c>
      <c r="Q37" s="222">
        <v>4679.1592500000261</v>
      </c>
      <c r="R37" s="223">
        <v>1.4719714091034765E-2</v>
      </c>
      <c r="S37" s="123">
        <f>'שכר מפורט'!AF278</f>
        <v>322563</v>
      </c>
      <c r="T37" s="123">
        <f t="shared" si="1"/>
        <v>0</v>
      </c>
      <c r="U37" s="224"/>
      <c r="Y37" s="193">
        <v>322563</v>
      </c>
    </row>
    <row r="38" spans="1:25" s="193" customFormat="1" ht="28" x14ac:dyDescent="0.6">
      <c r="A38" s="121">
        <v>1813200110</v>
      </c>
      <c r="B38" s="121" t="s">
        <v>21</v>
      </c>
      <c r="C38" s="121" t="s">
        <v>430</v>
      </c>
      <c r="D38" s="122">
        <v>2320.0500000000002</v>
      </c>
      <c r="E38" s="122">
        <v>0</v>
      </c>
      <c r="F38" s="125">
        <v>0</v>
      </c>
      <c r="G38" s="122">
        <v>2370.3920371075792</v>
      </c>
      <c r="H38" s="123">
        <v>0</v>
      </c>
      <c r="I38" s="123">
        <v>0</v>
      </c>
      <c r="J38" s="123">
        <v>0</v>
      </c>
      <c r="K38" s="123">
        <v>0</v>
      </c>
      <c r="L38" s="226">
        <v>4078.84</v>
      </c>
      <c r="M38" s="227">
        <f t="shared" si="0"/>
        <v>0</v>
      </c>
      <c r="N38" s="122">
        <v>12</v>
      </c>
      <c r="O38" s="122">
        <v>12</v>
      </c>
      <c r="P38" s="222">
        <v>64000</v>
      </c>
      <c r="Q38" s="222">
        <v>0</v>
      </c>
      <c r="R38" s="223" t="e">
        <v>#DIV/0!</v>
      </c>
      <c r="S38" s="123">
        <v>0</v>
      </c>
      <c r="T38" s="123">
        <f t="shared" si="1"/>
        <v>0</v>
      </c>
      <c r="U38" s="224"/>
      <c r="Y38" s="193">
        <v>0</v>
      </c>
    </row>
    <row r="39" spans="1:25" s="193" customFormat="1" ht="28" x14ac:dyDescent="0.6">
      <c r="A39" s="121">
        <v>1813210110</v>
      </c>
      <c r="B39" s="121" t="s">
        <v>21</v>
      </c>
      <c r="C39" s="121" t="s">
        <v>434</v>
      </c>
      <c r="D39" s="122">
        <v>714582.5</v>
      </c>
      <c r="E39" s="122">
        <v>811000</v>
      </c>
      <c r="F39" s="125">
        <v>768990.23774999985</v>
      </c>
      <c r="G39" s="122">
        <v>687441.29274083441</v>
      </c>
      <c r="H39" s="123">
        <v>6.3819999999999988</v>
      </c>
      <c r="I39" s="123">
        <v>6.3819999999999988</v>
      </c>
      <c r="J39" s="123">
        <f>'שכר מפורט'!G292</f>
        <v>6.42</v>
      </c>
      <c r="K39" s="123">
        <f>'שכר מפורט'!S292</f>
        <v>5.503333333333333</v>
      </c>
      <c r="L39" s="226">
        <v>818081.47</v>
      </c>
      <c r="M39" s="227">
        <f t="shared" si="0"/>
        <v>683310.38000000012</v>
      </c>
      <c r="N39" s="122">
        <v>12</v>
      </c>
      <c r="O39" s="122">
        <v>12</v>
      </c>
      <c r="P39" s="222">
        <v>799000</v>
      </c>
      <c r="Q39" s="222">
        <v>-85679.857749999734</v>
      </c>
      <c r="R39" s="223">
        <v>-0.11141865467719295</v>
      </c>
      <c r="S39" s="123">
        <f>'שכר מפורט'!AF292</f>
        <v>683310.38000000012</v>
      </c>
      <c r="T39" s="123">
        <f t="shared" si="1"/>
        <v>0</v>
      </c>
      <c r="U39" s="224"/>
      <c r="V39" s="193" t="s">
        <v>2117</v>
      </c>
      <c r="Y39" s="193">
        <v>683310.38000000012</v>
      </c>
    </row>
    <row r="40" spans="1:25" s="193" customFormat="1" ht="28" x14ac:dyDescent="0.6">
      <c r="A40" s="121">
        <v>1813220110</v>
      </c>
      <c r="B40" s="121" t="s">
        <v>21</v>
      </c>
      <c r="C40" s="121" t="s">
        <v>438</v>
      </c>
      <c r="D40" s="122">
        <v>853375.05</v>
      </c>
      <c r="E40" s="122">
        <v>1154000</v>
      </c>
      <c r="F40" s="125">
        <v>1093760.0008999996</v>
      </c>
      <c r="G40" s="122">
        <v>533877.57958838262</v>
      </c>
      <c r="H40" s="123">
        <v>9.1740000000000013</v>
      </c>
      <c r="I40" s="123">
        <v>9.1740000000000013</v>
      </c>
      <c r="J40" s="123">
        <f>'שכר מפורט'!G310</f>
        <v>10.06</v>
      </c>
      <c r="K40" s="123">
        <f>'שכר מפורט'!S310</f>
        <v>10.06</v>
      </c>
      <c r="L40" s="226">
        <v>1159138.8700000001</v>
      </c>
      <c r="M40" s="227">
        <f t="shared" si="0"/>
        <v>1161754.0399999998</v>
      </c>
      <c r="N40" s="122">
        <v>12</v>
      </c>
      <c r="O40" s="122">
        <v>12</v>
      </c>
      <c r="P40" s="222">
        <v>1107000</v>
      </c>
      <c r="Q40" s="222">
        <v>67994.039100000169</v>
      </c>
      <c r="R40" s="223">
        <v>6.2165410185096658E-2</v>
      </c>
      <c r="S40" s="123">
        <f>'שכר מפורט'!AF310</f>
        <v>1161754.0399999998</v>
      </c>
      <c r="T40" s="123">
        <f t="shared" si="1"/>
        <v>0</v>
      </c>
      <c r="U40" s="224"/>
      <c r="Y40" s="193">
        <v>1161754.0399999998</v>
      </c>
    </row>
    <row r="41" spans="1:25" s="193" customFormat="1" ht="28" x14ac:dyDescent="0.6">
      <c r="A41" s="121">
        <v>1813230110</v>
      </c>
      <c r="B41" s="121" t="s">
        <v>21</v>
      </c>
      <c r="C41" s="121" t="s">
        <v>441</v>
      </c>
      <c r="D41" s="122">
        <v>535522.37</v>
      </c>
      <c r="E41" s="122">
        <v>662000</v>
      </c>
      <c r="F41" s="125">
        <v>672345.28724999982</v>
      </c>
      <c r="G41" s="122">
        <v>295449.11412800587</v>
      </c>
      <c r="H41" s="123">
        <v>5.0533999999999999</v>
      </c>
      <c r="I41" s="123">
        <v>5.0533999999999999</v>
      </c>
      <c r="J41" s="123">
        <f>'שכר מפורט'!G322</f>
        <v>4.907</v>
      </c>
      <c r="K41" s="123">
        <f>'שכר מפורט'!S322</f>
        <v>4.6803333333333335</v>
      </c>
      <c r="L41" s="226">
        <v>649920.37</v>
      </c>
      <c r="M41" s="227">
        <f t="shared" si="0"/>
        <v>674477</v>
      </c>
      <c r="N41" s="122">
        <v>12</v>
      </c>
      <c r="O41" s="122">
        <v>12</v>
      </c>
      <c r="P41" s="222">
        <v>649920</v>
      </c>
      <c r="Q41" s="222">
        <v>2131.7127500001807</v>
      </c>
      <c r="R41" s="223">
        <v>3.1705624928512967E-3</v>
      </c>
      <c r="S41" s="123">
        <f>'שכר מפורט'!AF322</f>
        <v>674477</v>
      </c>
      <c r="T41" s="123">
        <f t="shared" si="1"/>
        <v>0</v>
      </c>
      <c r="U41" s="224" t="s">
        <v>920</v>
      </c>
      <c r="Y41" s="193">
        <v>674477</v>
      </c>
    </row>
    <row r="42" spans="1:25" s="193" customFormat="1" ht="28" x14ac:dyDescent="0.6">
      <c r="A42" s="121">
        <v>1813240110</v>
      </c>
      <c r="B42" s="121" t="s">
        <v>21</v>
      </c>
      <c r="C42" s="121" t="s">
        <v>444</v>
      </c>
      <c r="D42" s="122">
        <v>958898.79</v>
      </c>
      <c r="E42" s="122">
        <v>1053000</v>
      </c>
      <c r="F42" s="125">
        <v>1011297.7875000001</v>
      </c>
      <c r="G42" s="122">
        <v>844751.73057467258</v>
      </c>
      <c r="H42" s="123">
        <v>9.141</v>
      </c>
      <c r="I42" s="123">
        <v>9.141</v>
      </c>
      <c r="J42" s="123">
        <f>'שכר מפורט'!G337</f>
        <v>8.34</v>
      </c>
      <c r="K42" s="123">
        <f>'שכר מפורט'!S337</f>
        <v>7.0266666666666664</v>
      </c>
      <c r="L42" s="226">
        <v>1056635.02</v>
      </c>
      <c r="M42" s="227">
        <f t="shared" si="0"/>
        <v>886102.76</v>
      </c>
      <c r="N42" s="122">
        <v>12</v>
      </c>
      <c r="O42" s="122">
        <v>12</v>
      </c>
      <c r="P42" s="222">
        <v>1056635</v>
      </c>
      <c r="Q42" s="222">
        <v>-125195.02750000008</v>
      </c>
      <c r="R42" s="223">
        <v>-0.12379640205630339</v>
      </c>
      <c r="S42" s="123">
        <f>'שכר מפורט'!AF337</f>
        <v>886102.76</v>
      </c>
      <c r="T42" s="123">
        <f t="shared" si="1"/>
        <v>0</v>
      </c>
      <c r="U42" s="224" t="s">
        <v>2118</v>
      </c>
      <c r="Y42" s="193">
        <v>886102.76</v>
      </c>
    </row>
    <row r="43" spans="1:25" s="193" customFormat="1" ht="28" x14ac:dyDescent="0.6">
      <c r="A43" s="121">
        <v>1813250110</v>
      </c>
      <c r="B43" s="121" t="s">
        <v>21</v>
      </c>
      <c r="C43" s="121" t="s">
        <v>448</v>
      </c>
      <c r="D43" s="122">
        <v>934376.36</v>
      </c>
      <c r="E43" s="122">
        <v>886000</v>
      </c>
      <c r="F43" s="125">
        <v>799630.93594999984</v>
      </c>
      <c r="G43" s="122">
        <v>640827.08565357642</v>
      </c>
      <c r="H43" s="123">
        <v>6.6835000000000004</v>
      </c>
      <c r="I43" s="123">
        <v>5.9335000000000004</v>
      </c>
      <c r="J43" s="123">
        <f>'שכר מפורט'!G348</f>
        <v>5.7</v>
      </c>
      <c r="K43" s="123">
        <f>'שכר מפורט'!S348</f>
        <v>5.7</v>
      </c>
      <c r="L43" s="226">
        <v>869585.53</v>
      </c>
      <c r="M43" s="227">
        <f t="shared" si="0"/>
        <v>754003.15999999992</v>
      </c>
      <c r="N43" s="122">
        <v>12</v>
      </c>
      <c r="O43" s="122">
        <v>12</v>
      </c>
      <c r="P43" s="222">
        <v>766000</v>
      </c>
      <c r="Q43" s="222">
        <v>-45627.775949999923</v>
      </c>
      <c r="R43" s="230">
        <v>-5.7061043912454361E-2</v>
      </c>
      <c r="S43" s="123">
        <f>'שכר מפורט'!AF348</f>
        <v>754003.15999999992</v>
      </c>
      <c r="T43" s="123">
        <f t="shared" si="1"/>
        <v>0</v>
      </c>
      <c r="U43" s="224"/>
      <c r="Y43" s="193">
        <v>754003.15999999992</v>
      </c>
    </row>
    <row r="44" spans="1:25" s="193" customFormat="1" ht="28" x14ac:dyDescent="0.6">
      <c r="A44" s="121">
        <v>1813260110</v>
      </c>
      <c r="B44" s="121" t="s">
        <v>21</v>
      </c>
      <c r="C44" s="314" t="s">
        <v>452</v>
      </c>
      <c r="D44" s="122">
        <v>435075.15</v>
      </c>
      <c r="E44" s="122">
        <v>397000</v>
      </c>
      <c r="F44" s="125">
        <v>338931.87544999993</v>
      </c>
      <c r="G44" s="122">
        <v>378051.38281402248</v>
      </c>
      <c r="H44" s="123">
        <v>3.16</v>
      </c>
      <c r="I44" s="123">
        <v>3.16</v>
      </c>
      <c r="J44" s="123">
        <f>'שכר מפורט'!G354</f>
        <v>2.7</v>
      </c>
      <c r="K44" s="123">
        <f>'שכר מפורט'!S354</f>
        <v>2.3666666666666667</v>
      </c>
      <c r="L44" s="226">
        <v>395526.31</v>
      </c>
      <c r="M44" s="227">
        <f t="shared" si="0"/>
        <v>328745.08</v>
      </c>
      <c r="N44" s="122">
        <v>12</v>
      </c>
      <c r="O44" s="122">
        <v>12</v>
      </c>
      <c r="P44" s="222">
        <v>308000</v>
      </c>
      <c r="Q44" s="222">
        <v>-31265.475449999911</v>
      </c>
      <c r="R44" s="223">
        <v>-9.2247078881231612E-2</v>
      </c>
      <c r="S44" s="123">
        <f>'שכר מפורט'!AF354</f>
        <v>328745.08</v>
      </c>
      <c r="T44" s="123">
        <f t="shared" si="1"/>
        <v>0</v>
      </c>
      <c r="U44" s="224"/>
      <c r="Y44" s="193">
        <v>307666.40000000002</v>
      </c>
    </row>
    <row r="45" spans="1:25" s="193" customFormat="1" ht="28" x14ac:dyDescent="0.6">
      <c r="A45" s="121">
        <v>1813270110</v>
      </c>
      <c r="B45" s="121" t="s">
        <v>21</v>
      </c>
      <c r="C45" s="121" t="s">
        <v>457</v>
      </c>
      <c r="D45" s="122">
        <v>875770.48</v>
      </c>
      <c r="E45" s="122">
        <v>957000</v>
      </c>
      <c r="F45" s="125">
        <v>886507.23717500002</v>
      </c>
      <c r="G45" s="122">
        <v>145178.55971604702</v>
      </c>
      <c r="H45" s="123">
        <v>7.3800000000000008</v>
      </c>
      <c r="I45" s="123">
        <v>7.3800000000000008</v>
      </c>
      <c r="J45" s="123">
        <f>'שכר מפורט'!G365</f>
        <v>6.8000000000000007</v>
      </c>
      <c r="K45" s="123">
        <f>'שכר מפורט'!S365</f>
        <v>6.5500000000000007</v>
      </c>
      <c r="L45" s="226">
        <v>957456.49</v>
      </c>
      <c r="M45" s="227">
        <f t="shared" si="0"/>
        <v>880945.89999999991</v>
      </c>
      <c r="N45" s="122">
        <v>12</v>
      </c>
      <c r="O45" s="122">
        <v>12</v>
      </c>
      <c r="P45" s="222">
        <v>909000</v>
      </c>
      <c r="Q45" s="222">
        <v>-5561.3371750001097</v>
      </c>
      <c r="R45" s="223">
        <v>-6.273312773759432E-3</v>
      </c>
      <c r="S45" s="123">
        <f>'שכר מפורט'!AF365</f>
        <v>880945.89999999991</v>
      </c>
      <c r="T45" s="123">
        <f t="shared" si="1"/>
        <v>0</v>
      </c>
      <c r="U45" s="224" t="s">
        <v>2119</v>
      </c>
      <c r="Y45" s="193">
        <v>880945.89999999991</v>
      </c>
    </row>
    <row r="46" spans="1:25" s="193" customFormat="1" ht="28" x14ac:dyDescent="0.6">
      <c r="A46" s="121">
        <v>1813280110</v>
      </c>
      <c r="B46" s="121" t="s">
        <v>21</v>
      </c>
      <c r="C46" s="121" t="s">
        <v>461</v>
      </c>
      <c r="D46" s="122">
        <v>1011187.22</v>
      </c>
      <c r="E46" s="122">
        <v>1181000</v>
      </c>
      <c r="F46" s="125">
        <v>1199523.2445</v>
      </c>
      <c r="G46" s="122">
        <v>911092.5865079778</v>
      </c>
      <c r="H46" s="123">
        <v>9.3544999999999998</v>
      </c>
      <c r="I46" s="123">
        <v>9.3544999999999998</v>
      </c>
      <c r="J46" s="123">
        <f>'שכר מפורט'!S380</f>
        <v>9.2199999999999989</v>
      </c>
      <c r="K46" s="123">
        <f>'שכר מפורט'!S380</f>
        <v>9.2199999999999989</v>
      </c>
      <c r="L46" s="226">
        <v>1194230.68</v>
      </c>
      <c r="M46" s="227">
        <f t="shared" si="0"/>
        <v>1205332.8</v>
      </c>
      <c r="N46" s="122">
        <v>12</v>
      </c>
      <c r="O46" s="122">
        <v>12</v>
      </c>
      <c r="P46" s="222">
        <v>1205000</v>
      </c>
      <c r="Q46" s="222">
        <v>5809.5555000000168</v>
      </c>
      <c r="R46" s="223">
        <v>4.8432204433200687E-3</v>
      </c>
      <c r="S46" s="123">
        <f>'שכר מפורט'!AF380</f>
        <v>1205332.8</v>
      </c>
      <c r="T46" s="123">
        <f t="shared" si="1"/>
        <v>0</v>
      </c>
      <c r="U46" s="224"/>
      <c r="Y46" s="193">
        <v>1205332.8</v>
      </c>
    </row>
    <row r="47" spans="1:25" s="193" customFormat="1" ht="28" x14ac:dyDescent="0.6">
      <c r="A47" s="121">
        <v>1813300110</v>
      </c>
      <c r="B47" s="121" t="s">
        <v>21</v>
      </c>
      <c r="C47" s="121" t="s">
        <v>465</v>
      </c>
      <c r="D47" s="122">
        <v>3197516.02</v>
      </c>
      <c r="E47" s="122">
        <v>3676000</v>
      </c>
      <c r="F47" s="125">
        <v>3381435.2664166666</v>
      </c>
      <c r="G47" s="122">
        <v>3223321.0808768976</v>
      </c>
      <c r="H47" s="123">
        <v>26.585000000000001</v>
      </c>
      <c r="I47" s="123">
        <v>26.785</v>
      </c>
      <c r="J47" s="123">
        <f>'שכר מפורט'!G412</f>
        <v>22.259999999999998</v>
      </c>
      <c r="K47" s="123">
        <f>'שכר מפורט'!S412</f>
        <v>21.585000000000001</v>
      </c>
      <c r="L47" s="226">
        <v>3712805.2</v>
      </c>
      <c r="M47" s="227">
        <f t="shared" si="0"/>
        <v>3159267.2000000007</v>
      </c>
      <c r="N47" s="122">
        <v>12</v>
      </c>
      <c r="O47" s="122">
        <v>12</v>
      </c>
      <c r="P47" s="222">
        <v>3309000</v>
      </c>
      <c r="Q47" s="222">
        <v>-222168.06641666591</v>
      </c>
      <c r="R47" s="223">
        <v>-6.5702297667256299E-2</v>
      </c>
      <c r="S47" s="123">
        <f>'שכר מפורט'!AF412</f>
        <v>3159267.2000000007</v>
      </c>
      <c r="T47" s="123">
        <f t="shared" si="1"/>
        <v>0</v>
      </c>
      <c r="U47" s="224" t="s">
        <v>2214</v>
      </c>
      <c r="V47" s="193" t="s">
        <v>2120</v>
      </c>
      <c r="Y47" s="193">
        <v>3159267.2000000007</v>
      </c>
    </row>
    <row r="48" spans="1:25" s="193" customFormat="1" ht="28" x14ac:dyDescent="0.6">
      <c r="A48" s="121">
        <v>1813600110</v>
      </c>
      <c r="B48" s="121" t="s">
        <v>21</v>
      </c>
      <c r="C48" s="121" t="s">
        <v>469</v>
      </c>
      <c r="D48" s="122">
        <v>333497.51</v>
      </c>
      <c r="E48" s="122">
        <v>390605</v>
      </c>
      <c r="F48" s="125">
        <v>391252.75034999999</v>
      </c>
      <c r="G48" s="122">
        <v>329547.81218701613</v>
      </c>
      <c r="H48" s="123">
        <v>3.6940999999999997</v>
      </c>
      <c r="I48" s="123">
        <v>3.6940999999999997</v>
      </c>
      <c r="J48" s="123">
        <f>'שכר מפורט'!G419</f>
        <v>3.71</v>
      </c>
      <c r="K48" s="123">
        <f>'שכר מפורט'!S419</f>
        <v>3.71</v>
      </c>
      <c r="L48" s="226">
        <v>387174.07</v>
      </c>
      <c r="M48" s="227">
        <f t="shared" si="0"/>
        <v>394880.72</v>
      </c>
      <c r="N48" s="122">
        <v>12</v>
      </c>
      <c r="O48" s="122">
        <v>12</v>
      </c>
      <c r="P48" s="222">
        <v>407000</v>
      </c>
      <c r="Q48" s="222">
        <v>3627.9696499999845</v>
      </c>
      <c r="R48" s="223">
        <v>9.2727006947671015E-3</v>
      </c>
      <c r="S48" s="123">
        <f>'שכר מפורט'!AF419</f>
        <v>394880.72</v>
      </c>
      <c r="T48" s="123">
        <f t="shared" si="1"/>
        <v>0</v>
      </c>
      <c r="U48" s="224"/>
      <c r="Y48" s="193">
        <v>394880.72</v>
      </c>
    </row>
    <row r="49" spans="1:25" s="193" customFormat="1" ht="28" x14ac:dyDescent="0.6">
      <c r="A49" s="121">
        <v>1813700110</v>
      </c>
      <c r="B49" s="121" t="s">
        <v>21</v>
      </c>
      <c r="C49" s="121" t="s">
        <v>474</v>
      </c>
      <c r="D49" s="122">
        <v>211074.88</v>
      </c>
      <c r="E49" s="122">
        <v>252000</v>
      </c>
      <c r="F49" s="125">
        <v>192792.27695</v>
      </c>
      <c r="G49" s="122">
        <v>215655.20369792232</v>
      </c>
      <c r="H49" s="123">
        <v>2.0803000000000003</v>
      </c>
      <c r="I49" s="123">
        <v>2.0803000000000003</v>
      </c>
      <c r="J49" s="123">
        <f>'שכר מפורט'!G424</f>
        <v>2</v>
      </c>
      <c r="K49" s="123">
        <f>'שכר מפורט'!S424</f>
        <v>2</v>
      </c>
      <c r="L49" s="226">
        <v>254496.99</v>
      </c>
      <c r="M49" s="227">
        <f t="shared" si="0"/>
        <v>232982</v>
      </c>
      <c r="N49" s="122">
        <v>12</v>
      </c>
      <c r="O49" s="122">
        <v>12</v>
      </c>
      <c r="P49" s="222">
        <v>233000</v>
      </c>
      <c r="Q49" s="222">
        <v>40189.723050000001</v>
      </c>
      <c r="R49" s="223">
        <v>0.20846127078224749</v>
      </c>
      <c r="S49" s="123">
        <f>'שכר מפורט'!AF424</f>
        <v>232982</v>
      </c>
      <c r="T49" s="123">
        <f t="shared" si="1"/>
        <v>0</v>
      </c>
      <c r="U49" s="224" t="s">
        <v>2121</v>
      </c>
      <c r="Y49" s="193">
        <v>232982</v>
      </c>
    </row>
    <row r="50" spans="1:25" s="193" customFormat="1" ht="28" x14ac:dyDescent="0.6">
      <c r="A50" s="121">
        <v>1813810110</v>
      </c>
      <c r="B50" s="121" t="s">
        <v>21</v>
      </c>
      <c r="C50" s="121" t="s">
        <v>477</v>
      </c>
      <c r="D50" s="122">
        <v>330158.88</v>
      </c>
      <c r="E50" s="122">
        <v>394294</v>
      </c>
      <c r="F50" s="125">
        <v>397527.55139999994</v>
      </c>
      <c r="G50" s="122">
        <v>48768.680023510577</v>
      </c>
      <c r="H50" s="123">
        <v>0</v>
      </c>
      <c r="I50" s="123">
        <v>0</v>
      </c>
      <c r="J50" s="123"/>
      <c r="K50" s="123"/>
      <c r="L50" s="226">
        <v>333006.74</v>
      </c>
      <c r="M50" s="227">
        <f t="shared" si="0"/>
        <v>170000</v>
      </c>
      <c r="N50" s="122">
        <v>12</v>
      </c>
      <c r="O50" s="122">
        <v>12</v>
      </c>
      <c r="P50" s="222">
        <v>340000</v>
      </c>
      <c r="Q50" s="222">
        <v>-227527.55139999994</v>
      </c>
      <c r="R50" s="223">
        <v>-0.57235668470952672</v>
      </c>
      <c r="S50" s="123">
        <v>170000</v>
      </c>
      <c r="T50" s="123">
        <f t="shared" si="1"/>
        <v>0</v>
      </c>
      <c r="U50" s="224" t="s">
        <v>2122</v>
      </c>
      <c r="Y50" s="193">
        <v>170000</v>
      </c>
    </row>
    <row r="51" spans="1:25" s="193" customFormat="1" ht="28" x14ac:dyDescent="0.6">
      <c r="A51" s="121">
        <v>1814100110</v>
      </c>
      <c r="B51" s="121" t="s">
        <v>21</v>
      </c>
      <c r="C51" s="121" t="s">
        <v>481</v>
      </c>
      <c r="D51" s="122">
        <v>219808.41</v>
      </c>
      <c r="E51" s="122">
        <v>10749.957120000003</v>
      </c>
      <c r="F51" s="125">
        <v>0</v>
      </c>
      <c r="G51" s="122">
        <v>114224.76206336777</v>
      </c>
      <c r="H51" s="123">
        <v>0</v>
      </c>
      <c r="I51" s="123">
        <v>0</v>
      </c>
      <c r="J51" s="123"/>
      <c r="K51" s="123"/>
      <c r="L51" s="226">
        <v>10749.957120000003</v>
      </c>
      <c r="M51" s="227">
        <f t="shared" si="0"/>
        <v>0</v>
      </c>
      <c r="N51" s="122">
        <v>12</v>
      </c>
      <c r="O51" s="122">
        <v>12</v>
      </c>
      <c r="P51" s="222">
        <v>0</v>
      </c>
      <c r="Q51" s="222">
        <v>0</v>
      </c>
      <c r="R51" s="223"/>
      <c r="S51" s="123"/>
      <c r="T51" s="123">
        <f t="shared" si="1"/>
        <v>0</v>
      </c>
      <c r="U51" s="224"/>
      <c r="Y51" s="193">
        <v>0</v>
      </c>
    </row>
    <row r="52" spans="1:25" s="193" customFormat="1" ht="28" hidden="1" x14ac:dyDescent="0.6">
      <c r="A52" s="121">
        <v>1814200110</v>
      </c>
      <c r="B52" s="121" t="s">
        <v>21</v>
      </c>
      <c r="C52" s="121" t="s">
        <v>482</v>
      </c>
      <c r="D52" s="122" t="s">
        <v>8</v>
      </c>
      <c r="E52" s="122">
        <v>0</v>
      </c>
      <c r="F52" s="125">
        <v>0</v>
      </c>
      <c r="G52" s="122">
        <v>0</v>
      </c>
      <c r="H52" s="123">
        <v>0</v>
      </c>
      <c r="I52" s="123">
        <v>0</v>
      </c>
      <c r="J52" s="123"/>
      <c r="K52" s="123"/>
      <c r="L52" s="226">
        <v>0</v>
      </c>
      <c r="M52" s="227">
        <f t="shared" si="0"/>
        <v>0</v>
      </c>
      <c r="N52" s="122">
        <v>12</v>
      </c>
      <c r="O52" s="122">
        <v>12</v>
      </c>
      <c r="P52" s="222">
        <v>0</v>
      </c>
      <c r="Q52" s="222">
        <v>0</v>
      </c>
      <c r="R52" s="229" t="e">
        <v>#DIV/0!</v>
      </c>
      <c r="S52" s="123"/>
      <c r="T52" s="123">
        <f t="shared" si="1"/>
        <v>0</v>
      </c>
      <c r="U52" s="224"/>
      <c r="Y52" s="193">
        <v>0</v>
      </c>
    </row>
    <row r="53" spans="1:25" s="193" customFormat="1" ht="28" x14ac:dyDescent="0.6">
      <c r="A53" s="121">
        <v>1815700110</v>
      </c>
      <c r="B53" s="121" t="s">
        <v>21</v>
      </c>
      <c r="C53" s="121" t="s">
        <v>483</v>
      </c>
      <c r="D53" s="122">
        <v>107185.36</v>
      </c>
      <c r="E53" s="122">
        <v>309000</v>
      </c>
      <c r="F53" s="125">
        <v>313744.81284999999</v>
      </c>
      <c r="G53" s="122">
        <v>109511.28551588989</v>
      </c>
      <c r="H53" s="123">
        <v>2.363</v>
      </c>
      <c r="I53" s="123">
        <v>2.363</v>
      </c>
      <c r="J53" s="123">
        <f>'שכר מפורט'!G431</f>
        <v>4.3635999999999999</v>
      </c>
      <c r="K53" s="123">
        <f>'שכר מפורט'!S431</f>
        <v>3.8635999999999999</v>
      </c>
      <c r="L53" s="226">
        <v>328444.58</v>
      </c>
      <c r="M53" s="227">
        <f t="shared" si="0"/>
        <v>592700</v>
      </c>
      <c r="N53" s="122">
        <v>12</v>
      </c>
      <c r="O53" s="122">
        <v>12</v>
      </c>
      <c r="P53" s="222">
        <v>593000</v>
      </c>
      <c r="Q53" s="222">
        <v>278955.18715000001</v>
      </c>
      <c r="R53" s="223">
        <v>0.8891148976010872</v>
      </c>
      <c r="S53" s="123">
        <f>'שכר מפורט'!AF431</f>
        <v>592700</v>
      </c>
      <c r="T53" s="123">
        <f t="shared" si="1"/>
        <v>0</v>
      </c>
      <c r="U53" s="224" t="s">
        <v>2123</v>
      </c>
      <c r="V53" s="193" t="s">
        <v>2124</v>
      </c>
      <c r="Y53" s="193">
        <v>592700</v>
      </c>
    </row>
    <row r="54" spans="1:25" s="193" customFormat="1" ht="28" x14ac:dyDescent="0.6">
      <c r="A54" s="121">
        <v>1815710110</v>
      </c>
      <c r="B54" s="121" t="s">
        <v>21</v>
      </c>
      <c r="C54" s="121" t="s">
        <v>484</v>
      </c>
      <c r="D54" s="122">
        <v>563788.18000000005</v>
      </c>
      <c r="E54" s="122">
        <v>579000</v>
      </c>
      <c r="F54" s="125">
        <v>588015.27084999986</v>
      </c>
      <c r="G54" s="122">
        <v>447524.37893937744</v>
      </c>
      <c r="H54" s="123">
        <v>4</v>
      </c>
      <c r="I54" s="123">
        <v>4</v>
      </c>
      <c r="J54" s="123">
        <f>'שכר מפורט'!G434</f>
        <v>1</v>
      </c>
      <c r="K54" s="123">
        <f>'שכר מפורט'!S434</f>
        <v>1</v>
      </c>
      <c r="L54" s="226">
        <v>556735.5</v>
      </c>
      <c r="M54" s="227">
        <f t="shared" si="0"/>
        <v>158400</v>
      </c>
      <c r="N54" s="122">
        <v>12</v>
      </c>
      <c r="O54" s="122">
        <v>12</v>
      </c>
      <c r="P54" s="222">
        <v>158000</v>
      </c>
      <c r="Q54" s="222">
        <v>-429615.27084999986</v>
      </c>
      <c r="R54" s="223">
        <v>-0.73061924094075581</v>
      </c>
      <c r="S54" s="123">
        <f>'שכר מפורט'!AF434</f>
        <v>158400</v>
      </c>
      <c r="T54" s="123">
        <f t="shared" si="1"/>
        <v>0</v>
      </c>
      <c r="U54" s="224" t="s">
        <v>2123</v>
      </c>
      <c r="Y54" s="193">
        <v>158400</v>
      </c>
    </row>
    <row r="55" spans="1:25" s="193" customFormat="1" ht="28" x14ac:dyDescent="0.6">
      <c r="A55" s="121">
        <v>1815730110</v>
      </c>
      <c r="B55" s="121" t="s">
        <v>21</v>
      </c>
      <c r="C55" s="121" t="s">
        <v>485</v>
      </c>
      <c r="D55" s="122">
        <v>147637.34</v>
      </c>
      <c r="E55" s="122">
        <v>142431.25175999998</v>
      </c>
      <c r="F55" s="125">
        <v>144562.46104999998</v>
      </c>
      <c r="G55" s="122">
        <v>6.7328190780244768E-2</v>
      </c>
      <c r="H55" s="123">
        <v>1</v>
      </c>
      <c r="I55" s="123">
        <v>1</v>
      </c>
      <c r="J55" s="123">
        <f>'שכר מפורט'!G438</f>
        <v>2</v>
      </c>
      <c r="K55" s="123">
        <f>'שכר מפורט'!S438</f>
        <v>1</v>
      </c>
      <c r="L55" s="226">
        <v>142223.04999999999</v>
      </c>
      <c r="M55" s="227">
        <f t="shared" si="0"/>
        <v>135376.88</v>
      </c>
      <c r="N55" s="122">
        <v>12</v>
      </c>
      <c r="O55" s="122">
        <v>12</v>
      </c>
      <c r="P55" s="222">
        <v>143000</v>
      </c>
      <c r="Q55" s="222">
        <v>-9185.5810499999789</v>
      </c>
      <c r="R55" s="223">
        <v>-6.3540569130342575E-2</v>
      </c>
      <c r="S55" s="123">
        <f>'שכר מפורט'!AF438</f>
        <v>135376.88</v>
      </c>
      <c r="T55" s="123">
        <f t="shared" si="1"/>
        <v>0</v>
      </c>
      <c r="U55" s="224"/>
      <c r="Y55" s="193">
        <v>135376.88</v>
      </c>
    </row>
    <row r="56" spans="1:25" s="193" customFormat="1" ht="28" x14ac:dyDescent="0.6">
      <c r="A56" s="121">
        <v>1817100110</v>
      </c>
      <c r="B56" s="121" t="s">
        <v>21</v>
      </c>
      <c r="C56" s="121" t="s">
        <v>486</v>
      </c>
      <c r="D56" s="122">
        <v>162191.85</v>
      </c>
      <c r="E56" s="122">
        <v>190268.35632000002</v>
      </c>
      <c r="F56" s="125">
        <v>193700.79329999999</v>
      </c>
      <c r="G56" s="122">
        <v>165711.41526588789</v>
      </c>
      <c r="H56" s="123">
        <v>1</v>
      </c>
      <c r="I56" s="123">
        <v>1</v>
      </c>
      <c r="J56" s="123">
        <f>'שכר מפורט'!G441</f>
        <v>1</v>
      </c>
      <c r="K56" s="123">
        <f>'שכר מפורט'!S441</f>
        <v>1</v>
      </c>
      <c r="L56" s="226">
        <v>190268.35632000002</v>
      </c>
      <c r="M56" s="227">
        <f t="shared" si="0"/>
        <v>192949.63999999998</v>
      </c>
      <c r="N56" s="122">
        <v>12</v>
      </c>
      <c r="O56" s="122">
        <v>12</v>
      </c>
      <c r="P56" s="222">
        <v>193000</v>
      </c>
      <c r="Q56" s="222">
        <v>-751.1533000000054</v>
      </c>
      <c r="R56" s="223">
        <v>-3.8779051298805673E-3</v>
      </c>
      <c r="S56" s="123">
        <f>'שכר מפורט'!AF441</f>
        <v>192949.63999999998</v>
      </c>
      <c r="T56" s="123">
        <f t="shared" si="1"/>
        <v>0</v>
      </c>
      <c r="U56" s="224"/>
      <c r="Y56" s="193">
        <v>192949.63999999998</v>
      </c>
    </row>
    <row r="57" spans="1:25" s="193" customFormat="1" ht="28" x14ac:dyDescent="0.6">
      <c r="A57" s="121">
        <v>1817200110</v>
      </c>
      <c r="B57" s="121" t="s">
        <v>21</v>
      </c>
      <c r="C57" s="121" t="s">
        <v>487</v>
      </c>
      <c r="D57" s="122">
        <v>262583.71000000002</v>
      </c>
      <c r="E57" s="122">
        <v>317000</v>
      </c>
      <c r="F57" s="125">
        <v>275856.24325</v>
      </c>
      <c r="G57" s="122">
        <v>173084.90802600243</v>
      </c>
      <c r="H57" s="123">
        <v>2.5799999999999996</v>
      </c>
      <c r="I57" s="123">
        <v>2.1799999999999997</v>
      </c>
      <c r="J57" s="123">
        <f>'שכר מפורט'!G446</f>
        <v>2.1800000000000002</v>
      </c>
      <c r="K57" s="123">
        <f>'שכר מפורט'!S446</f>
        <v>2.1800000000000002</v>
      </c>
      <c r="L57" s="226">
        <v>314885.99</v>
      </c>
      <c r="M57" s="227">
        <f t="shared" si="0"/>
        <v>277498.56</v>
      </c>
      <c r="N57" s="122">
        <v>12</v>
      </c>
      <c r="O57" s="122">
        <v>12</v>
      </c>
      <c r="P57" s="222">
        <v>290000</v>
      </c>
      <c r="Q57" s="222">
        <v>1642.3167499999981</v>
      </c>
      <c r="R57" s="223">
        <v>5.9535239465710304E-3</v>
      </c>
      <c r="S57" s="123">
        <f>'שכר מפורט'!AF446</f>
        <v>277498.56</v>
      </c>
      <c r="T57" s="123">
        <f t="shared" si="1"/>
        <v>0</v>
      </c>
      <c r="U57" s="224"/>
      <c r="Y57" s="193">
        <v>277498.56</v>
      </c>
    </row>
    <row r="58" spans="1:25" s="193" customFormat="1" ht="28" x14ac:dyDescent="0.6">
      <c r="A58" s="121">
        <v>1817300110</v>
      </c>
      <c r="B58" s="121" t="s">
        <v>21</v>
      </c>
      <c r="C58" s="121" t="s">
        <v>490</v>
      </c>
      <c r="D58" s="122">
        <v>1183377.05</v>
      </c>
      <c r="E58" s="122">
        <v>1335624.5481599998</v>
      </c>
      <c r="F58" s="125">
        <v>1373584.4170999997</v>
      </c>
      <c r="G58" s="122">
        <v>1209056.3364862339</v>
      </c>
      <c r="H58" s="123">
        <v>7.65</v>
      </c>
      <c r="I58" s="123">
        <v>7.65</v>
      </c>
      <c r="J58" s="123">
        <f>'שכר מפורט'!G460</f>
        <v>8</v>
      </c>
      <c r="K58" s="123">
        <f>'שכר מפורט'!S460</f>
        <v>8</v>
      </c>
      <c r="L58" s="226">
        <v>1350447.68</v>
      </c>
      <c r="M58" s="227">
        <f t="shared" si="0"/>
        <v>1427923.0000000002</v>
      </c>
      <c r="N58" s="122">
        <v>12</v>
      </c>
      <c r="O58" s="122">
        <v>12</v>
      </c>
      <c r="P58" s="222">
        <v>1428000</v>
      </c>
      <c r="Q58" s="222">
        <v>54338.582900000503</v>
      </c>
      <c r="R58" s="223">
        <v>3.9559696676469025E-2</v>
      </c>
      <c r="S58" s="123">
        <f>'שכר מפורט'!AF460</f>
        <v>1427923.0000000002</v>
      </c>
      <c r="T58" s="123">
        <f t="shared" si="1"/>
        <v>0</v>
      </c>
      <c r="U58" s="224"/>
      <c r="Y58" s="193">
        <v>1427923.0000000002</v>
      </c>
    </row>
    <row r="59" spans="1:25" s="193" customFormat="1" ht="28" x14ac:dyDescent="0.6">
      <c r="A59" s="121">
        <v>1817310110</v>
      </c>
      <c r="B59" s="121" t="s">
        <v>21</v>
      </c>
      <c r="C59" s="121" t="s">
        <v>495</v>
      </c>
      <c r="D59" s="122">
        <v>199506.54</v>
      </c>
      <c r="E59" s="122">
        <v>204000</v>
      </c>
      <c r="F59" s="125">
        <v>207330.06104999999</v>
      </c>
      <c r="G59" s="122">
        <v>31450.836266032555</v>
      </c>
      <c r="H59" s="123">
        <v>1.25</v>
      </c>
      <c r="I59" s="123">
        <v>1.25</v>
      </c>
      <c r="J59" s="123">
        <f>'שכר מפורט'!G464</f>
        <v>1.25</v>
      </c>
      <c r="K59" s="123">
        <f>'שכר מפורט'!S464</f>
        <v>1.25</v>
      </c>
      <c r="L59" s="226">
        <v>204146.72</v>
      </c>
      <c r="M59" s="227">
        <f t="shared" si="0"/>
        <v>208565.32</v>
      </c>
      <c r="N59" s="122">
        <v>12</v>
      </c>
      <c r="O59" s="122">
        <v>12</v>
      </c>
      <c r="P59" s="222">
        <v>208000</v>
      </c>
      <c r="Q59" s="222">
        <v>1235.2589500000176</v>
      </c>
      <c r="R59" s="223">
        <v>5.957934627251766E-3</v>
      </c>
      <c r="S59" s="123">
        <f>'שכר מפורט'!AF464</f>
        <v>208565.32</v>
      </c>
      <c r="T59" s="123">
        <f t="shared" si="1"/>
        <v>0</v>
      </c>
      <c r="U59" s="224"/>
      <c r="Y59" s="193">
        <v>208565.32</v>
      </c>
    </row>
    <row r="60" spans="1:25" s="193" customFormat="1" ht="28" x14ac:dyDescent="0.6">
      <c r="A60" s="121">
        <v>1817400110</v>
      </c>
      <c r="B60" s="121" t="s">
        <v>21</v>
      </c>
      <c r="C60" s="121" t="s">
        <v>120</v>
      </c>
      <c r="D60" s="122">
        <v>122751.67999999999</v>
      </c>
      <c r="E60" s="122">
        <v>123590.81448</v>
      </c>
      <c r="F60" s="125">
        <v>125443.49474999998</v>
      </c>
      <c r="G60" s="122">
        <v>125415.38923466289</v>
      </c>
      <c r="H60" s="123">
        <v>1</v>
      </c>
      <c r="I60" s="123">
        <v>1</v>
      </c>
      <c r="J60" s="123">
        <f>'שכר מפורט'!G467</f>
        <v>1</v>
      </c>
      <c r="K60" s="123">
        <f>'שכר מפורט'!S467</f>
        <v>1</v>
      </c>
      <c r="L60" s="226">
        <v>123590.81448</v>
      </c>
      <c r="M60" s="227">
        <f t="shared" si="0"/>
        <v>121602.88</v>
      </c>
      <c r="N60" s="122">
        <v>12</v>
      </c>
      <c r="O60" s="122">
        <v>12</v>
      </c>
      <c r="P60" s="222">
        <v>122000</v>
      </c>
      <c r="Q60" s="222">
        <v>-3840.6147499999788</v>
      </c>
      <c r="R60" s="223">
        <v>-3.0616292679457414E-2</v>
      </c>
      <c r="S60" s="123">
        <f>'שכר מפורט'!AF467</f>
        <v>121602.88</v>
      </c>
      <c r="T60" s="123">
        <f t="shared" si="1"/>
        <v>0</v>
      </c>
      <c r="U60" s="224"/>
      <c r="Y60" s="193">
        <v>121602.88</v>
      </c>
    </row>
    <row r="61" spans="1:25" s="193" customFormat="1" ht="28" x14ac:dyDescent="0.6">
      <c r="A61" s="121">
        <v>1817600110</v>
      </c>
      <c r="B61" s="121" t="s">
        <v>21</v>
      </c>
      <c r="C61" s="121" t="s">
        <v>497</v>
      </c>
      <c r="D61" s="122">
        <v>247752.91</v>
      </c>
      <c r="E61" s="122">
        <v>340781</v>
      </c>
      <c r="F61" s="125">
        <v>385892.47139999992</v>
      </c>
      <c r="G61" s="122">
        <v>214661.12454517081</v>
      </c>
      <c r="H61" s="123">
        <v>0</v>
      </c>
      <c r="I61" s="123">
        <v>0</v>
      </c>
      <c r="J61" s="123"/>
      <c r="K61" s="123"/>
      <c r="L61" s="226">
        <v>384391.81</v>
      </c>
      <c r="M61" s="227">
        <f t="shared" si="0"/>
        <v>412395.85000000003</v>
      </c>
      <c r="N61" s="122">
        <v>12</v>
      </c>
      <c r="O61" s="122">
        <v>12</v>
      </c>
      <c r="P61" s="222">
        <v>392000</v>
      </c>
      <c r="Q61" s="222">
        <v>26503.378600000113</v>
      </c>
      <c r="R61" s="223">
        <v>6.8680735086245892E-2</v>
      </c>
      <c r="S61" s="123">
        <f>'שכר מפורט'!AF477</f>
        <v>412395.85000000003</v>
      </c>
      <c r="T61" s="123">
        <f t="shared" si="1"/>
        <v>0</v>
      </c>
      <c r="U61" s="224"/>
      <c r="Y61" s="193">
        <v>412395.85000000003</v>
      </c>
    </row>
    <row r="62" spans="1:25" s="193" customFormat="1" ht="28" x14ac:dyDescent="0.6">
      <c r="A62" s="121">
        <v>1817700110</v>
      </c>
      <c r="B62" s="121" t="s">
        <v>21</v>
      </c>
      <c r="C62" s="121" t="s">
        <v>500</v>
      </c>
      <c r="D62" s="122">
        <v>346816.58</v>
      </c>
      <c r="E62" s="122">
        <v>361000</v>
      </c>
      <c r="F62" s="125">
        <v>366706.69069999992</v>
      </c>
      <c r="G62" s="122">
        <v>354342.49627000763</v>
      </c>
      <c r="H62" s="123">
        <v>2</v>
      </c>
      <c r="I62" s="123">
        <v>2</v>
      </c>
      <c r="J62" s="123">
        <f>'שכר מפורט'!G481</f>
        <v>2</v>
      </c>
      <c r="K62" s="123">
        <f>'שכר מפורט'!S481</f>
        <v>2</v>
      </c>
      <c r="L62" s="226">
        <v>361000</v>
      </c>
      <c r="M62" s="227">
        <f t="shared" si="0"/>
        <v>367960.76</v>
      </c>
      <c r="N62" s="122">
        <v>12</v>
      </c>
      <c r="O62" s="122">
        <v>12</v>
      </c>
      <c r="P62" s="222">
        <v>368000</v>
      </c>
      <c r="Q62" s="222">
        <v>1254.0693000000902</v>
      </c>
      <c r="R62" s="223">
        <v>3.4198157050426854E-3</v>
      </c>
      <c r="S62" s="123">
        <f>'שכר מפורט'!AF481</f>
        <v>367960.76</v>
      </c>
      <c r="T62" s="123">
        <f t="shared" si="1"/>
        <v>0</v>
      </c>
      <c r="U62" s="224"/>
      <c r="Y62" s="193">
        <v>367960.76</v>
      </c>
    </row>
    <row r="63" spans="1:25" s="193" customFormat="1" ht="28" x14ac:dyDescent="0.6">
      <c r="A63" s="121">
        <v>1817800110</v>
      </c>
      <c r="B63" s="121" t="s">
        <v>21</v>
      </c>
      <c r="C63" s="121" t="s">
        <v>501</v>
      </c>
      <c r="D63" s="122">
        <v>1134807.77</v>
      </c>
      <c r="E63" s="122">
        <v>1163000</v>
      </c>
      <c r="F63" s="125">
        <v>1180355.5886499998</v>
      </c>
      <c r="G63" s="122">
        <v>1109267.6327760841</v>
      </c>
      <c r="H63" s="123">
        <v>9.5969999999999995</v>
      </c>
      <c r="I63" s="123">
        <v>9.5969999999999995</v>
      </c>
      <c r="J63" s="123">
        <f>'שכר מפורט'!G502</f>
        <v>8.6660000000000004</v>
      </c>
      <c r="K63" s="123">
        <f>'שכר מפורט'!S502</f>
        <v>8.6660000000000004</v>
      </c>
      <c r="L63" s="226">
        <v>1123000</v>
      </c>
      <c r="M63" s="227">
        <f t="shared" si="0"/>
        <v>1083002</v>
      </c>
      <c r="N63" s="122">
        <v>12</v>
      </c>
      <c r="O63" s="122">
        <v>12</v>
      </c>
      <c r="P63" s="222">
        <v>1180355.5886499998</v>
      </c>
      <c r="Q63" s="222">
        <v>-97353.588649999816</v>
      </c>
      <c r="R63" s="223">
        <v>-8.2478186731292882E-2</v>
      </c>
      <c r="S63" s="123">
        <f>'שכר מפורט'!AF502</f>
        <v>1083002</v>
      </c>
      <c r="T63" s="123">
        <f t="shared" si="1"/>
        <v>0</v>
      </c>
      <c r="U63" s="224" t="s">
        <v>1562</v>
      </c>
      <c r="V63" s="193" t="s">
        <v>2125</v>
      </c>
      <c r="Y63" s="193">
        <v>1083002</v>
      </c>
    </row>
    <row r="64" spans="1:25" s="193" customFormat="1" ht="28" x14ac:dyDescent="0.6">
      <c r="A64" s="121">
        <v>1817810110</v>
      </c>
      <c r="B64" s="121" t="s">
        <v>21</v>
      </c>
      <c r="C64" s="121" t="s">
        <v>504</v>
      </c>
      <c r="D64" s="122">
        <v>2349100.88</v>
      </c>
      <c r="E64" s="122">
        <v>1910000</v>
      </c>
      <c r="F64" s="125">
        <v>1848641.0991999998</v>
      </c>
      <c r="G64" s="122">
        <v>2356998.435215645</v>
      </c>
      <c r="H64" s="123">
        <v>17.924200000000006</v>
      </c>
      <c r="I64" s="123">
        <v>17.924200000000006</v>
      </c>
      <c r="J64" s="123">
        <f>'שכר מפורט'!G524</f>
        <v>12.9049</v>
      </c>
      <c r="K64" s="123">
        <f>'שכר מפורט'!S524</f>
        <v>12.412233333333333</v>
      </c>
      <c r="L64" s="226">
        <v>1890179.88</v>
      </c>
      <c r="M64" s="227">
        <f t="shared" si="0"/>
        <v>1298542.2400000002</v>
      </c>
      <c r="N64" s="122">
        <v>12</v>
      </c>
      <c r="O64" s="122">
        <v>12</v>
      </c>
      <c r="P64" s="222">
        <v>1345000</v>
      </c>
      <c r="Q64" s="222">
        <v>-550098.8591999996</v>
      </c>
      <c r="R64" s="223">
        <v>-0.29756931155433852</v>
      </c>
      <c r="S64" s="123">
        <f>'שכר מפורט'!AF524</f>
        <v>1298542.2400000002</v>
      </c>
      <c r="T64" s="123">
        <f t="shared" si="1"/>
        <v>0</v>
      </c>
      <c r="U64" s="224" t="s">
        <v>2215</v>
      </c>
      <c r="Y64" s="193">
        <v>1298542.2400000002</v>
      </c>
    </row>
    <row r="65" spans="1:25" s="193" customFormat="1" ht="28" hidden="1" x14ac:dyDescent="0.6">
      <c r="A65" s="121">
        <v>1817900110</v>
      </c>
      <c r="B65" s="121" t="s">
        <v>21</v>
      </c>
      <c r="C65" s="121" t="s">
        <v>506</v>
      </c>
      <c r="D65" s="122" t="s">
        <v>8</v>
      </c>
      <c r="E65" s="122">
        <v>0</v>
      </c>
      <c r="F65" s="125">
        <v>0</v>
      </c>
      <c r="G65" s="122">
        <v>0</v>
      </c>
      <c r="H65" s="123">
        <v>0</v>
      </c>
      <c r="I65" s="123">
        <v>0</v>
      </c>
      <c r="J65" s="123"/>
      <c r="K65" s="123"/>
      <c r="L65" s="226">
        <v>0</v>
      </c>
      <c r="M65" s="227">
        <f t="shared" si="0"/>
        <v>0</v>
      </c>
      <c r="N65" s="122">
        <v>12</v>
      </c>
      <c r="O65" s="122">
        <v>12</v>
      </c>
      <c r="P65" s="222">
        <v>0</v>
      </c>
      <c r="Q65" s="222">
        <v>0</v>
      </c>
      <c r="R65" s="223" t="e">
        <v>#DIV/0!</v>
      </c>
      <c r="S65" s="123"/>
      <c r="T65" s="123">
        <f t="shared" si="1"/>
        <v>0</v>
      </c>
      <c r="U65" s="224"/>
      <c r="Y65" s="193">
        <v>0</v>
      </c>
    </row>
    <row r="66" spans="1:25" s="193" customFormat="1" ht="28" hidden="1" x14ac:dyDescent="0.6">
      <c r="A66" s="121" t="s">
        <v>1</v>
      </c>
      <c r="B66" s="121" t="s">
        <v>21</v>
      </c>
      <c r="C66" s="121" t="s">
        <v>583</v>
      </c>
      <c r="D66" s="122" t="s">
        <v>8</v>
      </c>
      <c r="E66" s="122">
        <v>0</v>
      </c>
      <c r="F66" s="125"/>
      <c r="G66" s="122">
        <v>1980.4840460525002</v>
      </c>
      <c r="H66" s="123"/>
      <c r="I66" s="123"/>
      <c r="J66" s="123"/>
      <c r="K66" s="123"/>
      <c r="L66" s="226">
        <v>0</v>
      </c>
      <c r="M66" s="227">
        <f t="shared" si="0"/>
        <v>0</v>
      </c>
      <c r="N66" s="122">
        <v>12</v>
      </c>
      <c r="O66" s="122">
        <v>12</v>
      </c>
      <c r="P66" s="222">
        <v>0</v>
      </c>
      <c r="Q66" s="222">
        <v>0</v>
      </c>
      <c r="R66" s="223" t="e">
        <v>#DIV/0!</v>
      </c>
      <c r="S66" s="123"/>
      <c r="T66" s="123">
        <f t="shared" si="1"/>
        <v>0</v>
      </c>
      <c r="U66" s="224"/>
    </row>
    <row r="67" spans="1:25" s="193" customFormat="1" ht="28" hidden="1" x14ac:dyDescent="0.6">
      <c r="A67" s="121" t="s">
        <v>1</v>
      </c>
      <c r="B67" s="121" t="s">
        <v>21</v>
      </c>
      <c r="C67" s="121" t="s">
        <v>583</v>
      </c>
      <c r="D67" s="122" t="s">
        <v>8</v>
      </c>
      <c r="E67" s="122">
        <v>0</v>
      </c>
      <c r="F67" s="125"/>
      <c r="G67" s="122">
        <v>159427.30073315676</v>
      </c>
      <c r="H67" s="123"/>
      <c r="I67" s="123"/>
      <c r="J67" s="123"/>
      <c r="K67" s="123"/>
      <c r="L67" s="226">
        <v>0</v>
      </c>
      <c r="M67" s="227">
        <f t="shared" si="0"/>
        <v>0</v>
      </c>
      <c r="N67" s="122">
        <v>12</v>
      </c>
      <c r="O67" s="122">
        <v>12</v>
      </c>
      <c r="P67" s="222">
        <v>0</v>
      </c>
      <c r="Q67" s="222">
        <v>0</v>
      </c>
      <c r="R67" s="223" t="e">
        <v>#DIV/0!</v>
      </c>
      <c r="S67" s="123"/>
      <c r="T67" s="123">
        <f t="shared" si="1"/>
        <v>0</v>
      </c>
      <c r="U67" s="224"/>
    </row>
    <row r="68" spans="1:25" s="193" customFormat="1" ht="28" hidden="1" x14ac:dyDescent="0.6">
      <c r="A68" s="121" t="s">
        <v>1</v>
      </c>
      <c r="B68" s="121" t="s">
        <v>21</v>
      </c>
      <c r="C68" s="121" t="s">
        <v>585</v>
      </c>
      <c r="D68" s="122" t="s">
        <v>8</v>
      </c>
      <c r="E68" s="122">
        <v>0</v>
      </c>
      <c r="F68" s="125"/>
      <c r="G68" s="122">
        <v>260739.25047830574</v>
      </c>
      <c r="H68" s="123"/>
      <c r="I68" s="123"/>
      <c r="J68" s="123"/>
      <c r="K68" s="123"/>
      <c r="L68" s="226">
        <v>0</v>
      </c>
      <c r="M68" s="227">
        <f t="shared" ref="M68:M111" si="2">S68</f>
        <v>0</v>
      </c>
      <c r="N68" s="122">
        <v>12</v>
      </c>
      <c r="O68" s="122">
        <v>12</v>
      </c>
      <c r="P68" s="222">
        <v>0</v>
      </c>
      <c r="Q68" s="222">
        <v>0</v>
      </c>
      <c r="R68" s="223" t="e">
        <v>#DIV/0!</v>
      </c>
      <c r="S68" s="123"/>
      <c r="T68" s="123">
        <f t="shared" ref="T68:T111" si="3">S68-M68</f>
        <v>0</v>
      </c>
      <c r="U68" s="224"/>
    </row>
    <row r="69" spans="1:25" s="193" customFormat="1" ht="28" hidden="1" x14ac:dyDescent="0.6">
      <c r="A69" s="121" t="s">
        <v>1</v>
      </c>
      <c r="B69" s="121" t="s">
        <v>21</v>
      </c>
      <c r="C69" s="121" t="s">
        <v>586</v>
      </c>
      <c r="D69" s="122" t="s">
        <v>8</v>
      </c>
      <c r="E69" s="122">
        <v>0</v>
      </c>
      <c r="F69" s="125"/>
      <c r="G69" s="122">
        <v>2868.6407153912</v>
      </c>
      <c r="H69" s="123"/>
      <c r="I69" s="123"/>
      <c r="J69" s="123"/>
      <c r="K69" s="123"/>
      <c r="L69" s="226">
        <v>0</v>
      </c>
      <c r="M69" s="227">
        <f t="shared" si="2"/>
        <v>0</v>
      </c>
      <c r="N69" s="122">
        <v>12</v>
      </c>
      <c r="O69" s="122">
        <v>12</v>
      </c>
      <c r="P69" s="222">
        <v>0</v>
      </c>
      <c r="Q69" s="222">
        <v>0</v>
      </c>
      <c r="R69" s="223" t="e">
        <v>#DIV/0!</v>
      </c>
      <c r="S69" s="123"/>
      <c r="T69" s="123">
        <f t="shared" si="3"/>
        <v>0</v>
      </c>
      <c r="U69" s="224"/>
    </row>
    <row r="70" spans="1:25" s="193" customFormat="1" ht="28" hidden="1" x14ac:dyDescent="0.6">
      <c r="A70" s="121" t="s">
        <v>1</v>
      </c>
      <c r="B70" s="121" t="s">
        <v>21</v>
      </c>
      <c r="C70" s="121" t="s">
        <v>587</v>
      </c>
      <c r="D70" s="122" t="s">
        <v>8</v>
      </c>
      <c r="E70" s="122">
        <v>0</v>
      </c>
      <c r="F70" s="125"/>
      <c r="G70" s="122">
        <v>15626.475816868602</v>
      </c>
      <c r="H70" s="123"/>
      <c r="I70" s="123"/>
      <c r="J70" s="123"/>
      <c r="K70" s="123"/>
      <c r="L70" s="226">
        <v>0</v>
      </c>
      <c r="M70" s="227">
        <f t="shared" si="2"/>
        <v>0</v>
      </c>
      <c r="N70" s="122">
        <v>12</v>
      </c>
      <c r="O70" s="122">
        <v>12</v>
      </c>
      <c r="P70" s="222">
        <v>0</v>
      </c>
      <c r="Q70" s="222">
        <v>0</v>
      </c>
      <c r="R70" s="223" t="e">
        <v>#DIV/0!</v>
      </c>
      <c r="S70" s="123"/>
      <c r="T70" s="123">
        <f t="shared" si="3"/>
        <v>0</v>
      </c>
      <c r="U70" s="224"/>
    </row>
    <row r="71" spans="1:25" s="193" customFormat="1" ht="28" hidden="1" x14ac:dyDescent="0.6">
      <c r="A71" s="121" t="s">
        <v>1</v>
      </c>
      <c r="B71" s="121" t="s">
        <v>21</v>
      </c>
      <c r="C71" s="121" t="s">
        <v>588</v>
      </c>
      <c r="D71" s="122" t="s">
        <v>8</v>
      </c>
      <c r="E71" s="122">
        <v>0</v>
      </c>
      <c r="F71" s="125"/>
      <c r="G71" s="122">
        <v>2625.2935335144002</v>
      </c>
      <c r="H71" s="123"/>
      <c r="I71" s="123"/>
      <c r="J71" s="123"/>
      <c r="K71" s="123"/>
      <c r="L71" s="226">
        <v>0</v>
      </c>
      <c r="M71" s="227">
        <f t="shared" si="2"/>
        <v>0</v>
      </c>
      <c r="N71" s="122">
        <v>12</v>
      </c>
      <c r="O71" s="122">
        <v>12</v>
      </c>
      <c r="P71" s="222">
        <v>0</v>
      </c>
      <c r="Q71" s="222">
        <v>0</v>
      </c>
      <c r="R71" s="223" t="e">
        <v>#DIV/0!</v>
      </c>
      <c r="S71" s="123"/>
      <c r="T71" s="123">
        <f t="shared" si="3"/>
        <v>0</v>
      </c>
      <c r="U71" s="224"/>
    </row>
    <row r="72" spans="1:25" s="193" customFormat="1" ht="28" hidden="1" x14ac:dyDescent="0.6">
      <c r="A72" s="121" t="s">
        <v>1</v>
      </c>
      <c r="B72" s="121" t="s">
        <v>21</v>
      </c>
      <c r="C72" s="121" t="s">
        <v>589</v>
      </c>
      <c r="D72" s="122" t="s">
        <v>8</v>
      </c>
      <c r="E72" s="122">
        <v>0</v>
      </c>
      <c r="F72" s="125"/>
      <c r="G72" s="122">
        <v>4692.1161408788003</v>
      </c>
      <c r="H72" s="123"/>
      <c r="I72" s="123"/>
      <c r="J72" s="123"/>
      <c r="K72" s="123"/>
      <c r="L72" s="226">
        <v>0</v>
      </c>
      <c r="M72" s="227">
        <f t="shared" si="2"/>
        <v>0</v>
      </c>
      <c r="N72" s="122">
        <v>12</v>
      </c>
      <c r="O72" s="122">
        <v>12</v>
      </c>
      <c r="P72" s="222">
        <v>0</v>
      </c>
      <c r="Q72" s="222">
        <v>0</v>
      </c>
      <c r="R72" s="223" t="e">
        <v>#DIV/0!</v>
      </c>
      <c r="S72" s="123"/>
      <c r="T72" s="123">
        <f t="shared" si="3"/>
        <v>0</v>
      </c>
      <c r="U72" s="224"/>
    </row>
    <row r="73" spans="1:25" s="193" customFormat="1" ht="28" hidden="1" x14ac:dyDescent="0.6">
      <c r="A73" s="121" t="s">
        <v>1</v>
      </c>
      <c r="B73" s="121" t="s">
        <v>21</v>
      </c>
      <c r="C73" s="121" t="s">
        <v>590</v>
      </c>
      <c r="D73" s="122" t="s">
        <v>8</v>
      </c>
      <c r="E73" s="122">
        <v>0</v>
      </c>
      <c r="F73" s="125"/>
      <c r="G73" s="122">
        <v>2038.9616933103002</v>
      </c>
      <c r="H73" s="123"/>
      <c r="I73" s="123"/>
      <c r="J73" s="123"/>
      <c r="K73" s="123"/>
      <c r="L73" s="226">
        <v>0</v>
      </c>
      <c r="M73" s="227">
        <f t="shared" si="2"/>
        <v>0</v>
      </c>
      <c r="N73" s="122">
        <v>12</v>
      </c>
      <c r="O73" s="122">
        <v>12</v>
      </c>
      <c r="P73" s="222">
        <v>0</v>
      </c>
      <c r="Q73" s="222">
        <v>0</v>
      </c>
      <c r="R73" s="223" t="e">
        <v>#DIV/0!</v>
      </c>
      <c r="S73" s="123"/>
      <c r="T73" s="123">
        <f t="shared" si="3"/>
        <v>0</v>
      </c>
      <c r="U73" s="224"/>
    </row>
    <row r="74" spans="1:25" s="193" customFormat="1" ht="28" hidden="1" x14ac:dyDescent="0.6">
      <c r="A74" s="121" t="s">
        <v>1</v>
      </c>
      <c r="B74" s="121" t="s">
        <v>21</v>
      </c>
      <c r="C74" s="121" t="s">
        <v>591</v>
      </c>
      <c r="D74" s="122" t="s">
        <v>8</v>
      </c>
      <c r="E74" s="122">
        <v>0</v>
      </c>
      <c r="F74" s="125"/>
      <c r="G74" s="122">
        <v>152.9062079672</v>
      </c>
      <c r="H74" s="123"/>
      <c r="I74" s="123"/>
      <c r="J74" s="123"/>
      <c r="K74" s="123"/>
      <c r="L74" s="226">
        <v>0</v>
      </c>
      <c r="M74" s="227">
        <f t="shared" si="2"/>
        <v>0</v>
      </c>
      <c r="N74" s="122">
        <v>12</v>
      </c>
      <c r="O74" s="122">
        <v>12</v>
      </c>
      <c r="P74" s="222">
        <v>0</v>
      </c>
      <c r="Q74" s="222">
        <v>0</v>
      </c>
      <c r="R74" s="223" t="e">
        <v>#DIV/0!</v>
      </c>
      <c r="S74" s="123"/>
      <c r="T74" s="123">
        <f t="shared" si="3"/>
        <v>0</v>
      </c>
      <c r="U74" s="224"/>
    </row>
    <row r="75" spans="1:25" s="193" customFormat="1" ht="28" hidden="1" x14ac:dyDescent="0.6">
      <c r="A75" s="121" t="s">
        <v>1</v>
      </c>
      <c r="B75" s="121" t="s">
        <v>21</v>
      </c>
      <c r="C75" s="121" t="s">
        <v>592</v>
      </c>
      <c r="D75" s="122" t="s">
        <v>8</v>
      </c>
      <c r="E75" s="122">
        <v>0</v>
      </c>
      <c r="F75" s="125"/>
      <c r="G75" s="122">
        <v>8156.8906441312001</v>
      </c>
      <c r="H75" s="123"/>
      <c r="I75" s="123"/>
      <c r="J75" s="123"/>
      <c r="K75" s="123"/>
      <c r="L75" s="226">
        <v>0</v>
      </c>
      <c r="M75" s="227">
        <f t="shared" si="2"/>
        <v>0</v>
      </c>
      <c r="N75" s="122">
        <v>12</v>
      </c>
      <c r="O75" s="122">
        <v>12</v>
      </c>
      <c r="P75" s="222">
        <v>0</v>
      </c>
      <c r="Q75" s="222">
        <v>0</v>
      </c>
      <c r="R75" s="223" t="e">
        <v>#DIV/0!</v>
      </c>
      <c r="S75" s="123"/>
      <c r="T75" s="123">
        <f t="shared" si="3"/>
        <v>0</v>
      </c>
      <c r="U75" s="224"/>
    </row>
    <row r="76" spans="1:25" s="193" customFormat="1" ht="28" hidden="1" x14ac:dyDescent="0.6">
      <c r="A76" s="121" t="s">
        <v>1</v>
      </c>
      <c r="B76" s="121" t="s">
        <v>21</v>
      </c>
      <c r="C76" s="121" t="s">
        <v>593</v>
      </c>
      <c r="D76" s="122" t="s">
        <v>8</v>
      </c>
      <c r="E76" s="122">
        <v>0</v>
      </c>
      <c r="F76" s="125"/>
      <c r="G76" s="122">
        <v>28735.041098677102</v>
      </c>
      <c r="H76" s="123"/>
      <c r="I76" s="123"/>
      <c r="J76" s="123"/>
      <c r="K76" s="123"/>
      <c r="L76" s="226">
        <v>0</v>
      </c>
      <c r="M76" s="227">
        <f t="shared" si="2"/>
        <v>0</v>
      </c>
      <c r="N76" s="122">
        <v>12</v>
      </c>
      <c r="O76" s="122">
        <v>12</v>
      </c>
      <c r="P76" s="222">
        <v>0</v>
      </c>
      <c r="Q76" s="222">
        <v>0</v>
      </c>
      <c r="R76" s="223" t="e">
        <v>#DIV/0!</v>
      </c>
      <c r="S76" s="123"/>
      <c r="T76" s="123">
        <f t="shared" si="3"/>
        <v>0</v>
      </c>
      <c r="U76" s="224"/>
    </row>
    <row r="77" spans="1:25" s="193" customFormat="1" ht="28" hidden="1" x14ac:dyDescent="0.6">
      <c r="A77" s="121" t="s">
        <v>1</v>
      </c>
      <c r="B77" s="121" t="s">
        <v>21</v>
      </c>
      <c r="C77" s="121" t="s">
        <v>594</v>
      </c>
      <c r="D77" s="122" t="s">
        <v>8</v>
      </c>
      <c r="E77" s="122">
        <v>0</v>
      </c>
      <c r="F77" s="125"/>
      <c r="G77" s="122">
        <v>75004.96277532079</v>
      </c>
      <c r="H77" s="123"/>
      <c r="I77" s="123"/>
      <c r="J77" s="123"/>
      <c r="K77" s="123"/>
      <c r="L77" s="226">
        <v>0</v>
      </c>
      <c r="M77" s="227">
        <f t="shared" si="2"/>
        <v>0</v>
      </c>
      <c r="N77" s="122">
        <v>12</v>
      </c>
      <c r="O77" s="122">
        <v>12</v>
      </c>
      <c r="P77" s="222">
        <v>0</v>
      </c>
      <c r="Q77" s="222">
        <v>0</v>
      </c>
      <c r="R77" s="223" t="e">
        <v>#DIV/0!</v>
      </c>
      <c r="S77" s="123"/>
      <c r="T77" s="123">
        <f t="shared" si="3"/>
        <v>0</v>
      </c>
      <c r="U77" s="224"/>
    </row>
    <row r="78" spans="1:25" s="193" customFormat="1" ht="28" hidden="1" x14ac:dyDescent="0.6">
      <c r="A78" s="121" t="s">
        <v>1</v>
      </c>
      <c r="B78" s="121" t="s">
        <v>21</v>
      </c>
      <c r="C78" s="121" t="s">
        <v>595</v>
      </c>
      <c r="D78" s="122" t="s">
        <v>8</v>
      </c>
      <c r="E78" s="122">
        <v>0</v>
      </c>
      <c r="F78" s="125"/>
      <c r="G78" s="122">
        <v>11186.391863671401</v>
      </c>
      <c r="H78" s="123"/>
      <c r="I78" s="123"/>
      <c r="J78" s="123"/>
      <c r="K78" s="123"/>
      <c r="L78" s="226">
        <v>0</v>
      </c>
      <c r="M78" s="227">
        <f t="shared" si="2"/>
        <v>0</v>
      </c>
      <c r="N78" s="122">
        <v>12</v>
      </c>
      <c r="O78" s="122">
        <v>12</v>
      </c>
      <c r="P78" s="222">
        <v>0</v>
      </c>
      <c r="Q78" s="222">
        <v>0</v>
      </c>
      <c r="R78" s="223" t="e">
        <v>#DIV/0!</v>
      </c>
      <c r="S78" s="123"/>
      <c r="T78" s="123">
        <f t="shared" si="3"/>
        <v>0</v>
      </c>
      <c r="U78" s="224"/>
    </row>
    <row r="79" spans="1:25" s="193" customFormat="1" ht="28" hidden="1" x14ac:dyDescent="0.6">
      <c r="A79" s="121" t="s">
        <v>1</v>
      </c>
      <c r="B79" s="121" t="s">
        <v>21</v>
      </c>
      <c r="C79" s="121" t="s">
        <v>596</v>
      </c>
      <c r="D79" s="122" t="s">
        <v>8</v>
      </c>
      <c r="E79" s="122">
        <v>0</v>
      </c>
      <c r="F79" s="125"/>
      <c r="G79" s="122">
        <v>288555.01711641316</v>
      </c>
      <c r="H79" s="123"/>
      <c r="I79" s="123"/>
      <c r="J79" s="123"/>
      <c r="K79" s="123"/>
      <c r="L79" s="226">
        <v>0</v>
      </c>
      <c r="M79" s="227">
        <f t="shared" si="2"/>
        <v>0</v>
      </c>
      <c r="N79" s="122">
        <v>12</v>
      </c>
      <c r="O79" s="122">
        <v>12</v>
      </c>
      <c r="P79" s="222">
        <v>0</v>
      </c>
      <c r="Q79" s="222">
        <v>0</v>
      </c>
      <c r="R79" s="223" t="e">
        <v>#DIV/0!</v>
      </c>
      <c r="S79" s="123"/>
      <c r="T79" s="123">
        <f t="shared" si="3"/>
        <v>0</v>
      </c>
      <c r="U79" s="224"/>
    </row>
    <row r="80" spans="1:25" s="193" customFormat="1" ht="28" hidden="1" x14ac:dyDescent="0.6">
      <c r="A80" s="121" t="s">
        <v>1</v>
      </c>
      <c r="B80" s="121" t="s">
        <v>21</v>
      </c>
      <c r="C80" s="121" t="s">
        <v>597</v>
      </c>
      <c r="D80" s="122" t="s">
        <v>8</v>
      </c>
      <c r="E80" s="122">
        <v>0</v>
      </c>
      <c r="F80" s="125"/>
      <c r="G80" s="122">
        <v>305.84373206110001</v>
      </c>
      <c r="H80" s="123"/>
      <c r="I80" s="123"/>
      <c r="J80" s="123"/>
      <c r="K80" s="123"/>
      <c r="L80" s="226">
        <v>0</v>
      </c>
      <c r="M80" s="227">
        <f t="shared" si="2"/>
        <v>0</v>
      </c>
      <c r="N80" s="122">
        <v>12</v>
      </c>
      <c r="O80" s="122">
        <v>12</v>
      </c>
      <c r="P80" s="222">
        <v>0</v>
      </c>
      <c r="Q80" s="222">
        <v>0</v>
      </c>
      <c r="R80" s="223" t="e">
        <v>#DIV/0!</v>
      </c>
      <c r="S80" s="123"/>
      <c r="T80" s="123">
        <f t="shared" si="3"/>
        <v>0</v>
      </c>
      <c r="U80" s="224"/>
    </row>
    <row r="81" spans="1:25" s="193" customFormat="1" ht="28" hidden="1" x14ac:dyDescent="0.6">
      <c r="A81" s="121" t="s">
        <v>1</v>
      </c>
      <c r="B81" s="121" t="s">
        <v>21</v>
      </c>
      <c r="C81" s="121" t="s">
        <v>598</v>
      </c>
      <c r="D81" s="122" t="s">
        <v>8</v>
      </c>
      <c r="E81" s="122">
        <v>0</v>
      </c>
      <c r="F81" s="125"/>
      <c r="G81" s="122">
        <v>2819.1194803695998</v>
      </c>
      <c r="H81" s="123"/>
      <c r="I81" s="123"/>
      <c r="J81" s="123"/>
      <c r="K81" s="123"/>
      <c r="L81" s="226">
        <v>0</v>
      </c>
      <c r="M81" s="227">
        <f t="shared" si="2"/>
        <v>0</v>
      </c>
      <c r="N81" s="122">
        <v>12</v>
      </c>
      <c r="O81" s="122">
        <v>12</v>
      </c>
      <c r="P81" s="222">
        <v>0</v>
      </c>
      <c r="Q81" s="222">
        <v>0</v>
      </c>
      <c r="R81" s="223" t="e">
        <v>#DIV/0!</v>
      </c>
      <c r="S81" s="123"/>
      <c r="T81" s="123">
        <f t="shared" si="3"/>
        <v>0</v>
      </c>
      <c r="U81" s="224"/>
    </row>
    <row r="82" spans="1:25" s="193" customFormat="1" ht="28" hidden="1" x14ac:dyDescent="0.6">
      <c r="A82" s="121" t="s">
        <v>1</v>
      </c>
      <c r="B82" s="121" t="s">
        <v>21</v>
      </c>
      <c r="C82" s="121" t="s">
        <v>498</v>
      </c>
      <c r="D82" s="122" t="s">
        <v>8</v>
      </c>
      <c r="E82" s="122">
        <v>0</v>
      </c>
      <c r="F82" s="125"/>
      <c r="G82" s="122">
        <v>38467.790554478997</v>
      </c>
      <c r="H82" s="123"/>
      <c r="I82" s="123"/>
      <c r="J82" s="123"/>
      <c r="K82" s="123"/>
      <c r="L82" s="226">
        <v>0</v>
      </c>
      <c r="M82" s="227">
        <f t="shared" si="2"/>
        <v>0</v>
      </c>
      <c r="N82" s="122">
        <v>12</v>
      </c>
      <c r="O82" s="122">
        <v>12</v>
      </c>
      <c r="P82" s="222">
        <v>0</v>
      </c>
      <c r="Q82" s="222">
        <v>0</v>
      </c>
      <c r="R82" s="223" t="e">
        <v>#DIV/0!</v>
      </c>
      <c r="S82" s="123"/>
      <c r="T82" s="123">
        <f t="shared" si="3"/>
        <v>0</v>
      </c>
      <c r="U82" s="224"/>
    </row>
    <row r="83" spans="1:25" s="193" customFormat="1" ht="28" hidden="1" x14ac:dyDescent="0.6">
      <c r="A83" s="121" t="s">
        <v>1</v>
      </c>
      <c r="B83" s="121" t="s">
        <v>21</v>
      </c>
      <c r="C83" s="121" t="s">
        <v>599</v>
      </c>
      <c r="D83" s="122" t="s">
        <v>8</v>
      </c>
      <c r="E83" s="122">
        <v>0</v>
      </c>
      <c r="F83" s="125"/>
      <c r="G83" s="122">
        <v>50165.512134908</v>
      </c>
      <c r="H83" s="123"/>
      <c r="I83" s="123"/>
      <c r="J83" s="123"/>
      <c r="K83" s="123"/>
      <c r="L83" s="226">
        <v>0</v>
      </c>
      <c r="M83" s="227">
        <f t="shared" si="2"/>
        <v>0</v>
      </c>
      <c r="N83" s="122">
        <v>12</v>
      </c>
      <c r="O83" s="122">
        <v>12</v>
      </c>
      <c r="P83" s="222">
        <v>0</v>
      </c>
      <c r="Q83" s="222">
        <v>0</v>
      </c>
      <c r="R83" s="223" t="e">
        <v>#DIV/0!</v>
      </c>
      <c r="S83" s="123"/>
      <c r="T83" s="123">
        <f t="shared" si="3"/>
        <v>0</v>
      </c>
      <c r="U83" s="224"/>
    </row>
    <row r="84" spans="1:25" s="193" customFormat="1" ht="28" hidden="1" x14ac:dyDescent="0.6">
      <c r="A84" s="121" t="s">
        <v>1</v>
      </c>
      <c r="B84" s="121" t="s">
        <v>21</v>
      </c>
      <c r="C84" s="121" t="s">
        <v>600</v>
      </c>
      <c r="D84" s="122" t="s">
        <v>8</v>
      </c>
      <c r="E84" s="122">
        <v>0</v>
      </c>
      <c r="F84" s="125"/>
      <c r="G84" s="122">
        <v>43077.451333756697</v>
      </c>
      <c r="H84" s="123"/>
      <c r="I84" s="123"/>
      <c r="J84" s="123"/>
      <c r="K84" s="123"/>
      <c r="L84" s="226">
        <v>0</v>
      </c>
      <c r="M84" s="227">
        <f t="shared" si="2"/>
        <v>0</v>
      </c>
      <c r="N84" s="122">
        <v>12</v>
      </c>
      <c r="O84" s="122">
        <v>12</v>
      </c>
      <c r="P84" s="222">
        <v>0</v>
      </c>
      <c r="Q84" s="222">
        <v>0</v>
      </c>
      <c r="R84" s="223" t="e">
        <v>#DIV/0!</v>
      </c>
      <c r="S84" s="123"/>
      <c r="T84" s="123">
        <f t="shared" si="3"/>
        <v>0</v>
      </c>
      <c r="U84" s="224"/>
    </row>
    <row r="85" spans="1:25" s="193" customFormat="1" ht="28" hidden="1" x14ac:dyDescent="0.6">
      <c r="A85" s="121" t="s">
        <v>1</v>
      </c>
      <c r="B85" s="121" t="s">
        <v>21</v>
      </c>
      <c r="C85" s="121" t="s">
        <v>601</v>
      </c>
      <c r="D85" s="122" t="s">
        <v>8</v>
      </c>
      <c r="E85" s="122">
        <v>0</v>
      </c>
      <c r="F85" s="125"/>
      <c r="G85" s="122">
        <v>9609.8440972132994</v>
      </c>
      <c r="H85" s="123"/>
      <c r="I85" s="123"/>
      <c r="J85" s="123"/>
      <c r="K85" s="123"/>
      <c r="L85" s="226">
        <v>0</v>
      </c>
      <c r="M85" s="227">
        <f t="shared" si="2"/>
        <v>0</v>
      </c>
      <c r="N85" s="122">
        <v>12</v>
      </c>
      <c r="O85" s="122">
        <v>12</v>
      </c>
      <c r="P85" s="222">
        <v>0</v>
      </c>
      <c r="Q85" s="222">
        <v>0</v>
      </c>
      <c r="R85" s="223" t="e">
        <v>#DIV/0!</v>
      </c>
      <c r="S85" s="123"/>
      <c r="T85" s="123">
        <f t="shared" si="3"/>
        <v>0</v>
      </c>
      <c r="U85" s="224"/>
    </row>
    <row r="86" spans="1:25" s="193" customFormat="1" ht="28" x14ac:dyDescent="0.6">
      <c r="A86" s="121"/>
      <c r="B86" s="121" t="s">
        <v>21</v>
      </c>
      <c r="C86" s="121" t="s">
        <v>505</v>
      </c>
      <c r="D86" s="122"/>
      <c r="E86" s="122">
        <v>542000</v>
      </c>
      <c r="F86" s="125">
        <v>550106.92904999992</v>
      </c>
      <c r="G86" s="122"/>
      <c r="H86" s="123">
        <v>3.0750000000000002</v>
      </c>
      <c r="I86" s="123">
        <v>3.0750000000000002</v>
      </c>
      <c r="J86" s="123">
        <f>'שכר מפורט'!G545</f>
        <v>15.779000000000002</v>
      </c>
      <c r="K86" s="123">
        <f>'שכר מפורט'!S545</f>
        <v>15.779000000000002</v>
      </c>
      <c r="L86" s="226">
        <v>547000</v>
      </c>
      <c r="M86" s="227">
        <f t="shared" si="2"/>
        <v>1680204.7999999998</v>
      </c>
      <c r="N86" s="122">
        <v>12</v>
      </c>
      <c r="O86" s="122">
        <v>12</v>
      </c>
      <c r="P86" s="222">
        <v>1680000</v>
      </c>
      <c r="Q86" s="222">
        <v>1130097.8709499999</v>
      </c>
      <c r="R86" s="223">
        <v>2.0543240073372786</v>
      </c>
      <c r="S86" s="123">
        <f>'שכר מפורט'!AF545</f>
        <v>1680204.7999999998</v>
      </c>
      <c r="T86" s="123">
        <f t="shared" si="3"/>
        <v>0</v>
      </c>
      <c r="U86" s="224" t="s">
        <v>925</v>
      </c>
      <c r="V86" s="193" t="s">
        <v>2126</v>
      </c>
      <c r="Y86" s="193">
        <v>1680204.7999999998</v>
      </c>
    </row>
    <row r="87" spans="1:25" s="193" customFormat="1" ht="28" x14ac:dyDescent="0.6">
      <c r="A87" s="121">
        <v>1817910110</v>
      </c>
      <c r="B87" s="121" t="s">
        <v>21</v>
      </c>
      <c r="C87" s="121" t="s">
        <v>507</v>
      </c>
      <c r="D87" s="122">
        <v>280903.71000000002</v>
      </c>
      <c r="E87" s="122">
        <v>240000</v>
      </c>
      <c r="F87" s="125">
        <v>244197.88574999996</v>
      </c>
      <c r="G87" s="122">
        <v>277389.20554394217</v>
      </c>
      <c r="H87" s="123">
        <v>0.23400000000000001</v>
      </c>
      <c r="I87" s="123">
        <v>0.23400000000000001</v>
      </c>
      <c r="J87" s="123"/>
      <c r="K87" s="123"/>
      <c r="L87" s="226">
        <v>240000</v>
      </c>
      <c r="M87" s="227">
        <f t="shared" si="2"/>
        <v>0</v>
      </c>
      <c r="N87" s="122">
        <v>12</v>
      </c>
      <c r="O87" s="122">
        <v>12</v>
      </c>
      <c r="P87" s="222">
        <v>0</v>
      </c>
      <c r="Q87" s="222">
        <v>-244197.88574999996</v>
      </c>
      <c r="R87" s="229">
        <v>-1</v>
      </c>
      <c r="S87" s="123"/>
      <c r="T87" s="123">
        <f t="shared" si="3"/>
        <v>0</v>
      </c>
      <c r="U87" s="224" t="s">
        <v>2127</v>
      </c>
      <c r="Y87" s="193">
        <v>0</v>
      </c>
    </row>
    <row r="88" spans="1:25" s="193" customFormat="1" ht="28" x14ac:dyDescent="0.6">
      <c r="A88" s="121">
        <v>1824000110</v>
      </c>
      <c r="B88" s="121" t="s">
        <v>17</v>
      </c>
      <c r="C88" s="121" t="s">
        <v>510</v>
      </c>
      <c r="D88" s="122">
        <v>379141.12</v>
      </c>
      <c r="E88" s="122">
        <v>396000</v>
      </c>
      <c r="F88" s="125">
        <v>402760.18089999998</v>
      </c>
      <c r="G88" s="122">
        <v>387368.4824347776</v>
      </c>
      <c r="H88" s="123">
        <v>2.21</v>
      </c>
      <c r="I88" s="123">
        <v>2.21</v>
      </c>
      <c r="J88" s="123">
        <f>'שכר מפורט'!G550</f>
        <v>2.21</v>
      </c>
      <c r="K88" s="123">
        <f>'שכר מפורט'!S550</f>
        <v>2.21</v>
      </c>
      <c r="L88" s="226">
        <v>393285.85</v>
      </c>
      <c r="M88" s="227">
        <f t="shared" si="2"/>
        <v>402400</v>
      </c>
      <c r="N88" s="122">
        <v>12</v>
      </c>
      <c r="O88" s="122">
        <v>12</v>
      </c>
      <c r="P88" s="222">
        <v>402760</v>
      </c>
      <c r="Q88" s="222">
        <v>-360.18089999997756</v>
      </c>
      <c r="R88" s="223">
        <v>-8.9428130455976155E-4</v>
      </c>
      <c r="S88" s="123">
        <f>'שכר מפורט'!AF550</f>
        <v>402400</v>
      </c>
      <c r="T88" s="123">
        <f t="shared" si="3"/>
        <v>0</v>
      </c>
      <c r="U88" s="224"/>
      <c r="Y88" s="193">
        <v>402400</v>
      </c>
    </row>
    <row r="89" spans="1:25" s="193" customFormat="1" ht="28" hidden="1" x14ac:dyDescent="0.6">
      <c r="A89" s="121">
        <v>1824100110</v>
      </c>
      <c r="B89" s="121" t="s">
        <v>17</v>
      </c>
      <c r="C89" s="121" t="s">
        <v>513</v>
      </c>
      <c r="D89" s="122">
        <v>44143.53</v>
      </c>
      <c r="E89" s="122">
        <v>0</v>
      </c>
      <c r="F89" s="125">
        <v>0</v>
      </c>
      <c r="G89" s="122">
        <v>45101.447861925837</v>
      </c>
      <c r="H89" s="123">
        <v>0</v>
      </c>
      <c r="I89" s="123">
        <v>0</v>
      </c>
      <c r="J89" s="123"/>
      <c r="K89" s="123"/>
      <c r="L89" s="226">
        <v>0</v>
      </c>
      <c r="M89" s="227">
        <f t="shared" si="2"/>
        <v>0</v>
      </c>
      <c r="N89" s="122">
        <v>12</v>
      </c>
      <c r="O89" s="122">
        <v>12</v>
      </c>
      <c r="P89" s="222">
        <v>0</v>
      </c>
      <c r="Q89" s="222">
        <v>0</v>
      </c>
      <c r="R89" s="223" t="e">
        <v>#DIV/0!</v>
      </c>
      <c r="S89" s="123"/>
      <c r="T89" s="123">
        <f t="shared" si="3"/>
        <v>0</v>
      </c>
      <c r="U89" s="224"/>
      <c r="Y89" s="193">
        <v>0</v>
      </c>
    </row>
    <row r="90" spans="1:25" s="193" customFormat="1" ht="28" x14ac:dyDescent="0.6">
      <c r="A90" s="121"/>
      <c r="B90" s="121"/>
      <c r="C90" s="121" t="s">
        <v>2217</v>
      </c>
      <c r="D90" s="122"/>
      <c r="E90" s="122"/>
      <c r="F90" s="125"/>
      <c r="G90" s="122"/>
      <c r="H90" s="123"/>
      <c r="I90" s="123"/>
      <c r="J90" s="123"/>
      <c r="K90" s="123">
        <v>1</v>
      </c>
      <c r="L90" s="226"/>
      <c r="M90" s="227">
        <f t="shared" si="2"/>
        <v>130000</v>
      </c>
      <c r="N90" s="122"/>
      <c r="O90" s="122"/>
      <c r="P90" s="222"/>
      <c r="Q90" s="222"/>
      <c r="R90" s="223"/>
      <c r="S90" s="123">
        <v>130000</v>
      </c>
      <c r="T90" s="123">
        <f t="shared" si="3"/>
        <v>0</v>
      </c>
      <c r="U90" s="224"/>
    </row>
    <row r="91" spans="1:25" s="193" customFormat="1" ht="28" x14ac:dyDescent="0.6">
      <c r="A91" s="121">
        <v>1828100110</v>
      </c>
      <c r="B91" s="121" t="s">
        <v>17</v>
      </c>
      <c r="C91" s="121" t="s">
        <v>515</v>
      </c>
      <c r="D91" s="122">
        <v>518348.24</v>
      </c>
      <c r="E91" s="122">
        <v>776000</v>
      </c>
      <c r="F91" s="125">
        <v>581660</v>
      </c>
      <c r="G91" s="122">
        <v>121005.64887833511</v>
      </c>
      <c r="H91" s="123">
        <v>2.5535999999999999</v>
      </c>
      <c r="I91" s="123">
        <v>2.5535999999999999</v>
      </c>
      <c r="J91" s="123">
        <f>'שכר מפורט'!G565</f>
        <v>5.3320000000000007</v>
      </c>
      <c r="K91" s="123">
        <f>'שכר מפורט'!S565</f>
        <v>5.3320000000000007</v>
      </c>
      <c r="L91" s="226">
        <v>662509.32999999996</v>
      </c>
      <c r="M91" s="227">
        <f t="shared" si="2"/>
        <v>751660</v>
      </c>
      <c r="N91" s="122">
        <v>12</v>
      </c>
      <c r="O91" s="122">
        <v>12</v>
      </c>
      <c r="P91" s="222">
        <v>581660</v>
      </c>
      <c r="Q91" s="222">
        <v>170000</v>
      </c>
      <c r="R91" s="223">
        <v>0.29226696007977171</v>
      </c>
      <c r="S91" s="123">
        <f>'שכר מפורט'!AF565</f>
        <v>751660</v>
      </c>
      <c r="T91" s="123">
        <f t="shared" si="3"/>
        <v>0</v>
      </c>
      <c r="U91" s="224" t="s">
        <v>2128</v>
      </c>
      <c r="V91" s="193" t="s">
        <v>2129</v>
      </c>
      <c r="Y91" s="193">
        <v>751660</v>
      </c>
    </row>
    <row r="92" spans="1:25" s="193" customFormat="1" ht="28" x14ac:dyDescent="0.6">
      <c r="A92" s="59">
        <v>1828200110</v>
      </c>
      <c r="B92" s="121" t="s">
        <v>17</v>
      </c>
      <c r="C92" s="61" t="s">
        <v>516</v>
      </c>
      <c r="D92" s="122">
        <v>259402.8</v>
      </c>
      <c r="E92" s="122">
        <v>284000</v>
      </c>
      <c r="F92" s="125">
        <v>554436.75210000004</v>
      </c>
      <c r="G92" s="122">
        <v>265031.83686630125</v>
      </c>
      <c r="H92" s="123">
        <v>2</v>
      </c>
      <c r="I92" s="123">
        <v>2</v>
      </c>
      <c r="J92" s="123">
        <f>'שכר מפורט'!G570</f>
        <v>3.5</v>
      </c>
      <c r="K92" s="123">
        <f>'שכר מפורט'!S570</f>
        <v>2</v>
      </c>
      <c r="L92" s="226">
        <v>284000</v>
      </c>
      <c r="M92" s="227">
        <f t="shared" si="2"/>
        <v>563986.19999999995</v>
      </c>
      <c r="N92" s="122">
        <v>12</v>
      </c>
      <c r="O92" s="122">
        <v>12</v>
      </c>
      <c r="P92" s="222">
        <v>554436.75210000004</v>
      </c>
      <c r="Q92" s="222">
        <v>9549.4478999999119</v>
      </c>
      <c r="R92" s="223">
        <v>1.72236920872041E-2</v>
      </c>
      <c r="S92" s="123">
        <f>'שכר מפורט'!AF570</f>
        <v>563986.19999999995</v>
      </c>
      <c r="T92" s="123">
        <f t="shared" si="3"/>
        <v>0</v>
      </c>
      <c r="U92" s="153" t="s">
        <v>928</v>
      </c>
      <c r="V92" s="193" t="s">
        <v>2130</v>
      </c>
      <c r="Y92" s="193">
        <v>563986.19999999995</v>
      </c>
    </row>
    <row r="93" spans="1:25" s="193" customFormat="1" ht="28" x14ac:dyDescent="0.6">
      <c r="A93" s="121">
        <v>1829200110</v>
      </c>
      <c r="B93" s="121" t="s">
        <v>17</v>
      </c>
      <c r="C93" s="121" t="s">
        <v>523</v>
      </c>
      <c r="D93" s="122">
        <v>688371.81</v>
      </c>
      <c r="E93" s="122">
        <v>715000</v>
      </c>
      <c r="F93" s="125">
        <v>602627.82902499998</v>
      </c>
      <c r="G93" s="122">
        <v>711520.48283514415</v>
      </c>
      <c r="H93" s="123">
        <v>4.1500000000000004</v>
      </c>
      <c r="I93" s="123">
        <v>3.65</v>
      </c>
      <c r="J93" s="123">
        <f>'שכר מפורט'!G578</f>
        <v>6.15</v>
      </c>
      <c r="K93" s="123">
        <f>'שכר מפורט'!S578</f>
        <v>3.8166666666666669</v>
      </c>
      <c r="L93" s="226">
        <v>716106.37</v>
      </c>
      <c r="M93" s="227">
        <f t="shared" si="2"/>
        <v>603361.60000000009</v>
      </c>
      <c r="N93" s="122">
        <v>12</v>
      </c>
      <c r="O93" s="122">
        <v>12</v>
      </c>
      <c r="P93" s="222">
        <v>648000</v>
      </c>
      <c r="Q93" s="222">
        <v>733.77097500010859</v>
      </c>
      <c r="R93" s="223">
        <v>1.2176188016197111E-3</v>
      </c>
      <c r="S93" s="123">
        <f>'שכר מפורט'!AF578</f>
        <v>603361.60000000009</v>
      </c>
      <c r="T93" s="123">
        <f t="shared" si="3"/>
        <v>0</v>
      </c>
      <c r="U93" s="224"/>
      <c r="V93" s="193" t="s">
        <v>2131</v>
      </c>
      <c r="Y93" s="193">
        <v>603361.60000000009</v>
      </c>
    </row>
    <row r="94" spans="1:25" s="193" customFormat="1" ht="28" x14ac:dyDescent="0.6">
      <c r="A94" s="121">
        <v>1841000110</v>
      </c>
      <c r="B94" s="121" t="s">
        <v>23</v>
      </c>
      <c r="C94" s="121" t="s">
        <v>139</v>
      </c>
      <c r="D94" s="122">
        <v>6924438.4900000002</v>
      </c>
      <c r="E94" s="122">
        <v>6401482.1471999995</v>
      </c>
      <c r="F94" s="125">
        <v>6486726.6729000015</v>
      </c>
      <c r="G94" s="122">
        <v>6575875.8111339314</v>
      </c>
      <c r="H94" s="123">
        <v>34.810899999999997</v>
      </c>
      <c r="I94" s="123">
        <v>33.860900000000008</v>
      </c>
      <c r="J94" s="123">
        <f>'שכר מפורט'!G622</f>
        <v>33.880000000000003</v>
      </c>
      <c r="K94" s="123">
        <f>'שכר מפורט'!S622</f>
        <v>33.880000000000003</v>
      </c>
      <c r="L94" s="226">
        <v>6425343.2400000002</v>
      </c>
      <c r="M94" s="227">
        <f t="shared" si="2"/>
        <v>6504073.2000000011</v>
      </c>
      <c r="N94" s="122">
        <v>12</v>
      </c>
      <c r="O94" s="122">
        <v>12</v>
      </c>
      <c r="P94" s="222">
        <v>6504000</v>
      </c>
      <c r="Q94" s="222">
        <v>17346.527099999599</v>
      </c>
      <c r="R94" s="223">
        <v>2.6741572405800996E-3</v>
      </c>
      <c r="S94" s="123">
        <f>'שכר מפורט'!AF622</f>
        <v>6504073.2000000011</v>
      </c>
      <c r="T94" s="123">
        <f t="shared" si="3"/>
        <v>0</v>
      </c>
      <c r="U94" s="224"/>
      <c r="Y94" s="193">
        <v>6504073.2000000011</v>
      </c>
    </row>
    <row r="95" spans="1:25" s="193" customFormat="1" ht="28" x14ac:dyDescent="0.6">
      <c r="A95" s="121">
        <v>1841100110</v>
      </c>
      <c r="B95" s="121" t="s">
        <v>23</v>
      </c>
      <c r="C95" s="121" t="s">
        <v>539</v>
      </c>
      <c r="D95" s="122">
        <v>92542.17</v>
      </c>
      <c r="E95" s="122">
        <v>18767.595840000002</v>
      </c>
      <c r="F95" s="125">
        <v>16198.222599999999</v>
      </c>
      <c r="G95" s="122">
        <v>90917.16970137872</v>
      </c>
      <c r="H95" s="123">
        <v>0</v>
      </c>
      <c r="I95" s="123">
        <v>0</v>
      </c>
      <c r="J95" s="123"/>
      <c r="K95" s="123"/>
      <c r="L95" s="226">
        <v>15959</v>
      </c>
      <c r="M95" s="227">
        <f t="shared" si="2"/>
        <v>0</v>
      </c>
      <c r="N95" s="122">
        <v>12</v>
      </c>
      <c r="O95" s="122">
        <v>12</v>
      </c>
      <c r="P95" s="222">
        <v>16198.222599999999</v>
      </c>
      <c r="Q95" s="222">
        <v>-16198.222599999999</v>
      </c>
      <c r="R95" s="223">
        <v>-1</v>
      </c>
      <c r="S95" s="123"/>
      <c r="T95" s="123">
        <f t="shared" si="3"/>
        <v>0</v>
      </c>
      <c r="U95" s="224" t="s">
        <v>2132</v>
      </c>
      <c r="V95" s="193" t="s">
        <v>2133</v>
      </c>
      <c r="Y95" s="193">
        <v>0</v>
      </c>
    </row>
    <row r="96" spans="1:25" s="193" customFormat="1" ht="28" x14ac:dyDescent="0.6">
      <c r="A96" s="121">
        <v>1842400110</v>
      </c>
      <c r="B96" s="121" t="s">
        <v>23</v>
      </c>
      <c r="C96" s="121" t="s">
        <v>541</v>
      </c>
      <c r="D96" s="122">
        <v>172040.05</v>
      </c>
      <c r="E96" s="122">
        <v>353000</v>
      </c>
      <c r="F96" s="125">
        <v>358425.41735</v>
      </c>
      <c r="G96" s="122">
        <v>175773.314623329</v>
      </c>
      <c r="H96" s="123">
        <v>2.15</v>
      </c>
      <c r="I96" s="123">
        <v>2.15</v>
      </c>
      <c r="J96" s="123">
        <f>'שכר מפורט'!G628</f>
        <v>2.4</v>
      </c>
      <c r="K96" s="123">
        <f>'שכר מפורט'!S628</f>
        <v>2.4000000000000004</v>
      </c>
      <c r="L96" s="226">
        <v>360371.57</v>
      </c>
      <c r="M96" s="227">
        <f t="shared" si="2"/>
        <v>441405.6</v>
      </c>
      <c r="N96" s="122">
        <v>12</v>
      </c>
      <c r="O96" s="122">
        <v>12</v>
      </c>
      <c r="P96" s="222">
        <v>441000</v>
      </c>
      <c r="Q96" s="222">
        <v>82980.182649999973</v>
      </c>
      <c r="R96" s="223">
        <v>0.23151310881775547</v>
      </c>
      <c r="S96" s="123">
        <f>'שכר מפורט'!AF628</f>
        <v>441405.6</v>
      </c>
      <c r="T96" s="123">
        <f t="shared" si="3"/>
        <v>0</v>
      </c>
      <c r="U96" s="224"/>
      <c r="Y96" s="193">
        <v>441405.6</v>
      </c>
    </row>
    <row r="97" spans="1:25" s="193" customFormat="1" ht="28" x14ac:dyDescent="0.6">
      <c r="A97" s="121">
        <v>1843500110</v>
      </c>
      <c r="B97" s="121" t="s">
        <v>23</v>
      </c>
      <c r="C97" s="121" t="s">
        <v>542</v>
      </c>
      <c r="D97" s="122">
        <v>108888.8</v>
      </c>
      <c r="E97" s="122">
        <v>106518.57552</v>
      </c>
      <c r="F97" s="125">
        <v>105372.2047</v>
      </c>
      <c r="G97" s="122">
        <v>111251.68622855567</v>
      </c>
      <c r="H97" s="123">
        <v>0.67500000000000004</v>
      </c>
      <c r="I97" s="123">
        <v>0.67500000000000004</v>
      </c>
      <c r="J97" s="123">
        <f>'שכר מפורט'!G631</f>
        <v>0.5</v>
      </c>
      <c r="K97" s="123">
        <f>'שכר מפורט'!S631</f>
        <v>0.5</v>
      </c>
      <c r="L97" s="226">
        <v>116015.31</v>
      </c>
      <c r="M97" s="227">
        <f t="shared" si="2"/>
        <v>105000</v>
      </c>
      <c r="N97" s="122">
        <v>12</v>
      </c>
      <c r="O97" s="122">
        <v>12</v>
      </c>
      <c r="P97" s="222">
        <v>105372.2047</v>
      </c>
      <c r="Q97" s="222">
        <v>-372.20470000000205</v>
      </c>
      <c r="R97" s="223">
        <v>-3.532285397839854E-3</v>
      </c>
      <c r="S97" s="123">
        <f>'שכר מפורט'!AF631</f>
        <v>105000</v>
      </c>
      <c r="T97" s="123">
        <f t="shared" si="3"/>
        <v>0</v>
      </c>
      <c r="U97" s="224"/>
      <c r="Y97" s="193">
        <v>105000</v>
      </c>
    </row>
    <row r="98" spans="1:25" s="193" customFormat="1" ht="28" x14ac:dyDescent="0.6">
      <c r="A98" s="121">
        <v>1845200110</v>
      </c>
      <c r="B98" s="121" t="s">
        <v>23</v>
      </c>
      <c r="C98" s="121" t="s">
        <v>550</v>
      </c>
      <c r="D98" s="122">
        <v>230940.96</v>
      </c>
      <c r="E98" s="122">
        <v>697000</v>
      </c>
      <c r="F98" s="125">
        <v>477059.70334999997</v>
      </c>
      <c r="G98" s="122">
        <v>231287.29759862111</v>
      </c>
      <c r="H98" s="123">
        <v>4.75</v>
      </c>
      <c r="I98" s="123">
        <v>3.75</v>
      </c>
      <c r="J98" s="123">
        <f>'שכר מפורט'!G639</f>
        <v>5.65</v>
      </c>
      <c r="K98" s="123">
        <f>'שכר מפורט'!S639</f>
        <v>4.8166666666666664</v>
      </c>
      <c r="L98" s="226">
        <v>688520.01</v>
      </c>
      <c r="M98" s="227">
        <f t="shared" si="2"/>
        <v>614865.76</v>
      </c>
      <c r="N98" s="122">
        <v>12</v>
      </c>
      <c r="O98" s="122">
        <v>12</v>
      </c>
      <c r="P98" s="222">
        <v>726000</v>
      </c>
      <c r="Q98" s="222">
        <v>137806.05665000004</v>
      </c>
      <c r="R98" s="223">
        <v>0.28886543064170134</v>
      </c>
      <c r="S98" s="123">
        <f>'שכר מפורט'!AF639</f>
        <v>614865.76</v>
      </c>
      <c r="T98" s="123">
        <f t="shared" si="3"/>
        <v>0</v>
      </c>
      <c r="U98" s="224" t="s">
        <v>929</v>
      </c>
      <c r="V98" s="193" t="s">
        <v>2134</v>
      </c>
      <c r="Y98" s="193">
        <v>614865.76</v>
      </c>
    </row>
    <row r="99" spans="1:25" s="193" customFormat="1" ht="28" x14ac:dyDescent="0.6">
      <c r="A99" s="121">
        <v>1845210110</v>
      </c>
      <c r="B99" s="121" t="s">
        <v>23</v>
      </c>
      <c r="C99" s="121" t="s">
        <v>552</v>
      </c>
      <c r="D99" s="122">
        <v>604438.02</v>
      </c>
      <c r="E99" s="122">
        <v>577008.77471999999</v>
      </c>
      <c r="F99" s="125">
        <v>534504.62309999997</v>
      </c>
      <c r="G99" s="122">
        <v>586130.32592046401</v>
      </c>
      <c r="H99" s="123">
        <v>4.4430000000000005</v>
      </c>
      <c r="I99" s="123">
        <v>4.4430000000000005</v>
      </c>
      <c r="J99" s="123">
        <f>'שכר מפורט'!G652</f>
        <v>4.5999999999999996</v>
      </c>
      <c r="K99" s="123">
        <f>'שכר מפורט'!S652</f>
        <v>4.5999999999999996</v>
      </c>
      <c r="L99" s="226">
        <v>582544.86</v>
      </c>
      <c r="M99" s="227">
        <f t="shared" si="2"/>
        <v>584860.55999999994</v>
      </c>
      <c r="N99" s="122">
        <v>12</v>
      </c>
      <c r="O99" s="122">
        <v>12</v>
      </c>
      <c r="P99" s="222">
        <v>584000</v>
      </c>
      <c r="Q99" s="222">
        <v>50355.936899999972</v>
      </c>
      <c r="R99" s="223">
        <v>9.4210479617458667E-2</v>
      </c>
      <c r="S99" s="123">
        <f>'שכר מפורט'!AF652</f>
        <v>584860.55999999994</v>
      </c>
      <c r="T99" s="123">
        <f t="shared" si="3"/>
        <v>0</v>
      </c>
      <c r="U99" s="224" t="s">
        <v>929</v>
      </c>
      <c r="Y99" s="193">
        <v>584860.55999999994</v>
      </c>
    </row>
    <row r="100" spans="1:25" s="193" customFormat="1" ht="28" x14ac:dyDescent="0.6">
      <c r="A100" s="121">
        <v>1846300110</v>
      </c>
      <c r="B100" s="121" t="s">
        <v>23</v>
      </c>
      <c r="C100" s="121" t="s">
        <v>553</v>
      </c>
      <c r="D100" s="122">
        <v>151855.43</v>
      </c>
      <c r="E100" s="122">
        <v>151748.91144</v>
      </c>
      <c r="F100" s="125">
        <v>154964.46524999998</v>
      </c>
      <c r="G100" s="122">
        <v>155150.69249969054</v>
      </c>
      <c r="H100" s="123">
        <v>1.25</v>
      </c>
      <c r="I100" s="123">
        <v>1.25</v>
      </c>
      <c r="J100" s="123">
        <f>'שכר מפורט'!G656</f>
        <v>1.25</v>
      </c>
      <c r="K100" s="123">
        <f>'שכר מפורט'!S656</f>
        <v>1.25</v>
      </c>
      <c r="L100" s="226">
        <v>152686.82999999999</v>
      </c>
      <c r="M100" s="227">
        <f t="shared" si="2"/>
        <v>155000</v>
      </c>
      <c r="N100" s="122">
        <v>12</v>
      </c>
      <c r="O100" s="122">
        <v>12</v>
      </c>
      <c r="P100" s="222">
        <v>155000</v>
      </c>
      <c r="Q100" s="222">
        <v>35.534750000020722</v>
      </c>
      <c r="R100" s="223">
        <v>2.2930902218578608E-4</v>
      </c>
      <c r="S100" s="123">
        <f>'שכר מפורט'!AF656</f>
        <v>155000</v>
      </c>
      <c r="T100" s="123">
        <f t="shared" si="3"/>
        <v>0</v>
      </c>
      <c r="U100" s="224"/>
      <c r="Y100" s="193">
        <v>155000</v>
      </c>
    </row>
    <row r="101" spans="1:25" s="193" customFormat="1" ht="28" hidden="1" x14ac:dyDescent="0.6">
      <c r="A101" s="121" t="s">
        <v>1</v>
      </c>
      <c r="B101" s="121" t="s">
        <v>23</v>
      </c>
      <c r="C101" s="121" t="s">
        <v>584</v>
      </c>
      <c r="D101" s="122" t="s">
        <v>8</v>
      </c>
      <c r="E101" s="122">
        <v>0</v>
      </c>
      <c r="F101" s="125"/>
      <c r="G101" s="122">
        <v>18914.220255885899</v>
      </c>
      <c r="H101" s="123"/>
      <c r="I101" s="123">
        <v>0</v>
      </c>
      <c r="J101" s="123"/>
      <c r="K101" s="123"/>
      <c r="L101" s="226">
        <v>0</v>
      </c>
      <c r="M101" s="227">
        <f t="shared" si="2"/>
        <v>0</v>
      </c>
      <c r="N101" s="122">
        <v>12</v>
      </c>
      <c r="O101" s="122">
        <v>12</v>
      </c>
      <c r="P101" s="222">
        <v>0</v>
      </c>
      <c r="Q101" s="222">
        <v>0</v>
      </c>
      <c r="R101" s="229" t="e">
        <v>#DIV/0!</v>
      </c>
      <c r="S101" s="123"/>
      <c r="T101" s="123">
        <f t="shared" si="3"/>
        <v>0</v>
      </c>
      <c r="U101" s="224"/>
    </row>
    <row r="102" spans="1:25" s="193" customFormat="1" ht="28" hidden="1" x14ac:dyDescent="0.6">
      <c r="A102" s="121" t="s">
        <v>1</v>
      </c>
      <c r="B102" s="121" t="s">
        <v>17</v>
      </c>
      <c r="C102" s="121" t="s">
        <v>132</v>
      </c>
      <c r="D102" s="122" t="s">
        <v>8</v>
      </c>
      <c r="E102" s="122">
        <v>0</v>
      </c>
      <c r="F102" s="125"/>
      <c r="G102" s="122">
        <v>415190.7137813858</v>
      </c>
      <c r="H102" s="123"/>
      <c r="I102" s="123"/>
      <c r="J102" s="123"/>
      <c r="K102" s="123"/>
      <c r="L102" s="226">
        <v>0</v>
      </c>
      <c r="M102" s="227">
        <f t="shared" si="2"/>
        <v>0</v>
      </c>
      <c r="N102" s="122">
        <v>12</v>
      </c>
      <c r="O102" s="122">
        <v>12</v>
      </c>
      <c r="P102" s="222">
        <v>0</v>
      </c>
      <c r="Q102" s="222">
        <v>0</v>
      </c>
      <c r="R102" s="229" t="e">
        <v>#DIV/0!</v>
      </c>
      <c r="S102" s="123"/>
      <c r="T102" s="123">
        <f t="shared" si="3"/>
        <v>0</v>
      </c>
      <c r="U102" s="224"/>
    </row>
    <row r="103" spans="1:25" s="193" customFormat="1" ht="28" hidden="1" x14ac:dyDescent="0.6">
      <c r="A103" s="121" t="s">
        <v>1</v>
      </c>
      <c r="B103" s="121" t="s">
        <v>23</v>
      </c>
      <c r="C103" s="121" t="s">
        <v>602</v>
      </c>
      <c r="D103" s="122" t="s">
        <v>8</v>
      </c>
      <c r="E103" s="122">
        <v>0</v>
      </c>
      <c r="F103" s="125"/>
      <c r="G103" s="122">
        <v>21059.124405822302</v>
      </c>
      <c r="H103" s="123"/>
      <c r="I103" s="123"/>
      <c r="J103" s="123"/>
      <c r="K103" s="123"/>
      <c r="L103" s="226">
        <v>0</v>
      </c>
      <c r="M103" s="227">
        <f t="shared" si="2"/>
        <v>0</v>
      </c>
      <c r="N103" s="122">
        <v>12</v>
      </c>
      <c r="O103" s="122">
        <v>12</v>
      </c>
      <c r="P103" s="222">
        <v>0</v>
      </c>
      <c r="Q103" s="222">
        <v>0</v>
      </c>
      <c r="R103" s="229" t="e">
        <v>#DIV/0!</v>
      </c>
      <c r="S103" s="123"/>
      <c r="T103" s="123">
        <f t="shared" si="3"/>
        <v>0</v>
      </c>
      <c r="U103" s="224"/>
    </row>
    <row r="104" spans="1:25" s="193" customFormat="1" ht="28" hidden="1" x14ac:dyDescent="0.6">
      <c r="A104" s="121" t="s">
        <v>1</v>
      </c>
      <c r="B104" s="121" t="s">
        <v>23</v>
      </c>
      <c r="C104" s="121" t="s">
        <v>602</v>
      </c>
      <c r="D104" s="122" t="s">
        <v>8</v>
      </c>
      <c r="E104" s="122">
        <v>0</v>
      </c>
      <c r="F104" s="125"/>
      <c r="G104" s="122">
        <v>3632.7646455801</v>
      </c>
      <c r="H104" s="123"/>
      <c r="I104" s="123"/>
      <c r="J104" s="123"/>
      <c r="K104" s="123"/>
      <c r="L104" s="226">
        <v>0</v>
      </c>
      <c r="M104" s="227">
        <f t="shared" si="2"/>
        <v>0</v>
      </c>
      <c r="N104" s="122">
        <v>12</v>
      </c>
      <c r="O104" s="122">
        <v>12</v>
      </c>
      <c r="P104" s="222">
        <v>0</v>
      </c>
      <c r="Q104" s="222">
        <v>0</v>
      </c>
      <c r="R104" s="229" t="e">
        <v>#DIV/0!</v>
      </c>
      <c r="S104" s="123"/>
      <c r="T104" s="123">
        <f t="shared" si="3"/>
        <v>0</v>
      </c>
      <c r="U104" s="224"/>
    </row>
    <row r="105" spans="1:25" s="193" customFormat="1" ht="28" hidden="1" x14ac:dyDescent="0.6">
      <c r="A105" s="121" t="s">
        <v>1</v>
      </c>
      <c r="B105" s="121" t="s">
        <v>23</v>
      </c>
      <c r="C105" s="121" t="s">
        <v>603</v>
      </c>
      <c r="D105" s="122" t="s">
        <v>8</v>
      </c>
      <c r="E105" s="122">
        <v>0</v>
      </c>
      <c r="F105" s="125"/>
      <c r="G105" s="122">
        <v>4665.2469041702007</v>
      </c>
      <c r="H105" s="123"/>
      <c r="I105" s="123"/>
      <c r="J105" s="123"/>
      <c r="K105" s="123"/>
      <c r="L105" s="226">
        <v>0</v>
      </c>
      <c r="M105" s="227">
        <f t="shared" si="2"/>
        <v>0</v>
      </c>
      <c r="N105" s="122">
        <v>12</v>
      </c>
      <c r="O105" s="122">
        <v>12</v>
      </c>
      <c r="P105" s="222">
        <v>0</v>
      </c>
      <c r="Q105" s="222">
        <v>0</v>
      </c>
      <c r="R105" s="229" t="e">
        <v>#DIV/0!</v>
      </c>
      <c r="S105" s="123"/>
      <c r="T105" s="123">
        <f t="shared" si="3"/>
        <v>0</v>
      </c>
      <c r="U105" s="224"/>
    </row>
    <row r="106" spans="1:25" s="193" customFormat="1" ht="28" x14ac:dyDescent="0.6">
      <c r="A106" s="121">
        <v>1861000110</v>
      </c>
      <c r="B106" s="121" t="s">
        <v>17</v>
      </c>
      <c r="C106" s="121" t="s">
        <v>567</v>
      </c>
      <c r="D106" s="122">
        <v>69225.710000000006</v>
      </c>
      <c r="E106" s="122">
        <v>75912</v>
      </c>
      <c r="F106" s="125">
        <v>77050.964199999988</v>
      </c>
      <c r="G106" s="122">
        <v>70727.9105777238</v>
      </c>
      <c r="H106" s="123">
        <v>0.75</v>
      </c>
      <c r="I106" s="123">
        <v>0.75</v>
      </c>
      <c r="J106" s="123">
        <f>'שכר מפורט'!G661</f>
        <v>0.75</v>
      </c>
      <c r="K106" s="123">
        <f>'שכר מפורט'!S661</f>
        <v>0.75</v>
      </c>
      <c r="L106" s="226">
        <v>75953.22</v>
      </c>
      <c r="M106" s="227">
        <f t="shared" si="2"/>
        <v>77636</v>
      </c>
      <c r="N106" s="122">
        <v>12</v>
      </c>
      <c r="O106" s="122">
        <v>12</v>
      </c>
      <c r="P106" s="222">
        <v>87000</v>
      </c>
      <c r="Q106" s="222">
        <v>585.03580000001239</v>
      </c>
      <c r="R106" s="223">
        <v>7.5928420374006492E-3</v>
      </c>
      <c r="S106" s="123">
        <f>'שכר מפורט'!AF661</f>
        <v>77636</v>
      </c>
      <c r="T106" s="123">
        <f t="shared" si="3"/>
        <v>0</v>
      </c>
      <c r="U106" s="224"/>
      <c r="Y106" s="193">
        <v>77636</v>
      </c>
    </row>
    <row r="107" spans="1:25" s="193" customFormat="1" ht="28" x14ac:dyDescent="0.6">
      <c r="A107" s="121">
        <v>1871000110</v>
      </c>
      <c r="B107" s="121" t="s">
        <v>17</v>
      </c>
      <c r="C107" s="121" t="s">
        <v>569</v>
      </c>
      <c r="D107" s="122">
        <v>489330.51</v>
      </c>
      <c r="E107" s="122">
        <v>684000</v>
      </c>
      <c r="F107" s="125">
        <v>728545.72559999977</v>
      </c>
      <c r="G107" s="122">
        <v>499948.98010533617</v>
      </c>
      <c r="H107" s="123">
        <v>3.7942</v>
      </c>
      <c r="I107" s="123">
        <v>3.7942</v>
      </c>
      <c r="J107" s="123">
        <f>'שכר מפורט'!G667</f>
        <v>4</v>
      </c>
      <c r="K107" s="123">
        <f>'שכר מפורט'!S667</f>
        <v>4</v>
      </c>
      <c r="L107" s="226">
        <v>683587.78</v>
      </c>
      <c r="M107" s="227">
        <f t="shared" si="2"/>
        <v>719987.64</v>
      </c>
      <c r="N107" s="122">
        <v>12</v>
      </c>
      <c r="O107" s="122">
        <v>12</v>
      </c>
      <c r="P107" s="222">
        <v>720000</v>
      </c>
      <c r="Q107" s="222">
        <v>-8558.0855999997584</v>
      </c>
      <c r="R107" s="223">
        <v>-1.1746806410746116E-2</v>
      </c>
      <c r="S107" s="123">
        <f>'שכר מפורט'!AF667</f>
        <v>719987.64</v>
      </c>
      <c r="T107" s="123">
        <f t="shared" si="3"/>
        <v>0</v>
      </c>
      <c r="U107" s="224" t="s">
        <v>930</v>
      </c>
      <c r="Y107" s="193">
        <v>719987.64</v>
      </c>
    </row>
    <row r="108" spans="1:25" s="193" customFormat="1" ht="28" hidden="1" x14ac:dyDescent="0.6">
      <c r="A108" s="121">
        <v>1972000110</v>
      </c>
      <c r="B108" s="121" t="s">
        <v>17</v>
      </c>
      <c r="C108" s="121" t="s">
        <v>573</v>
      </c>
      <c r="D108" s="122" t="s">
        <v>8</v>
      </c>
      <c r="E108" s="122">
        <v>0</v>
      </c>
      <c r="F108" s="125">
        <v>0</v>
      </c>
      <c r="G108" s="122">
        <v>0</v>
      </c>
      <c r="H108" s="123">
        <v>0</v>
      </c>
      <c r="I108" s="123">
        <v>0</v>
      </c>
      <c r="J108" s="123"/>
      <c r="K108" s="123"/>
      <c r="L108" s="226">
        <v>0</v>
      </c>
      <c r="M108" s="227">
        <f t="shared" si="2"/>
        <v>0</v>
      </c>
      <c r="N108" s="122">
        <v>12</v>
      </c>
      <c r="O108" s="122">
        <v>12</v>
      </c>
      <c r="P108" s="222">
        <v>0</v>
      </c>
      <c r="Q108" s="222">
        <v>0</v>
      </c>
      <c r="R108" s="229" t="e">
        <v>#DIV/0!</v>
      </c>
      <c r="S108" s="123"/>
      <c r="T108" s="123">
        <f t="shared" si="3"/>
        <v>0</v>
      </c>
      <c r="U108" s="224"/>
      <c r="Y108" s="193">
        <v>0</v>
      </c>
    </row>
    <row r="109" spans="1:25" s="193" customFormat="1" ht="28" hidden="1" x14ac:dyDescent="0.6">
      <c r="A109" s="121">
        <v>1990000210</v>
      </c>
      <c r="B109" s="121" t="s">
        <v>17</v>
      </c>
      <c r="C109" s="121" t="s">
        <v>576</v>
      </c>
      <c r="D109" s="122">
        <v>0</v>
      </c>
      <c r="E109" s="122"/>
      <c r="F109" s="125"/>
      <c r="G109" s="122">
        <v>0</v>
      </c>
      <c r="H109" s="123"/>
      <c r="I109" s="123"/>
      <c r="J109" s="123"/>
      <c r="K109" s="123"/>
      <c r="L109" s="226"/>
      <c r="M109" s="227">
        <f t="shared" si="2"/>
        <v>0</v>
      </c>
      <c r="N109" s="122">
        <v>12</v>
      </c>
      <c r="O109" s="122">
        <v>12</v>
      </c>
      <c r="P109" s="222">
        <v>0</v>
      </c>
      <c r="Q109" s="222">
        <v>0</v>
      </c>
      <c r="R109" s="229" t="e">
        <v>#DIV/0!</v>
      </c>
      <c r="S109" s="123"/>
      <c r="T109" s="123">
        <f t="shared" si="3"/>
        <v>0</v>
      </c>
      <c r="U109" s="224"/>
    </row>
    <row r="110" spans="1:25" s="193" customFormat="1" ht="28" x14ac:dyDescent="0.6">
      <c r="A110" s="121">
        <v>1990000310</v>
      </c>
      <c r="B110" s="121" t="s">
        <v>26</v>
      </c>
      <c r="C110" s="121" t="s">
        <v>577</v>
      </c>
      <c r="D110" s="122">
        <v>23382621.739999998</v>
      </c>
      <c r="E110" s="122">
        <v>23175695.531999998</v>
      </c>
      <c r="F110" s="125">
        <v>25022911.760071699</v>
      </c>
      <c r="G110" s="122">
        <v>26278745.476479296</v>
      </c>
      <c r="H110" s="123">
        <v>191.15609999999981</v>
      </c>
      <c r="I110" s="123">
        <v>197.96129999999999</v>
      </c>
      <c r="J110" s="123">
        <f>'שכר מפורט'!G1092</f>
        <v>207.26540000000006</v>
      </c>
      <c r="K110" s="123">
        <f>'שכר מפורט'!S1092-K111</f>
        <v>200.09873333333337</v>
      </c>
      <c r="L110" s="226">
        <v>23175695.531999998</v>
      </c>
      <c r="M110" s="227">
        <f t="shared" si="2"/>
        <v>24354527.540000029</v>
      </c>
      <c r="N110" s="122">
        <v>12</v>
      </c>
      <c r="O110" s="122">
        <v>12</v>
      </c>
      <c r="P110" s="222">
        <v>25022911.760071699</v>
      </c>
      <c r="Q110" s="222">
        <v>545223.77992833033</v>
      </c>
      <c r="R110" s="223">
        <v>2.1788982239801819E-2</v>
      </c>
      <c r="S110" s="123">
        <f>'שכר מפורט'!AF1096</f>
        <v>24354527.540000029</v>
      </c>
      <c r="T110" s="123">
        <f t="shared" si="3"/>
        <v>0</v>
      </c>
      <c r="U110" s="224" t="s">
        <v>931</v>
      </c>
      <c r="V110" s="193" t="s">
        <v>2135</v>
      </c>
      <c r="Y110" s="193">
        <v>25568135.540000029</v>
      </c>
    </row>
    <row r="111" spans="1:25" s="193" customFormat="1" ht="28" x14ac:dyDescent="0.6">
      <c r="A111" s="121">
        <v>1999000310</v>
      </c>
      <c r="B111" s="121" t="s">
        <v>26</v>
      </c>
      <c r="C111" s="121" t="s">
        <v>580</v>
      </c>
      <c r="D111" s="122">
        <v>87707.02</v>
      </c>
      <c r="E111" s="122">
        <v>119419.77599999998</v>
      </c>
      <c r="F111" s="125">
        <v>88154.688649999996</v>
      </c>
      <c r="G111" s="122">
        <v>89610.261455338012</v>
      </c>
      <c r="H111" s="123">
        <v>0.8899999999999999</v>
      </c>
      <c r="I111" s="123">
        <v>0.8899999999999999</v>
      </c>
      <c r="J111" s="123">
        <v>0.89</v>
      </c>
      <c r="K111" s="123">
        <v>0</v>
      </c>
      <c r="L111" s="226">
        <v>112373.24</v>
      </c>
      <c r="M111" s="227">
        <f t="shared" si="2"/>
        <v>0</v>
      </c>
      <c r="N111" s="122">
        <v>12</v>
      </c>
      <c r="O111" s="122">
        <v>12</v>
      </c>
      <c r="P111" s="222">
        <v>88154.688649999982</v>
      </c>
      <c r="Q111" s="222">
        <v>-88154.688649999996</v>
      </c>
      <c r="R111" s="223">
        <v>-1</v>
      </c>
      <c r="S111" s="227">
        <v>0</v>
      </c>
      <c r="T111" s="123">
        <f t="shared" si="3"/>
        <v>0</v>
      </c>
      <c r="U111" s="224"/>
      <c r="V111" s="193" t="s">
        <v>2136</v>
      </c>
    </row>
    <row r="113" spans="3:25" s="185" customFormat="1" ht="28" x14ac:dyDescent="0.6">
      <c r="C113" s="232" t="s">
        <v>976</v>
      </c>
      <c r="D113" s="233">
        <v>83045744.839999989</v>
      </c>
      <c r="E113" s="233">
        <v>85214835.727759987</v>
      </c>
      <c r="F113" s="234">
        <v>86253824.839192197</v>
      </c>
      <c r="G113" s="233">
        <v>82425524.923815727</v>
      </c>
      <c r="H113" s="233">
        <v>579.2615999999997</v>
      </c>
      <c r="I113" s="233">
        <f>SUM(I3:I111)</f>
        <v>583.66619999999989</v>
      </c>
      <c r="J113" s="233">
        <f>SUM(J3:J111)</f>
        <v>608.74389999999994</v>
      </c>
      <c r="K113" s="233">
        <f>SUM(K3:K111)</f>
        <v>577.87540000000001</v>
      </c>
      <c r="L113" s="233">
        <v>85389862.259920001</v>
      </c>
      <c r="M113" s="234">
        <f>SUM(M3:M112)</f>
        <v>86185933.382010624</v>
      </c>
      <c r="N113" s="233">
        <v>1308</v>
      </c>
      <c r="O113" s="233">
        <v>1308</v>
      </c>
      <c r="P113" s="233">
        <v>88517032.956405029</v>
      </c>
      <c r="Q113" s="233">
        <v>994637.57781841501</v>
      </c>
      <c r="R113" s="233"/>
      <c r="S113" s="234">
        <f>SUM(S3:S112)</f>
        <v>86185933.382010624</v>
      </c>
      <c r="T113" s="234"/>
      <c r="Y113" s="185">
        <v>87248462.41701062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96"/>
  <sheetViews>
    <sheetView rightToLeft="1" topLeftCell="A4" zoomScale="60" zoomScaleNormal="60" workbookViewId="0">
      <selection activeCell="AF70" sqref="AF70"/>
    </sheetView>
  </sheetViews>
  <sheetFormatPr defaultRowHeight="14" x14ac:dyDescent="0.3"/>
  <cols>
    <col min="1" max="1" width="5.83203125" style="192" customWidth="1"/>
    <col min="2" max="2" width="3.25" style="192" customWidth="1"/>
    <col min="3" max="3" width="5.08203125" style="192" customWidth="1"/>
    <col min="4" max="4" width="15.33203125" style="192" bestFit="1" customWidth="1"/>
    <col min="5" max="5" width="9.5" style="192" customWidth="1"/>
    <col min="6" max="6" width="16.5" style="192" customWidth="1"/>
    <col min="7" max="7" width="11.75" style="290" customWidth="1"/>
    <col min="8" max="8" width="9" style="192" hidden="1" customWidth="1"/>
    <col min="9" max="9" width="10.25" style="192" hidden="1" customWidth="1"/>
    <col min="10" max="10" width="9" style="192" hidden="1" customWidth="1"/>
    <col min="11" max="11" width="11.33203125" style="192" hidden="1" customWidth="1"/>
    <col min="12" max="18" width="9" style="192" hidden="1" customWidth="1"/>
    <col min="19" max="19" width="9" style="290" customWidth="1"/>
    <col min="20" max="20" width="15" style="192" bestFit="1" customWidth="1"/>
    <col min="21" max="21" width="12.33203125" style="291" customWidth="1"/>
    <col min="22" max="22" width="14" style="291" customWidth="1"/>
    <col min="23" max="23" width="15.58203125" style="291" customWidth="1"/>
    <col min="24" max="25" width="15.58203125" style="291" hidden="1" customWidth="1"/>
    <col min="26" max="26" width="15.58203125" style="291" customWidth="1"/>
    <col min="27" max="28" width="14.58203125" style="192" customWidth="1"/>
    <col min="29" max="29" width="13.75" style="192" customWidth="1"/>
    <col min="30" max="30" width="7.08203125" style="192" customWidth="1"/>
    <col min="31" max="31" width="14.58203125" style="192" customWidth="1"/>
    <col min="32" max="32" width="14.58203125" style="218" bestFit="1" customWidth="1"/>
    <col min="33" max="33" width="13.83203125" style="192" customWidth="1"/>
    <col min="34" max="256" width="9" style="192"/>
    <col min="257" max="257" width="5.83203125" style="192" customWidth="1"/>
    <col min="258" max="258" width="3.25" style="192" customWidth="1"/>
    <col min="259" max="259" width="5.08203125" style="192" customWidth="1"/>
    <col min="260" max="260" width="15.33203125" style="192" bestFit="1" customWidth="1"/>
    <col min="261" max="261" width="9.5" style="192" customWidth="1"/>
    <col min="262" max="262" width="16.5" style="192" customWidth="1"/>
    <col min="263" max="263" width="9.58203125" style="192" customWidth="1"/>
    <col min="264" max="274" width="0" style="192" hidden="1" customWidth="1"/>
    <col min="275" max="275" width="9" style="192" customWidth="1"/>
    <col min="276" max="276" width="15" style="192" bestFit="1" customWidth="1"/>
    <col min="277" max="277" width="12.33203125" style="192" customWidth="1"/>
    <col min="278" max="278" width="14" style="192" customWidth="1"/>
    <col min="279" max="279" width="15.58203125" style="192" customWidth="1"/>
    <col min="280" max="281" width="0" style="192" hidden="1" customWidth="1"/>
    <col min="282" max="282" width="15.58203125" style="192" customWidth="1"/>
    <col min="283" max="284" width="14.58203125" style="192" customWidth="1"/>
    <col min="285" max="285" width="13.75" style="192" customWidth="1"/>
    <col min="286" max="286" width="7.08203125" style="192" customWidth="1"/>
    <col min="287" max="287" width="14.58203125" style="192" customWidth="1"/>
    <col min="288" max="288" width="14.58203125" style="192" bestFit="1" customWidth="1"/>
    <col min="289" max="289" width="13.83203125" style="192" customWidth="1"/>
    <col min="290" max="512" width="9" style="192"/>
    <col min="513" max="513" width="5.83203125" style="192" customWidth="1"/>
    <col min="514" max="514" width="3.25" style="192" customWidth="1"/>
    <col min="515" max="515" width="5.08203125" style="192" customWidth="1"/>
    <col min="516" max="516" width="15.33203125" style="192" bestFit="1" customWidth="1"/>
    <col min="517" max="517" width="9.5" style="192" customWidth="1"/>
    <col min="518" max="518" width="16.5" style="192" customWidth="1"/>
    <col min="519" max="519" width="9.58203125" style="192" customWidth="1"/>
    <col min="520" max="530" width="0" style="192" hidden="1" customWidth="1"/>
    <col min="531" max="531" width="9" style="192" customWidth="1"/>
    <col min="532" max="532" width="15" style="192" bestFit="1" customWidth="1"/>
    <col min="533" max="533" width="12.33203125" style="192" customWidth="1"/>
    <col min="534" max="534" width="14" style="192" customWidth="1"/>
    <col min="535" max="535" width="15.58203125" style="192" customWidth="1"/>
    <col min="536" max="537" width="0" style="192" hidden="1" customWidth="1"/>
    <col min="538" max="538" width="15.58203125" style="192" customWidth="1"/>
    <col min="539" max="540" width="14.58203125" style="192" customWidth="1"/>
    <col min="541" max="541" width="13.75" style="192" customWidth="1"/>
    <col min="542" max="542" width="7.08203125" style="192" customWidth="1"/>
    <col min="543" max="543" width="14.58203125" style="192" customWidth="1"/>
    <col min="544" max="544" width="14.58203125" style="192" bestFit="1" customWidth="1"/>
    <col min="545" max="545" width="13.83203125" style="192" customWidth="1"/>
    <col min="546" max="768" width="9" style="192"/>
    <col min="769" max="769" width="5.83203125" style="192" customWidth="1"/>
    <col min="770" max="770" width="3.25" style="192" customWidth="1"/>
    <col min="771" max="771" width="5.08203125" style="192" customWidth="1"/>
    <col min="772" max="772" width="15.33203125" style="192" bestFit="1" customWidth="1"/>
    <col min="773" max="773" width="9.5" style="192" customWidth="1"/>
    <col min="774" max="774" width="16.5" style="192" customWidth="1"/>
    <col min="775" max="775" width="9.58203125" style="192" customWidth="1"/>
    <col min="776" max="786" width="0" style="192" hidden="1" customWidth="1"/>
    <col min="787" max="787" width="9" style="192" customWidth="1"/>
    <col min="788" max="788" width="15" style="192" bestFit="1" customWidth="1"/>
    <col min="789" max="789" width="12.33203125" style="192" customWidth="1"/>
    <col min="790" max="790" width="14" style="192" customWidth="1"/>
    <col min="791" max="791" width="15.58203125" style="192" customWidth="1"/>
    <col min="792" max="793" width="0" style="192" hidden="1" customWidth="1"/>
    <col min="794" max="794" width="15.58203125" style="192" customWidth="1"/>
    <col min="795" max="796" width="14.58203125" style="192" customWidth="1"/>
    <col min="797" max="797" width="13.75" style="192" customWidth="1"/>
    <col min="798" max="798" width="7.08203125" style="192" customWidth="1"/>
    <col min="799" max="799" width="14.58203125" style="192" customWidth="1"/>
    <col min="800" max="800" width="14.58203125" style="192" bestFit="1" customWidth="1"/>
    <col min="801" max="801" width="13.83203125" style="192" customWidth="1"/>
    <col min="802" max="1024" width="9" style="192"/>
    <col min="1025" max="1025" width="5.83203125" style="192" customWidth="1"/>
    <col min="1026" max="1026" width="3.25" style="192" customWidth="1"/>
    <col min="1027" max="1027" width="5.08203125" style="192" customWidth="1"/>
    <col min="1028" max="1028" width="15.33203125" style="192" bestFit="1" customWidth="1"/>
    <col min="1029" max="1029" width="9.5" style="192" customWidth="1"/>
    <col min="1030" max="1030" width="16.5" style="192" customWidth="1"/>
    <col min="1031" max="1031" width="9.58203125" style="192" customWidth="1"/>
    <col min="1032" max="1042" width="0" style="192" hidden="1" customWidth="1"/>
    <col min="1043" max="1043" width="9" style="192" customWidth="1"/>
    <col min="1044" max="1044" width="15" style="192" bestFit="1" customWidth="1"/>
    <col min="1045" max="1045" width="12.33203125" style="192" customWidth="1"/>
    <col min="1046" max="1046" width="14" style="192" customWidth="1"/>
    <col min="1047" max="1047" width="15.58203125" style="192" customWidth="1"/>
    <col min="1048" max="1049" width="0" style="192" hidden="1" customWidth="1"/>
    <col min="1050" max="1050" width="15.58203125" style="192" customWidth="1"/>
    <col min="1051" max="1052" width="14.58203125" style="192" customWidth="1"/>
    <col min="1053" max="1053" width="13.75" style="192" customWidth="1"/>
    <col min="1054" max="1054" width="7.08203125" style="192" customWidth="1"/>
    <col min="1055" max="1055" width="14.58203125" style="192" customWidth="1"/>
    <col min="1056" max="1056" width="14.58203125" style="192" bestFit="1" customWidth="1"/>
    <col min="1057" max="1057" width="13.83203125" style="192" customWidth="1"/>
    <col min="1058" max="1280" width="9" style="192"/>
    <col min="1281" max="1281" width="5.83203125" style="192" customWidth="1"/>
    <col min="1282" max="1282" width="3.25" style="192" customWidth="1"/>
    <col min="1283" max="1283" width="5.08203125" style="192" customWidth="1"/>
    <col min="1284" max="1284" width="15.33203125" style="192" bestFit="1" customWidth="1"/>
    <col min="1285" max="1285" width="9.5" style="192" customWidth="1"/>
    <col min="1286" max="1286" width="16.5" style="192" customWidth="1"/>
    <col min="1287" max="1287" width="9.58203125" style="192" customWidth="1"/>
    <col min="1288" max="1298" width="0" style="192" hidden="1" customWidth="1"/>
    <col min="1299" max="1299" width="9" style="192" customWidth="1"/>
    <col min="1300" max="1300" width="15" style="192" bestFit="1" customWidth="1"/>
    <col min="1301" max="1301" width="12.33203125" style="192" customWidth="1"/>
    <col min="1302" max="1302" width="14" style="192" customWidth="1"/>
    <col min="1303" max="1303" width="15.58203125" style="192" customWidth="1"/>
    <col min="1304" max="1305" width="0" style="192" hidden="1" customWidth="1"/>
    <col min="1306" max="1306" width="15.58203125" style="192" customWidth="1"/>
    <col min="1307" max="1308" width="14.58203125" style="192" customWidth="1"/>
    <col min="1309" max="1309" width="13.75" style="192" customWidth="1"/>
    <col min="1310" max="1310" width="7.08203125" style="192" customWidth="1"/>
    <col min="1311" max="1311" width="14.58203125" style="192" customWidth="1"/>
    <col min="1312" max="1312" width="14.58203125" style="192" bestFit="1" customWidth="1"/>
    <col min="1313" max="1313" width="13.83203125" style="192" customWidth="1"/>
    <col min="1314" max="1536" width="9" style="192"/>
    <col min="1537" max="1537" width="5.83203125" style="192" customWidth="1"/>
    <col min="1538" max="1538" width="3.25" style="192" customWidth="1"/>
    <col min="1539" max="1539" width="5.08203125" style="192" customWidth="1"/>
    <col min="1540" max="1540" width="15.33203125" style="192" bestFit="1" customWidth="1"/>
    <col min="1541" max="1541" width="9.5" style="192" customWidth="1"/>
    <col min="1542" max="1542" width="16.5" style="192" customWidth="1"/>
    <col min="1543" max="1543" width="9.58203125" style="192" customWidth="1"/>
    <col min="1544" max="1554" width="0" style="192" hidden="1" customWidth="1"/>
    <col min="1555" max="1555" width="9" style="192" customWidth="1"/>
    <col min="1556" max="1556" width="15" style="192" bestFit="1" customWidth="1"/>
    <col min="1557" max="1557" width="12.33203125" style="192" customWidth="1"/>
    <col min="1558" max="1558" width="14" style="192" customWidth="1"/>
    <col min="1559" max="1559" width="15.58203125" style="192" customWidth="1"/>
    <col min="1560" max="1561" width="0" style="192" hidden="1" customWidth="1"/>
    <col min="1562" max="1562" width="15.58203125" style="192" customWidth="1"/>
    <col min="1563" max="1564" width="14.58203125" style="192" customWidth="1"/>
    <col min="1565" max="1565" width="13.75" style="192" customWidth="1"/>
    <col min="1566" max="1566" width="7.08203125" style="192" customWidth="1"/>
    <col min="1567" max="1567" width="14.58203125" style="192" customWidth="1"/>
    <col min="1568" max="1568" width="14.58203125" style="192" bestFit="1" customWidth="1"/>
    <col min="1569" max="1569" width="13.83203125" style="192" customWidth="1"/>
    <col min="1570" max="1792" width="9" style="192"/>
    <col min="1793" max="1793" width="5.83203125" style="192" customWidth="1"/>
    <col min="1794" max="1794" width="3.25" style="192" customWidth="1"/>
    <col min="1795" max="1795" width="5.08203125" style="192" customWidth="1"/>
    <col min="1796" max="1796" width="15.33203125" style="192" bestFit="1" customWidth="1"/>
    <col min="1797" max="1797" width="9.5" style="192" customWidth="1"/>
    <col min="1798" max="1798" width="16.5" style="192" customWidth="1"/>
    <col min="1799" max="1799" width="9.58203125" style="192" customWidth="1"/>
    <col min="1800" max="1810" width="0" style="192" hidden="1" customWidth="1"/>
    <col min="1811" max="1811" width="9" style="192" customWidth="1"/>
    <col min="1812" max="1812" width="15" style="192" bestFit="1" customWidth="1"/>
    <col min="1813" max="1813" width="12.33203125" style="192" customWidth="1"/>
    <col min="1814" max="1814" width="14" style="192" customWidth="1"/>
    <col min="1815" max="1815" width="15.58203125" style="192" customWidth="1"/>
    <col min="1816" max="1817" width="0" style="192" hidden="1" customWidth="1"/>
    <col min="1818" max="1818" width="15.58203125" style="192" customWidth="1"/>
    <col min="1819" max="1820" width="14.58203125" style="192" customWidth="1"/>
    <col min="1821" max="1821" width="13.75" style="192" customWidth="1"/>
    <col min="1822" max="1822" width="7.08203125" style="192" customWidth="1"/>
    <col min="1823" max="1823" width="14.58203125" style="192" customWidth="1"/>
    <col min="1824" max="1824" width="14.58203125" style="192" bestFit="1" customWidth="1"/>
    <col min="1825" max="1825" width="13.83203125" style="192" customWidth="1"/>
    <col min="1826" max="2048" width="9" style="192"/>
    <col min="2049" max="2049" width="5.83203125" style="192" customWidth="1"/>
    <col min="2050" max="2050" width="3.25" style="192" customWidth="1"/>
    <col min="2051" max="2051" width="5.08203125" style="192" customWidth="1"/>
    <col min="2052" max="2052" width="15.33203125" style="192" bestFit="1" customWidth="1"/>
    <col min="2053" max="2053" width="9.5" style="192" customWidth="1"/>
    <col min="2054" max="2054" width="16.5" style="192" customWidth="1"/>
    <col min="2055" max="2055" width="9.58203125" style="192" customWidth="1"/>
    <col min="2056" max="2066" width="0" style="192" hidden="1" customWidth="1"/>
    <col min="2067" max="2067" width="9" style="192" customWidth="1"/>
    <col min="2068" max="2068" width="15" style="192" bestFit="1" customWidth="1"/>
    <col min="2069" max="2069" width="12.33203125" style="192" customWidth="1"/>
    <col min="2070" max="2070" width="14" style="192" customWidth="1"/>
    <col min="2071" max="2071" width="15.58203125" style="192" customWidth="1"/>
    <col min="2072" max="2073" width="0" style="192" hidden="1" customWidth="1"/>
    <col min="2074" max="2074" width="15.58203125" style="192" customWidth="1"/>
    <col min="2075" max="2076" width="14.58203125" style="192" customWidth="1"/>
    <col min="2077" max="2077" width="13.75" style="192" customWidth="1"/>
    <col min="2078" max="2078" width="7.08203125" style="192" customWidth="1"/>
    <col min="2079" max="2079" width="14.58203125" style="192" customWidth="1"/>
    <col min="2080" max="2080" width="14.58203125" style="192" bestFit="1" customWidth="1"/>
    <col min="2081" max="2081" width="13.83203125" style="192" customWidth="1"/>
    <col min="2082" max="2304" width="9" style="192"/>
    <col min="2305" max="2305" width="5.83203125" style="192" customWidth="1"/>
    <col min="2306" max="2306" width="3.25" style="192" customWidth="1"/>
    <col min="2307" max="2307" width="5.08203125" style="192" customWidth="1"/>
    <col min="2308" max="2308" width="15.33203125" style="192" bestFit="1" customWidth="1"/>
    <col min="2309" max="2309" width="9.5" style="192" customWidth="1"/>
    <col min="2310" max="2310" width="16.5" style="192" customWidth="1"/>
    <col min="2311" max="2311" width="9.58203125" style="192" customWidth="1"/>
    <col min="2312" max="2322" width="0" style="192" hidden="1" customWidth="1"/>
    <col min="2323" max="2323" width="9" style="192" customWidth="1"/>
    <col min="2324" max="2324" width="15" style="192" bestFit="1" customWidth="1"/>
    <col min="2325" max="2325" width="12.33203125" style="192" customWidth="1"/>
    <col min="2326" max="2326" width="14" style="192" customWidth="1"/>
    <col min="2327" max="2327" width="15.58203125" style="192" customWidth="1"/>
    <col min="2328" max="2329" width="0" style="192" hidden="1" customWidth="1"/>
    <col min="2330" max="2330" width="15.58203125" style="192" customWidth="1"/>
    <col min="2331" max="2332" width="14.58203125" style="192" customWidth="1"/>
    <col min="2333" max="2333" width="13.75" style="192" customWidth="1"/>
    <col min="2334" max="2334" width="7.08203125" style="192" customWidth="1"/>
    <col min="2335" max="2335" width="14.58203125" style="192" customWidth="1"/>
    <col min="2336" max="2336" width="14.58203125" style="192" bestFit="1" customWidth="1"/>
    <col min="2337" max="2337" width="13.83203125" style="192" customWidth="1"/>
    <col min="2338" max="2560" width="9" style="192"/>
    <col min="2561" max="2561" width="5.83203125" style="192" customWidth="1"/>
    <col min="2562" max="2562" width="3.25" style="192" customWidth="1"/>
    <col min="2563" max="2563" width="5.08203125" style="192" customWidth="1"/>
    <col min="2564" max="2564" width="15.33203125" style="192" bestFit="1" customWidth="1"/>
    <col min="2565" max="2565" width="9.5" style="192" customWidth="1"/>
    <col min="2566" max="2566" width="16.5" style="192" customWidth="1"/>
    <col min="2567" max="2567" width="9.58203125" style="192" customWidth="1"/>
    <col min="2568" max="2578" width="0" style="192" hidden="1" customWidth="1"/>
    <col min="2579" max="2579" width="9" style="192" customWidth="1"/>
    <col min="2580" max="2580" width="15" style="192" bestFit="1" customWidth="1"/>
    <col min="2581" max="2581" width="12.33203125" style="192" customWidth="1"/>
    <col min="2582" max="2582" width="14" style="192" customWidth="1"/>
    <col min="2583" max="2583" width="15.58203125" style="192" customWidth="1"/>
    <col min="2584" max="2585" width="0" style="192" hidden="1" customWidth="1"/>
    <col min="2586" max="2586" width="15.58203125" style="192" customWidth="1"/>
    <col min="2587" max="2588" width="14.58203125" style="192" customWidth="1"/>
    <col min="2589" max="2589" width="13.75" style="192" customWidth="1"/>
    <col min="2590" max="2590" width="7.08203125" style="192" customWidth="1"/>
    <col min="2591" max="2591" width="14.58203125" style="192" customWidth="1"/>
    <col min="2592" max="2592" width="14.58203125" style="192" bestFit="1" customWidth="1"/>
    <col min="2593" max="2593" width="13.83203125" style="192" customWidth="1"/>
    <col min="2594" max="2816" width="9" style="192"/>
    <col min="2817" max="2817" width="5.83203125" style="192" customWidth="1"/>
    <col min="2818" max="2818" width="3.25" style="192" customWidth="1"/>
    <col min="2819" max="2819" width="5.08203125" style="192" customWidth="1"/>
    <col min="2820" max="2820" width="15.33203125" style="192" bestFit="1" customWidth="1"/>
    <col min="2821" max="2821" width="9.5" style="192" customWidth="1"/>
    <col min="2822" max="2822" width="16.5" style="192" customWidth="1"/>
    <col min="2823" max="2823" width="9.58203125" style="192" customWidth="1"/>
    <col min="2824" max="2834" width="0" style="192" hidden="1" customWidth="1"/>
    <col min="2835" max="2835" width="9" style="192" customWidth="1"/>
    <col min="2836" max="2836" width="15" style="192" bestFit="1" customWidth="1"/>
    <col min="2837" max="2837" width="12.33203125" style="192" customWidth="1"/>
    <col min="2838" max="2838" width="14" style="192" customWidth="1"/>
    <col min="2839" max="2839" width="15.58203125" style="192" customWidth="1"/>
    <col min="2840" max="2841" width="0" style="192" hidden="1" customWidth="1"/>
    <col min="2842" max="2842" width="15.58203125" style="192" customWidth="1"/>
    <col min="2843" max="2844" width="14.58203125" style="192" customWidth="1"/>
    <col min="2845" max="2845" width="13.75" style="192" customWidth="1"/>
    <col min="2846" max="2846" width="7.08203125" style="192" customWidth="1"/>
    <col min="2847" max="2847" width="14.58203125" style="192" customWidth="1"/>
    <col min="2848" max="2848" width="14.58203125" style="192" bestFit="1" customWidth="1"/>
    <col min="2849" max="2849" width="13.83203125" style="192" customWidth="1"/>
    <col min="2850" max="3072" width="9" style="192"/>
    <col min="3073" max="3073" width="5.83203125" style="192" customWidth="1"/>
    <col min="3074" max="3074" width="3.25" style="192" customWidth="1"/>
    <col min="3075" max="3075" width="5.08203125" style="192" customWidth="1"/>
    <col min="3076" max="3076" width="15.33203125" style="192" bestFit="1" customWidth="1"/>
    <col min="3077" max="3077" width="9.5" style="192" customWidth="1"/>
    <col min="3078" max="3078" width="16.5" style="192" customWidth="1"/>
    <col min="3079" max="3079" width="9.58203125" style="192" customWidth="1"/>
    <col min="3080" max="3090" width="0" style="192" hidden="1" customWidth="1"/>
    <col min="3091" max="3091" width="9" style="192" customWidth="1"/>
    <col min="3092" max="3092" width="15" style="192" bestFit="1" customWidth="1"/>
    <col min="3093" max="3093" width="12.33203125" style="192" customWidth="1"/>
    <col min="3094" max="3094" width="14" style="192" customWidth="1"/>
    <col min="3095" max="3095" width="15.58203125" style="192" customWidth="1"/>
    <col min="3096" max="3097" width="0" style="192" hidden="1" customWidth="1"/>
    <col min="3098" max="3098" width="15.58203125" style="192" customWidth="1"/>
    <col min="3099" max="3100" width="14.58203125" style="192" customWidth="1"/>
    <col min="3101" max="3101" width="13.75" style="192" customWidth="1"/>
    <col min="3102" max="3102" width="7.08203125" style="192" customWidth="1"/>
    <col min="3103" max="3103" width="14.58203125" style="192" customWidth="1"/>
    <col min="3104" max="3104" width="14.58203125" style="192" bestFit="1" customWidth="1"/>
    <col min="3105" max="3105" width="13.83203125" style="192" customWidth="1"/>
    <col min="3106" max="3328" width="9" style="192"/>
    <col min="3329" max="3329" width="5.83203125" style="192" customWidth="1"/>
    <col min="3330" max="3330" width="3.25" style="192" customWidth="1"/>
    <col min="3331" max="3331" width="5.08203125" style="192" customWidth="1"/>
    <col min="3332" max="3332" width="15.33203125" style="192" bestFit="1" customWidth="1"/>
    <col min="3333" max="3333" width="9.5" style="192" customWidth="1"/>
    <col min="3334" max="3334" width="16.5" style="192" customWidth="1"/>
    <col min="3335" max="3335" width="9.58203125" style="192" customWidth="1"/>
    <col min="3336" max="3346" width="0" style="192" hidden="1" customWidth="1"/>
    <col min="3347" max="3347" width="9" style="192" customWidth="1"/>
    <col min="3348" max="3348" width="15" style="192" bestFit="1" customWidth="1"/>
    <col min="3349" max="3349" width="12.33203125" style="192" customWidth="1"/>
    <col min="3350" max="3350" width="14" style="192" customWidth="1"/>
    <col min="3351" max="3351" width="15.58203125" style="192" customWidth="1"/>
    <col min="3352" max="3353" width="0" style="192" hidden="1" customWidth="1"/>
    <col min="3354" max="3354" width="15.58203125" style="192" customWidth="1"/>
    <col min="3355" max="3356" width="14.58203125" style="192" customWidth="1"/>
    <col min="3357" max="3357" width="13.75" style="192" customWidth="1"/>
    <col min="3358" max="3358" width="7.08203125" style="192" customWidth="1"/>
    <col min="3359" max="3359" width="14.58203125" style="192" customWidth="1"/>
    <col min="3360" max="3360" width="14.58203125" style="192" bestFit="1" customWidth="1"/>
    <col min="3361" max="3361" width="13.83203125" style="192" customWidth="1"/>
    <col min="3362" max="3584" width="9" style="192"/>
    <col min="3585" max="3585" width="5.83203125" style="192" customWidth="1"/>
    <col min="3586" max="3586" width="3.25" style="192" customWidth="1"/>
    <col min="3587" max="3587" width="5.08203125" style="192" customWidth="1"/>
    <col min="3588" max="3588" width="15.33203125" style="192" bestFit="1" customWidth="1"/>
    <col min="3589" max="3589" width="9.5" style="192" customWidth="1"/>
    <col min="3590" max="3590" width="16.5" style="192" customWidth="1"/>
    <col min="3591" max="3591" width="9.58203125" style="192" customWidth="1"/>
    <col min="3592" max="3602" width="0" style="192" hidden="1" customWidth="1"/>
    <col min="3603" max="3603" width="9" style="192" customWidth="1"/>
    <col min="3604" max="3604" width="15" style="192" bestFit="1" customWidth="1"/>
    <col min="3605" max="3605" width="12.33203125" style="192" customWidth="1"/>
    <col min="3606" max="3606" width="14" style="192" customWidth="1"/>
    <col min="3607" max="3607" width="15.58203125" style="192" customWidth="1"/>
    <col min="3608" max="3609" width="0" style="192" hidden="1" customWidth="1"/>
    <col min="3610" max="3610" width="15.58203125" style="192" customWidth="1"/>
    <col min="3611" max="3612" width="14.58203125" style="192" customWidth="1"/>
    <col min="3613" max="3613" width="13.75" style="192" customWidth="1"/>
    <col min="3614" max="3614" width="7.08203125" style="192" customWidth="1"/>
    <col min="3615" max="3615" width="14.58203125" style="192" customWidth="1"/>
    <col min="3616" max="3616" width="14.58203125" style="192" bestFit="1" customWidth="1"/>
    <col min="3617" max="3617" width="13.83203125" style="192" customWidth="1"/>
    <col min="3618" max="3840" width="9" style="192"/>
    <col min="3841" max="3841" width="5.83203125" style="192" customWidth="1"/>
    <col min="3842" max="3842" width="3.25" style="192" customWidth="1"/>
    <col min="3843" max="3843" width="5.08203125" style="192" customWidth="1"/>
    <col min="3844" max="3844" width="15.33203125" style="192" bestFit="1" customWidth="1"/>
    <col min="3845" max="3845" width="9.5" style="192" customWidth="1"/>
    <col min="3846" max="3846" width="16.5" style="192" customWidth="1"/>
    <col min="3847" max="3847" width="9.58203125" style="192" customWidth="1"/>
    <col min="3848" max="3858" width="0" style="192" hidden="1" customWidth="1"/>
    <col min="3859" max="3859" width="9" style="192" customWidth="1"/>
    <col min="3860" max="3860" width="15" style="192" bestFit="1" customWidth="1"/>
    <col min="3861" max="3861" width="12.33203125" style="192" customWidth="1"/>
    <col min="3862" max="3862" width="14" style="192" customWidth="1"/>
    <col min="3863" max="3863" width="15.58203125" style="192" customWidth="1"/>
    <col min="3864" max="3865" width="0" style="192" hidden="1" customWidth="1"/>
    <col min="3866" max="3866" width="15.58203125" style="192" customWidth="1"/>
    <col min="3867" max="3868" width="14.58203125" style="192" customWidth="1"/>
    <col min="3869" max="3869" width="13.75" style="192" customWidth="1"/>
    <col min="3870" max="3870" width="7.08203125" style="192" customWidth="1"/>
    <col min="3871" max="3871" width="14.58203125" style="192" customWidth="1"/>
    <col min="3872" max="3872" width="14.58203125" style="192" bestFit="1" customWidth="1"/>
    <col min="3873" max="3873" width="13.83203125" style="192" customWidth="1"/>
    <col min="3874" max="4096" width="9" style="192"/>
    <col min="4097" max="4097" width="5.83203125" style="192" customWidth="1"/>
    <col min="4098" max="4098" width="3.25" style="192" customWidth="1"/>
    <col min="4099" max="4099" width="5.08203125" style="192" customWidth="1"/>
    <col min="4100" max="4100" width="15.33203125" style="192" bestFit="1" customWidth="1"/>
    <col min="4101" max="4101" width="9.5" style="192" customWidth="1"/>
    <col min="4102" max="4102" width="16.5" style="192" customWidth="1"/>
    <col min="4103" max="4103" width="9.58203125" style="192" customWidth="1"/>
    <col min="4104" max="4114" width="0" style="192" hidden="1" customWidth="1"/>
    <col min="4115" max="4115" width="9" style="192" customWidth="1"/>
    <col min="4116" max="4116" width="15" style="192" bestFit="1" customWidth="1"/>
    <col min="4117" max="4117" width="12.33203125" style="192" customWidth="1"/>
    <col min="4118" max="4118" width="14" style="192" customWidth="1"/>
    <col min="4119" max="4119" width="15.58203125" style="192" customWidth="1"/>
    <col min="4120" max="4121" width="0" style="192" hidden="1" customWidth="1"/>
    <col min="4122" max="4122" width="15.58203125" style="192" customWidth="1"/>
    <col min="4123" max="4124" width="14.58203125" style="192" customWidth="1"/>
    <col min="4125" max="4125" width="13.75" style="192" customWidth="1"/>
    <col min="4126" max="4126" width="7.08203125" style="192" customWidth="1"/>
    <col min="4127" max="4127" width="14.58203125" style="192" customWidth="1"/>
    <col min="4128" max="4128" width="14.58203125" style="192" bestFit="1" customWidth="1"/>
    <col min="4129" max="4129" width="13.83203125" style="192" customWidth="1"/>
    <col min="4130" max="4352" width="9" style="192"/>
    <col min="4353" max="4353" width="5.83203125" style="192" customWidth="1"/>
    <col min="4354" max="4354" width="3.25" style="192" customWidth="1"/>
    <col min="4355" max="4355" width="5.08203125" style="192" customWidth="1"/>
    <col min="4356" max="4356" width="15.33203125" style="192" bestFit="1" customWidth="1"/>
    <col min="4357" max="4357" width="9.5" style="192" customWidth="1"/>
    <col min="4358" max="4358" width="16.5" style="192" customWidth="1"/>
    <col min="4359" max="4359" width="9.58203125" style="192" customWidth="1"/>
    <col min="4360" max="4370" width="0" style="192" hidden="1" customWidth="1"/>
    <col min="4371" max="4371" width="9" style="192" customWidth="1"/>
    <col min="4372" max="4372" width="15" style="192" bestFit="1" customWidth="1"/>
    <col min="4373" max="4373" width="12.33203125" style="192" customWidth="1"/>
    <col min="4374" max="4374" width="14" style="192" customWidth="1"/>
    <col min="4375" max="4375" width="15.58203125" style="192" customWidth="1"/>
    <col min="4376" max="4377" width="0" style="192" hidden="1" customWidth="1"/>
    <col min="4378" max="4378" width="15.58203125" style="192" customWidth="1"/>
    <col min="4379" max="4380" width="14.58203125" style="192" customWidth="1"/>
    <col min="4381" max="4381" width="13.75" style="192" customWidth="1"/>
    <col min="4382" max="4382" width="7.08203125" style="192" customWidth="1"/>
    <col min="4383" max="4383" width="14.58203125" style="192" customWidth="1"/>
    <col min="4384" max="4384" width="14.58203125" style="192" bestFit="1" customWidth="1"/>
    <col min="4385" max="4385" width="13.83203125" style="192" customWidth="1"/>
    <col min="4386" max="4608" width="9" style="192"/>
    <col min="4609" max="4609" width="5.83203125" style="192" customWidth="1"/>
    <col min="4610" max="4610" width="3.25" style="192" customWidth="1"/>
    <col min="4611" max="4611" width="5.08203125" style="192" customWidth="1"/>
    <col min="4612" max="4612" width="15.33203125" style="192" bestFit="1" customWidth="1"/>
    <col min="4613" max="4613" width="9.5" style="192" customWidth="1"/>
    <col min="4614" max="4614" width="16.5" style="192" customWidth="1"/>
    <col min="4615" max="4615" width="9.58203125" style="192" customWidth="1"/>
    <col min="4616" max="4626" width="0" style="192" hidden="1" customWidth="1"/>
    <col min="4627" max="4627" width="9" style="192" customWidth="1"/>
    <col min="4628" max="4628" width="15" style="192" bestFit="1" customWidth="1"/>
    <col min="4629" max="4629" width="12.33203125" style="192" customWidth="1"/>
    <col min="4630" max="4630" width="14" style="192" customWidth="1"/>
    <col min="4631" max="4631" width="15.58203125" style="192" customWidth="1"/>
    <col min="4632" max="4633" width="0" style="192" hidden="1" customWidth="1"/>
    <col min="4634" max="4634" width="15.58203125" style="192" customWidth="1"/>
    <col min="4635" max="4636" width="14.58203125" style="192" customWidth="1"/>
    <col min="4637" max="4637" width="13.75" style="192" customWidth="1"/>
    <col min="4638" max="4638" width="7.08203125" style="192" customWidth="1"/>
    <col min="4639" max="4639" width="14.58203125" style="192" customWidth="1"/>
    <col min="4640" max="4640" width="14.58203125" style="192" bestFit="1" customWidth="1"/>
    <col min="4641" max="4641" width="13.83203125" style="192" customWidth="1"/>
    <col min="4642" max="4864" width="9" style="192"/>
    <col min="4865" max="4865" width="5.83203125" style="192" customWidth="1"/>
    <col min="4866" max="4866" width="3.25" style="192" customWidth="1"/>
    <col min="4867" max="4867" width="5.08203125" style="192" customWidth="1"/>
    <col min="4868" max="4868" width="15.33203125" style="192" bestFit="1" customWidth="1"/>
    <col min="4869" max="4869" width="9.5" style="192" customWidth="1"/>
    <col min="4870" max="4870" width="16.5" style="192" customWidth="1"/>
    <col min="4871" max="4871" width="9.58203125" style="192" customWidth="1"/>
    <col min="4872" max="4882" width="0" style="192" hidden="1" customWidth="1"/>
    <col min="4883" max="4883" width="9" style="192" customWidth="1"/>
    <col min="4884" max="4884" width="15" style="192" bestFit="1" customWidth="1"/>
    <col min="4885" max="4885" width="12.33203125" style="192" customWidth="1"/>
    <col min="4886" max="4886" width="14" style="192" customWidth="1"/>
    <col min="4887" max="4887" width="15.58203125" style="192" customWidth="1"/>
    <col min="4888" max="4889" width="0" style="192" hidden="1" customWidth="1"/>
    <col min="4890" max="4890" width="15.58203125" style="192" customWidth="1"/>
    <col min="4891" max="4892" width="14.58203125" style="192" customWidth="1"/>
    <col min="4893" max="4893" width="13.75" style="192" customWidth="1"/>
    <col min="4894" max="4894" width="7.08203125" style="192" customWidth="1"/>
    <col min="4895" max="4895" width="14.58203125" style="192" customWidth="1"/>
    <col min="4896" max="4896" width="14.58203125" style="192" bestFit="1" customWidth="1"/>
    <col min="4897" max="4897" width="13.83203125" style="192" customWidth="1"/>
    <col min="4898" max="5120" width="9" style="192"/>
    <col min="5121" max="5121" width="5.83203125" style="192" customWidth="1"/>
    <col min="5122" max="5122" width="3.25" style="192" customWidth="1"/>
    <col min="5123" max="5123" width="5.08203125" style="192" customWidth="1"/>
    <col min="5124" max="5124" width="15.33203125" style="192" bestFit="1" customWidth="1"/>
    <col min="5125" max="5125" width="9.5" style="192" customWidth="1"/>
    <col min="5126" max="5126" width="16.5" style="192" customWidth="1"/>
    <col min="5127" max="5127" width="9.58203125" style="192" customWidth="1"/>
    <col min="5128" max="5138" width="0" style="192" hidden="1" customWidth="1"/>
    <col min="5139" max="5139" width="9" style="192" customWidth="1"/>
    <col min="5140" max="5140" width="15" style="192" bestFit="1" customWidth="1"/>
    <col min="5141" max="5141" width="12.33203125" style="192" customWidth="1"/>
    <col min="5142" max="5142" width="14" style="192" customWidth="1"/>
    <col min="5143" max="5143" width="15.58203125" style="192" customWidth="1"/>
    <col min="5144" max="5145" width="0" style="192" hidden="1" customWidth="1"/>
    <col min="5146" max="5146" width="15.58203125" style="192" customWidth="1"/>
    <col min="5147" max="5148" width="14.58203125" style="192" customWidth="1"/>
    <col min="5149" max="5149" width="13.75" style="192" customWidth="1"/>
    <col min="5150" max="5150" width="7.08203125" style="192" customWidth="1"/>
    <col min="5151" max="5151" width="14.58203125" style="192" customWidth="1"/>
    <col min="5152" max="5152" width="14.58203125" style="192" bestFit="1" customWidth="1"/>
    <col min="5153" max="5153" width="13.83203125" style="192" customWidth="1"/>
    <col min="5154" max="5376" width="9" style="192"/>
    <col min="5377" max="5377" width="5.83203125" style="192" customWidth="1"/>
    <col min="5378" max="5378" width="3.25" style="192" customWidth="1"/>
    <col min="5379" max="5379" width="5.08203125" style="192" customWidth="1"/>
    <col min="5380" max="5380" width="15.33203125" style="192" bestFit="1" customWidth="1"/>
    <col min="5381" max="5381" width="9.5" style="192" customWidth="1"/>
    <col min="5382" max="5382" width="16.5" style="192" customWidth="1"/>
    <col min="5383" max="5383" width="9.58203125" style="192" customWidth="1"/>
    <col min="5384" max="5394" width="0" style="192" hidden="1" customWidth="1"/>
    <col min="5395" max="5395" width="9" style="192" customWidth="1"/>
    <col min="5396" max="5396" width="15" style="192" bestFit="1" customWidth="1"/>
    <col min="5397" max="5397" width="12.33203125" style="192" customWidth="1"/>
    <col min="5398" max="5398" width="14" style="192" customWidth="1"/>
    <col min="5399" max="5399" width="15.58203125" style="192" customWidth="1"/>
    <col min="5400" max="5401" width="0" style="192" hidden="1" customWidth="1"/>
    <col min="5402" max="5402" width="15.58203125" style="192" customWidth="1"/>
    <col min="5403" max="5404" width="14.58203125" style="192" customWidth="1"/>
    <col min="5405" max="5405" width="13.75" style="192" customWidth="1"/>
    <col min="5406" max="5406" width="7.08203125" style="192" customWidth="1"/>
    <col min="5407" max="5407" width="14.58203125" style="192" customWidth="1"/>
    <col min="5408" max="5408" width="14.58203125" style="192" bestFit="1" customWidth="1"/>
    <col min="5409" max="5409" width="13.83203125" style="192" customWidth="1"/>
    <col min="5410" max="5632" width="9" style="192"/>
    <col min="5633" max="5633" width="5.83203125" style="192" customWidth="1"/>
    <col min="5634" max="5634" width="3.25" style="192" customWidth="1"/>
    <col min="5635" max="5635" width="5.08203125" style="192" customWidth="1"/>
    <col min="5636" max="5636" width="15.33203125" style="192" bestFit="1" customWidth="1"/>
    <col min="5637" max="5637" width="9.5" style="192" customWidth="1"/>
    <col min="5638" max="5638" width="16.5" style="192" customWidth="1"/>
    <col min="5639" max="5639" width="9.58203125" style="192" customWidth="1"/>
    <col min="5640" max="5650" width="0" style="192" hidden="1" customWidth="1"/>
    <col min="5651" max="5651" width="9" style="192" customWidth="1"/>
    <col min="5652" max="5652" width="15" style="192" bestFit="1" customWidth="1"/>
    <col min="5653" max="5653" width="12.33203125" style="192" customWidth="1"/>
    <col min="5654" max="5654" width="14" style="192" customWidth="1"/>
    <col min="5655" max="5655" width="15.58203125" style="192" customWidth="1"/>
    <col min="5656" max="5657" width="0" style="192" hidden="1" customWidth="1"/>
    <col min="5658" max="5658" width="15.58203125" style="192" customWidth="1"/>
    <col min="5659" max="5660" width="14.58203125" style="192" customWidth="1"/>
    <col min="5661" max="5661" width="13.75" style="192" customWidth="1"/>
    <col min="5662" max="5662" width="7.08203125" style="192" customWidth="1"/>
    <col min="5663" max="5663" width="14.58203125" style="192" customWidth="1"/>
    <col min="5664" max="5664" width="14.58203125" style="192" bestFit="1" customWidth="1"/>
    <col min="5665" max="5665" width="13.83203125" style="192" customWidth="1"/>
    <col min="5666" max="5888" width="9" style="192"/>
    <col min="5889" max="5889" width="5.83203125" style="192" customWidth="1"/>
    <col min="5890" max="5890" width="3.25" style="192" customWidth="1"/>
    <col min="5891" max="5891" width="5.08203125" style="192" customWidth="1"/>
    <col min="5892" max="5892" width="15.33203125" style="192" bestFit="1" customWidth="1"/>
    <col min="5893" max="5893" width="9.5" style="192" customWidth="1"/>
    <col min="5894" max="5894" width="16.5" style="192" customWidth="1"/>
    <col min="5895" max="5895" width="9.58203125" style="192" customWidth="1"/>
    <col min="5896" max="5906" width="0" style="192" hidden="1" customWidth="1"/>
    <col min="5907" max="5907" width="9" style="192" customWidth="1"/>
    <col min="5908" max="5908" width="15" style="192" bestFit="1" customWidth="1"/>
    <col min="5909" max="5909" width="12.33203125" style="192" customWidth="1"/>
    <col min="5910" max="5910" width="14" style="192" customWidth="1"/>
    <col min="5911" max="5911" width="15.58203125" style="192" customWidth="1"/>
    <col min="5912" max="5913" width="0" style="192" hidden="1" customWidth="1"/>
    <col min="5914" max="5914" width="15.58203125" style="192" customWidth="1"/>
    <col min="5915" max="5916" width="14.58203125" style="192" customWidth="1"/>
    <col min="5917" max="5917" width="13.75" style="192" customWidth="1"/>
    <col min="5918" max="5918" width="7.08203125" style="192" customWidth="1"/>
    <col min="5919" max="5919" width="14.58203125" style="192" customWidth="1"/>
    <col min="5920" max="5920" width="14.58203125" style="192" bestFit="1" customWidth="1"/>
    <col min="5921" max="5921" width="13.83203125" style="192" customWidth="1"/>
    <col min="5922" max="6144" width="9" style="192"/>
    <col min="6145" max="6145" width="5.83203125" style="192" customWidth="1"/>
    <col min="6146" max="6146" width="3.25" style="192" customWidth="1"/>
    <col min="6147" max="6147" width="5.08203125" style="192" customWidth="1"/>
    <col min="6148" max="6148" width="15.33203125" style="192" bestFit="1" customWidth="1"/>
    <col min="6149" max="6149" width="9.5" style="192" customWidth="1"/>
    <col min="6150" max="6150" width="16.5" style="192" customWidth="1"/>
    <col min="6151" max="6151" width="9.58203125" style="192" customWidth="1"/>
    <col min="6152" max="6162" width="0" style="192" hidden="1" customWidth="1"/>
    <col min="6163" max="6163" width="9" style="192" customWidth="1"/>
    <col min="6164" max="6164" width="15" style="192" bestFit="1" customWidth="1"/>
    <col min="6165" max="6165" width="12.33203125" style="192" customWidth="1"/>
    <col min="6166" max="6166" width="14" style="192" customWidth="1"/>
    <col min="6167" max="6167" width="15.58203125" style="192" customWidth="1"/>
    <col min="6168" max="6169" width="0" style="192" hidden="1" customWidth="1"/>
    <col min="6170" max="6170" width="15.58203125" style="192" customWidth="1"/>
    <col min="6171" max="6172" width="14.58203125" style="192" customWidth="1"/>
    <col min="6173" max="6173" width="13.75" style="192" customWidth="1"/>
    <col min="6174" max="6174" width="7.08203125" style="192" customWidth="1"/>
    <col min="6175" max="6175" width="14.58203125" style="192" customWidth="1"/>
    <col min="6176" max="6176" width="14.58203125" style="192" bestFit="1" customWidth="1"/>
    <col min="6177" max="6177" width="13.83203125" style="192" customWidth="1"/>
    <col min="6178" max="6400" width="9" style="192"/>
    <col min="6401" max="6401" width="5.83203125" style="192" customWidth="1"/>
    <col min="6402" max="6402" width="3.25" style="192" customWidth="1"/>
    <col min="6403" max="6403" width="5.08203125" style="192" customWidth="1"/>
    <col min="6404" max="6404" width="15.33203125" style="192" bestFit="1" customWidth="1"/>
    <col min="6405" max="6405" width="9.5" style="192" customWidth="1"/>
    <col min="6406" max="6406" width="16.5" style="192" customWidth="1"/>
    <col min="6407" max="6407" width="9.58203125" style="192" customWidth="1"/>
    <col min="6408" max="6418" width="0" style="192" hidden="1" customWidth="1"/>
    <col min="6419" max="6419" width="9" style="192" customWidth="1"/>
    <col min="6420" max="6420" width="15" style="192" bestFit="1" customWidth="1"/>
    <col min="6421" max="6421" width="12.33203125" style="192" customWidth="1"/>
    <col min="6422" max="6422" width="14" style="192" customWidth="1"/>
    <col min="6423" max="6423" width="15.58203125" style="192" customWidth="1"/>
    <col min="6424" max="6425" width="0" style="192" hidden="1" customWidth="1"/>
    <col min="6426" max="6426" width="15.58203125" style="192" customWidth="1"/>
    <col min="6427" max="6428" width="14.58203125" style="192" customWidth="1"/>
    <col min="6429" max="6429" width="13.75" style="192" customWidth="1"/>
    <col min="6430" max="6430" width="7.08203125" style="192" customWidth="1"/>
    <col min="6431" max="6431" width="14.58203125" style="192" customWidth="1"/>
    <col min="6432" max="6432" width="14.58203125" style="192" bestFit="1" customWidth="1"/>
    <col min="6433" max="6433" width="13.83203125" style="192" customWidth="1"/>
    <col min="6434" max="6656" width="9" style="192"/>
    <col min="6657" max="6657" width="5.83203125" style="192" customWidth="1"/>
    <col min="6658" max="6658" width="3.25" style="192" customWidth="1"/>
    <col min="6659" max="6659" width="5.08203125" style="192" customWidth="1"/>
    <col min="6660" max="6660" width="15.33203125" style="192" bestFit="1" customWidth="1"/>
    <col min="6661" max="6661" width="9.5" style="192" customWidth="1"/>
    <col min="6662" max="6662" width="16.5" style="192" customWidth="1"/>
    <col min="6663" max="6663" width="9.58203125" style="192" customWidth="1"/>
    <col min="6664" max="6674" width="0" style="192" hidden="1" customWidth="1"/>
    <col min="6675" max="6675" width="9" style="192" customWidth="1"/>
    <col min="6676" max="6676" width="15" style="192" bestFit="1" customWidth="1"/>
    <col min="6677" max="6677" width="12.33203125" style="192" customWidth="1"/>
    <col min="6678" max="6678" width="14" style="192" customWidth="1"/>
    <col min="6679" max="6679" width="15.58203125" style="192" customWidth="1"/>
    <col min="6680" max="6681" width="0" style="192" hidden="1" customWidth="1"/>
    <col min="6682" max="6682" width="15.58203125" style="192" customWidth="1"/>
    <col min="6683" max="6684" width="14.58203125" style="192" customWidth="1"/>
    <col min="6685" max="6685" width="13.75" style="192" customWidth="1"/>
    <col min="6686" max="6686" width="7.08203125" style="192" customWidth="1"/>
    <col min="6687" max="6687" width="14.58203125" style="192" customWidth="1"/>
    <col min="6688" max="6688" width="14.58203125" style="192" bestFit="1" customWidth="1"/>
    <col min="6689" max="6689" width="13.83203125" style="192" customWidth="1"/>
    <col min="6690" max="6912" width="9" style="192"/>
    <col min="6913" max="6913" width="5.83203125" style="192" customWidth="1"/>
    <col min="6914" max="6914" width="3.25" style="192" customWidth="1"/>
    <col min="6915" max="6915" width="5.08203125" style="192" customWidth="1"/>
    <col min="6916" max="6916" width="15.33203125" style="192" bestFit="1" customWidth="1"/>
    <col min="6917" max="6917" width="9.5" style="192" customWidth="1"/>
    <col min="6918" max="6918" width="16.5" style="192" customWidth="1"/>
    <col min="6919" max="6919" width="9.58203125" style="192" customWidth="1"/>
    <col min="6920" max="6930" width="0" style="192" hidden="1" customWidth="1"/>
    <col min="6931" max="6931" width="9" style="192" customWidth="1"/>
    <col min="6932" max="6932" width="15" style="192" bestFit="1" customWidth="1"/>
    <col min="6933" max="6933" width="12.33203125" style="192" customWidth="1"/>
    <col min="6934" max="6934" width="14" style="192" customWidth="1"/>
    <col min="6935" max="6935" width="15.58203125" style="192" customWidth="1"/>
    <col min="6936" max="6937" width="0" style="192" hidden="1" customWidth="1"/>
    <col min="6938" max="6938" width="15.58203125" style="192" customWidth="1"/>
    <col min="6939" max="6940" width="14.58203125" style="192" customWidth="1"/>
    <col min="6941" max="6941" width="13.75" style="192" customWidth="1"/>
    <col min="6942" max="6942" width="7.08203125" style="192" customWidth="1"/>
    <col min="6943" max="6943" width="14.58203125" style="192" customWidth="1"/>
    <col min="6944" max="6944" width="14.58203125" style="192" bestFit="1" customWidth="1"/>
    <col min="6945" max="6945" width="13.83203125" style="192" customWidth="1"/>
    <col min="6946" max="7168" width="9" style="192"/>
    <col min="7169" max="7169" width="5.83203125" style="192" customWidth="1"/>
    <col min="7170" max="7170" width="3.25" style="192" customWidth="1"/>
    <col min="7171" max="7171" width="5.08203125" style="192" customWidth="1"/>
    <col min="7172" max="7172" width="15.33203125" style="192" bestFit="1" customWidth="1"/>
    <col min="7173" max="7173" width="9.5" style="192" customWidth="1"/>
    <col min="7174" max="7174" width="16.5" style="192" customWidth="1"/>
    <col min="7175" max="7175" width="9.58203125" style="192" customWidth="1"/>
    <col min="7176" max="7186" width="0" style="192" hidden="1" customWidth="1"/>
    <col min="7187" max="7187" width="9" style="192" customWidth="1"/>
    <col min="7188" max="7188" width="15" style="192" bestFit="1" customWidth="1"/>
    <col min="7189" max="7189" width="12.33203125" style="192" customWidth="1"/>
    <col min="7190" max="7190" width="14" style="192" customWidth="1"/>
    <col min="7191" max="7191" width="15.58203125" style="192" customWidth="1"/>
    <col min="7192" max="7193" width="0" style="192" hidden="1" customWidth="1"/>
    <col min="7194" max="7194" width="15.58203125" style="192" customWidth="1"/>
    <col min="7195" max="7196" width="14.58203125" style="192" customWidth="1"/>
    <col min="7197" max="7197" width="13.75" style="192" customWidth="1"/>
    <col min="7198" max="7198" width="7.08203125" style="192" customWidth="1"/>
    <col min="7199" max="7199" width="14.58203125" style="192" customWidth="1"/>
    <col min="7200" max="7200" width="14.58203125" style="192" bestFit="1" customWidth="1"/>
    <col min="7201" max="7201" width="13.83203125" style="192" customWidth="1"/>
    <col min="7202" max="7424" width="9" style="192"/>
    <col min="7425" max="7425" width="5.83203125" style="192" customWidth="1"/>
    <col min="7426" max="7426" width="3.25" style="192" customWidth="1"/>
    <col min="7427" max="7427" width="5.08203125" style="192" customWidth="1"/>
    <col min="7428" max="7428" width="15.33203125" style="192" bestFit="1" customWidth="1"/>
    <col min="7429" max="7429" width="9.5" style="192" customWidth="1"/>
    <col min="7430" max="7430" width="16.5" style="192" customWidth="1"/>
    <col min="7431" max="7431" width="9.58203125" style="192" customWidth="1"/>
    <col min="7432" max="7442" width="0" style="192" hidden="1" customWidth="1"/>
    <col min="7443" max="7443" width="9" style="192" customWidth="1"/>
    <col min="7444" max="7444" width="15" style="192" bestFit="1" customWidth="1"/>
    <col min="7445" max="7445" width="12.33203125" style="192" customWidth="1"/>
    <col min="7446" max="7446" width="14" style="192" customWidth="1"/>
    <col min="7447" max="7447" width="15.58203125" style="192" customWidth="1"/>
    <col min="7448" max="7449" width="0" style="192" hidden="1" customWidth="1"/>
    <col min="7450" max="7450" width="15.58203125" style="192" customWidth="1"/>
    <col min="7451" max="7452" width="14.58203125" style="192" customWidth="1"/>
    <col min="7453" max="7453" width="13.75" style="192" customWidth="1"/>
    <col min="7454" max="7454" width="7.08203125" style="192" customWidth="1"/>
    <col min="7455" max="7455" width="14.58203125" style="192" customWidth="1"/>
    <col min="7456" max="7456" width="14.58203125" style="192" bestFit="1" customWidth="1"/>
    <col min="7457" max="7457" width="13.83203125" style="192" customWidth="1"/>
    <col min="7458" max="7680" width="9" style="192"/>
    <col min="7681" max="7681" width="5.83203125" style="192" customWidth="1"/>
    <col min="7682" max="7682" width="3.25" style="192" customWidth="1"/>
    <col min="7683" max="7683" width="5.08203125" style="192" customWidth="1"/>
    <col min="7684" max="7684" width="15.33203125" style="192" bestFit="1" customWidth="1"/>
    <col min="7685" max="7685" width="9.5" style="192" customWidth="1"/>
    <col min="7686" max="7686" width="16.5" style="192" customWidth="1"/>
    <col min="7687" max="7687" width="9.58203125" style="192" customWidth="1"/>
    <col min="7688" max="7698" width="0" style="192" hidden="1" customWidth="1"/>
    <col min="7699" max="7699" width="9" style="192" customWidth="1"/>
    <col min="7700" max="7700" width="15" style="192" bestFit="1" customWidth="1"/>
    <col min="7701" max="7701" width="12.33203125" style="192" customWidth="1"/>
    <col min="7702" max="7702" width="14" style="192" customWidth="1"/>
    <col min="7703" max="7703" width="15.58203125" style="192" customWidth="1"/>
    <col min="7704" max="7705" width="0" style="192" hidden="1" customWidth="1"/>
    <col min="7706" max="7706" width="15.58203125" style="192" customWidth="1"/>
    <col min="7707" max="7708" width="14.58203125" style="192" customWidth="1"/>
    <col min="7709" max="7709" width="13.75" style="192" customWidth="1"/>
    <col min="7710" max="7710" width="7.08203125" style="192" customWidth="1"/>
    <col min="7711" max="7711" width="14.58203125" style="192" customWidth="1"/>
    <col min="7712" max="7712" width="14.58203125" style="192" bestFit="1" customWidth="1"/>
    <col min="7713" max="7713" width="13.83203125" style="192" customWidth="1"/>
    <col min="7714" max="7936" width="9" style="192"/>
    <col min="7937" max="7937" width="5.83203125" style="192" customWidth="1"/>
    <col min="7938" max="7938" width="3.25" style="192" customWidth="1"/>
    <col min="7939" max="7939" width="5.08203125" style="192" customWidth="1"/>
    <col min="7940" max="7940" width="15.33203125" style="192" bestFit="1" customWidth="1"/>
    <col min="7941" max="7941" width="9.5" style="192" customWidth="1"/>
    <col min="7942" max="7942" width="16.5" style="192" customWidth="1"/>
    <col min="7943" max="7943" width="9.58203125" style="192" customWidth="1"/>
    <col min="7944" max="7954" width="0" style="192" hidden="1" customWidth="1"/>
    <col min="7955" max="7955" width="9" style="192" customWidth="1"/>
    <col min="7956" max="7956" width="15" style="192" bestFit="1" customWidth="1"/>
    <col min="7957" max="7957" width="12.33203125" style="192" customWidth="1"/>
    <col min="7958" max="7958" width="14" style="192" customWidth="1"/>
    <col min="7959" max="7959" width="15.58203125" style="192" customWidth="1"/>
    <col min="7960" max="7961" width="0" style="192" hidden="1" customWidth="1"/>
    <col min="7962" max="7962" width="15.58203125" style="192" customWidth="1"/>
    <col min="7963" max="7964" width="14.58203125" style="192" customWidth="1"/>
    <col min="7965" max="7965" width="13.75" style="192" customWidth="1"/>
    <col min="7966" max="7966" width="7.08203125" style="192" customWidth="1"/>
    <col min="7967" max="7967" width="14.58203125" style="192" customWidth="1"/>
    <col min="7968" max="7968" width="14.58203125" style="192" bestFit="1" customWidth="1"/>
    <col min="7969" max="7969" width="13.83203125" style="192" customWidth="1"/>
    <col min="7970" max="8192" width="9" style="192"/>
    <col min="8193" max="8193" width="5.83203125" style="192" customWidth="1"/>
    <col min="8194" max="8194" width="3.25" style="192" customWidth="1"/>
    <col min="8195" max="8195" width="5.08203125" style="192" customWidth="1"/>
    <col min="8196" max="8196" width="15.33203125" style="192" bestFit="1" customWidth="1"/>
    <col min="8197" max="8197" width="9.5" style="192" customWidth="1"/>
    <col min="8198" max="8198" width="16.5" style="192" customWidth="1"/>
    <col min="8199" max="8199" width="9.58203125" style="192" customWidth="1"/>
    <col min="8200" max="8210" width="0" style="192" hidden="1" customWidth="1"/>
    <col min="8211" max="8211" width="9" style="192" customWidth="1"/>
    <col min="8212" max="8212" width="15" style="192" bestFit="1" customWidth="1"/>
    <col min="8213" max="8213" width="12.33203125" style="192" customWidth="1"/>
    <col min="8214" max="8214" width="14" style="192" customWidth="1"/>
    <col min="8215" max="8215" width="15.58203125" style="192" customWidth="1"/>
    <col min="8216" max="8217" width="0" style="192" hidden="1" customWidth="1"/>
    <col min="8218" max="8218" width="15.58203125" style="192" customWidth="1"/>
    <col min="8219" max="8220" width="14.58203125" style="192" customWidth="1"/>
    <col min="8221" max="8221" width="13.75" style="192" customWidth="1"/>
    <col min="8222" max="8222" width="7.08203125" style="192" customWidth="1"/>
    <col min="8223" max="8223" width="14.58203125" style="192" customWidth="1"/>
    <col min="8224" max="8224" width="14.58203125" style="192" bestFit="1" customWidth="1"/>
    <col min="8225" max="8225" width="13.83203125" style="192" customWidth="1"/>
    <col min="8226" max="8448" width="9" style="192"/>
    <col min="8449" max="8449" width="5.83203125" style="192" customWidth="1"/>
    <col min="8450" max="8450" width="3.25" style="192" customWidth="1"/>
    <col min="8451" max="8451" width="5.08203125" style="192" customWidth="1"/>
    <col min="8452" max="8452" width="15.33203125" style="192" bestFit="1" customWidth="1"/>
    <col min="8453" max="8453" width="9.5" style="192" customWidth="1"/>
    <col min="8454" max="8454" width="16.5" style="192" customWidth="1"/>
    <col min="8455" max="8455" width="9.58203125" style="192" customWidth="1"/>
    <col min="8456" max="8466" width="0" style="192" hidden="1" customWidth="1"/>
    <col min="8467" max="8467" width="9" style="192" customWidth="1"/>
    <col min="8468" max="8468" width="15" style="192" bestFit="1" customWidth="1"/>
    <col min="8469" max="8469" width="12.33203125" style="192" customWidth="1"/>
    <col min="8470" max="8470" width="14" style="192" customWidth="1"/>
    <col min="8471" max="8471" width="15.58203125" style="192" customWidth="1"/>
    <col min="8472" max="8473" width="0" style="192" hidden="1" customWidth="1"/>
    <col min="8474" max="8474" width="15.58203125" style="192" customWidth="1"/>
    <col min="8475" max="8476" width="14.58203125" style="192" customWidth="1"/>
    <col min="8477" max="8477" width="13.75" style="192" customWidth="1"/>
    <col min="8478" max="8478" width="7.08203125" style="192" customWidth="1"/>
    <col min="8479" max="8479" width="14.58203125" style="192" customWidth="1"/>
    <col min="8480" max="8480" width="14.58203125" style="192" bestFit="1" customWidth="1"/>
    <col min="8481" max="8481" width="13.83203125" style="192" customWidth="1"/>
    <col min="8482" max="8704" width="9" style="192"/>
    <col min="8705" max="8705" width="5.83203125" style="192" customWidth="1"/>
    <col min="8706" max="8706" width="3.25" style="192" customWidth="1"/>
    <col min="8707" max="8707" width="5.08203125" style="192" customWidth="1"/>
    <col min="8708" max="8708" width="15.33203125" style="192" bestFit="1" customWidth="1"/>
    <col min="8709" max="8709" width="9.5" style="192" customWidth="1"/>
    <col min="8710" max="8710" width="16.5" style="192" customWidth="1"/>
    <col min="8711" max="8711" width="9.58203125" style="192" customWidth="1"/>
    <col min="8712" max="8722" width="0" style="192" hidden="1" customWidth="1"/>
    <col min="8723" max="8723" width="9" style="192" customWidth="1"/>
    <col min="8724" max="8724" width="15" style="192" bestFit="1" customWidth="1"/>
    <col min="8725" max="8725" width="12.33203125" style="192" customWidth="1"/>
    <col min="8726" max="8726" width="14" style="192" customWidth="1"/>
    <col min="8727" max="8727" width="15.58203125" style="192" customWidth="1"/>
    <col min="8728" max="8729" width="0" style="192" hidden="1" customWidth="1"/>
    <col min="8730" max="8730" width="15.58203125" style="192" customWidth="1"/>
    <col min="8731" max="8732" width="14.58203125" style="192" customWidth="1"/>
    <col min="8733" max="8733" width="13.75" style="192" customWidth="1"/>
    <col min="8734" max="8734" width="7.08203125" style="192" customWidth="1"/>
    <col min="8735" max="8735" width="14.58203125" style="192" customWidth="1"/>
    <col min="8736" max="8736" width="14.58203125" style="192" bestFit="1" customWidth="1"/>
    <col min="8737" max="8737" width="13.83203125" style="192" customWidth="1"/>
    <col min="8738" max="8960" width="9" style="192"/>
    <col min="8961" max="8961" width="5.83203125" style="192" customWidth="1"/>
    <col min="8962" max="8962" width="3.25" style="192" customWidth="1"/>
    <col min="8963" max="8963" width="5.08203125" style="192" customWidth="1"/>
    <col min="8964" max="8964" width="15.33203125" style="192" bestFit="1" customWidth="1"/>
    <col min="8965" max="8965" width="9.5" style="192" customWidth="1"/>
    <col min="8966" max="8966" width="16.5" style="192" customWidth="1"/>
    <col min="8967" max="8967" width="9.58203125" style="192" customWidth="1"/>
    <col min="8968" max="8978" width="0" style="192" hidden="1" customWidth="1"/>
    <col min="8979" max="8979" width="9" style="192" customWidth="1"/>
    <col min="8980" max="8980" width="15" style="192" bestFit="1" customWidth="1"/>
    <col min="8981" max="8981" width="12.33203125" style="192" customWidth="1"/>
    <col min="8982" max="8982" width="14" style="192" customWidth="1"/>
    <col min="8983" max="8983" width="15.58203125" style="192" customWidth="1"/>
    <col min="8984" max="8985" width="0" style="192" hidden="1" customWidth="1"/>
    <col min="8986" max="8986" width="15.58203125" style="192" customWidth="1"/>
    <col min="8987" max="8988" width="14.58203125" style="192" customWidth="1"/>
    <col min="8989" max="8989" width="13.75" style="192" customWidth="1"/>
    <col min="8990" max="8990" width="7.08203125" style="192" customWidth="1"/>
    <col min="8991" max="8991" width="14.58203125" style="192" customWidth="1"/>
    <col min="8992" max="8992" width="14.58203125" style="192" bestFit="1" customWidth="1"/>
    <col min="8993" max="8993" width="13.83203125" style="192" customWidth="1"/>
    <col min="8994" max="9216" width="9" style="192"/>
    <col min="9217" max="9217" width="5.83203125" style="192" customWidth="1"/>
    <col min="9218" max="9218" width="3.25" style="192" customWidth="1"/>
    <col min="9219" max="9219" width="5.08203125" style="192" customWidth="1"/>
    <col min="9220" max="9220" width="15.33203125" style="192" bestFit="1" customWidth="1"/>
    <col min="9221" max="9221" width="9.5" style="192" customWidth="1"/>
    <col min="9222" max="9222" width="16.5" style="192" customWidth="1"/>
    <col min="9223" max="9223" width="9.58203125" style="192" customWidth="1"/>
    <col min="9224" max="9234" width="0" style="192" hidden="1" customWidth="1"/>
    <col min="9235" max="9235" width="9" style="192" customWidth="1"/>
    <col min="9236" max="9236" width="15" style="192" bestFit="1" customWidth="1"/>
    <col min="9237" max="9237" width="12.33203125" style="192" customWidth="1"/>
    <col min="9238" max="9238" width="14" style="192" customWidth="1"/>
    <col min="9239" max="9239" width="15.58203125" style="192" customWidth="1"/>
    <col min="9240" max="9241" width="0" style="192" hidden="1" customWidth="1"/>
    <col min="9242" max="9242" width="15.58203125" style="192" customWidth="1"/>
    <col min="9243" max="9244" width="14.58203125" style="192" customWidth="1"/>
    <col min="9245" max="9245" width="13.75" style="192" customWidth="1"/>
    <col min="9246" max="9246" width="7.08203125" style="192" customWidth="1"/>
    <col min="9247" max="9247" width="14.58203125" style="192" customWidth="1"/>
    <col min="9248" max="9248" width="14.58203125" style="192" bestFit="1" customWidth="1"/>
    <col min="9249" max="9249" width="13.83203125" style="192" customWidth="1"/>
    <col min="9250" max="9472" width="9" style="192"/>
    <col min="9473" max="9473" width="5.83203125" style="192" customWidth="1"/>
    <col min="9474" max="9474" width="3.25" style="192" customWidth="1"/>
    <col min="9475" max="9475" width="5.08203125" style="192" customWidth="1"/>
    <col min="9476" max="9476" width="15.33203125" style="192" bestFit="1" customWidth="1"/>
    <col min="9477" max="9477" width="9.5" style="192" customWidth="1"/>
    <col min="9478" max="9478" width="16.5" style="192" customWidth="1"/>
    <col min="9479" max="9479" width="9.58203125" style="192" customWidth="1"/>
    <col min="9480" max="9490" width="0" style="192" hidden="1" customWidth="1"/>
    <col min="9491" max="9491" width="9" style="192" customWidth="1"/>
    <col min="9492" max="9492" width="15" style="192" bestFit="1" customWidth="1"/>
    <col min="9493" max="9493" width="12.33203125" style="192" customWidth="1"/>
    <col min="9494" max="9494" width="14" style="192" customWidth="1"/>
    <col min="9495" max="9495" width="15.58203125" style="192" customWidth="1"/>
    <col min="9496" max="9497" width="0" style="192" hidden="1" customWidth="1"/>
    <col min="9498" max="9498" width="15.58203125" style="192" customWidth="1"/>
    <col min="9499" max="9500" width="14.58203125" style="192" customWidth="1"/>
    <col min="9501" max="9501" width="13.75" style="192" customWidth="1"/>
    <col min="9502" max="9502" width="7.08203125" style="192" customWidth="1"/>
    <col min="9503" max="9503" width="14.58203125" style="192" customWidth="1"/>
    <col min="9504" max="9504" width="14.58203125" style="192" bestFit="1" customWidth="1"/>
    <col min="9505" max="9505" width="13.83203125" style="192" customWidth="1"/>
    <col min="9506" max="9728" width="9" style="192"/>
    <col min="9729" max="9729" width="5.83203125" style="192" customWidth="1"/>
    <col min="9730" max="9730" width="3.25" style="192" customWidth="1"/>
    <col min="9731" max="9731" width="5.08203125" style="192" customWidth="1"/>
    <col min="9732" max="9732" width="15.33203125" style="192" bestFit="1" customWidth="1"/>
    <col min="9733" max="9733" width="9.5" style="192" customWidth="1"/>
    <col min="9734" max="9734" width="16.5" style="192" customWidth="1"/>
    <col min="9735" max="9735" width="9.58203125" style="192" customWidth="1"/>
    <col min="9736" max="9746" width="0" style="192" hidden="1" customWidth="1"/>
    <col min="9747" max="9747" width="9" style="192" customWidth="1"/>
    <col min="9748" max="9748" width="15" style="192" bestFit="1" customWidth="1"/>
    <col min="9749" max="9749" width="12.33203125" style="192" customWidth="1"/>
    <col min="9750" max="9750" width="14" style="192" customWidth="1"/>
    <col min="9751" max="9751" width="15.58203125" style="192" customWidth="1"/>
    <col min="9752" max="9753" width="0" style="192" hidden="1" customWidth="1"/>
    <col min="9754" max="9754" width="15.58203125" style="192" customWidth="1"/>
    <col min="9755" max="9756" width="14.58203125" style="192" customWidth="1"/>
    <col min="9757" max="9757" width="13.75" style="192" customWidth="1"/>
    <col min="9758" max="9758" width="7.08203125" style="192" customWidth="1"/>
    <col min="9759" max="9759" width="14.58203125" style="192" customWidth="1"/>
    <col min="9760" max="9760" width="14.58203125" style="192" bestFit="1" customWidth="1"/>
    <col min="9761" max="9761" width="13.83203125" style="192" customWidth="1"/>
    <col min="9762" max="9984" width="9" style="192"/>
    <col min="9985" max="9985" width="5.83203125" style="192" customWidth="1"/>
    <col min="9986" max="9986" width="3.25" style="192" customWidth="1"/>
    <col min="9987" max="9987" width="5.08203125" style="192" customWidth="1"/>
    <col min="9988" max="9988" width="15.33203125" style="192" bestFit="1" customWidth="1"/>
    <col min="9989" max="9989" width="9.5" style="192" customWidth="1"/>
    <col min="9990" max="9990" width="16.5" style="192" customWidth="1"/>
    <col min="9991" max="9991" width="9.58203125" style="192" customWidth="1"/>
    <col min="9992" max="10002" width="0" style="192" hidden="1" customWidth="1"/>
    <col min="10003" max="10003" width="9" style="192" customWidth="1"/>
    <col min="10004" max="10004" width="15" style="192" bestFit="1" customWidth="1"/>
    <col min="10005" max="10005" width="12.33203125" style="192" customWidth="1"/>
    <col min="10006" max="10006" width="14" style="192" customWidth="1"/>
    <col min="10007" max="10007" width="15.58203125" style="192" customWidth="1"/>
    <col min="10008" max="10009" width="0" style="192" hidden="1" customWidth="1"/>
    <col min="10010" max="10010" width="15.58203125" style="192" customWidth="1"/>
    <col min="10011" max="10012" width="14.58203125" style="192" customWidth="1"/>
    <col min="10013" max="10013" width="13.75" style="192" customWidth="1"/>
    <col min="10014" max="10014" width="7.08203125" style="192" customWidth="1"/>
    <col min="10015" max="10015" width="14.58203125" style="192" customWidth="1"/>
    <col min="10016" max="10016" width="14.58203125" style="192" bestFit="1" customWidth="1"/>
    <col min="10017" max="10017" width="13.83203125" style="192" customWidth="1"/>
    <col min="10018" max="10240" width="9" style="192"/>
    <col min="10241" max="10241" width="5.83203125" style="192" customWidth="1"/>
    <col min="10242" max="10242" width="3.25" style="192" customWidth="1"/>
    <col min="10243" max="10243" width="5.08203125" style="192" customWidth="1"/>
    <col min="10244" max="10244" width="15.33203125" style="192" bestFit="1" customWidth="1"/>
    <col min="10245" max="10245" width="9.5" style="192" customWidth="1"/>
    <col min="10246" max="10246" width="16.5" style="192" customWidth="1"/>
    <col min="10247" max="10247" width="9.58203125" style="192" customWidth="1"/>
    <col min="10248" max="10258" width="0" style="192" hidden="1" customWidth="1"/>
    <col min="10259" max="10259" width="9" style="192" customWidth="1"/>
    <col min="10260" max="10260" width="15" style="192" bestFit="1" customWidth="1"/>
    <col min="10261" max="10261" width="12.33203125" style="192" customWidth="1"/>
    <col min="10262" max="10262" width="14" style="192" customWidth="1"/>
    <col min="10263" max="10263" width="15.58203125" style="192" customWidth="1"/>
    <col min="10264" max="10265" width="0" style="192" hidden="1" customWidth="1"/>
    <col min="10266" max="10266" width="15.58203125" style="192" customWidth="1"/>
    <col min="10267" max="10268" width="14.58203125" style="192" customWidth="1"/>
    <col min="10269" max="10269" width="13.75" style="192" customWidth="1"/>
    <col min="10270" max="10270" width="7.08203125" style="192" customWidth="1"/>
    <col min="10271" max="10271" width="14.58203125" style="192" customWidth="1"/>
    <col min="10272" max="10272" width="14.58203125" style="192" bestFit="1" customWidth="1"/>
    <col min="10273" max="10273" width="13.83203125" style="192" customWidth="1"/>
    <col min="10274" max="10496" width="9" style="192"/>
    <col min="10497" max="10497" width="5.83203125" style="192" customWidth="1"/>
    <col min="10498" max="10498" width="3.25" style="192" customWidth="1"/>
    <col min="10499" max="10499" width="5.08203125" style="192" customWidth="1"/>
    <col min="10500" max="10500" width="15.33203125" style="192" bestFit="1" customWidth="1"/>
    <col min="10501" max="10501" width="9.5" style="192" customWidth="1"/>
    <col min="10502" max="10502" width="16.5" style="192" customWidth="1"/>
    <col min="10503" max="10503" width="9.58203125" style="192" customWidth="1"/>
    <col min="10504" max="10514" width="0" style="192" hidden="1" customWidth="1"/>
    <col min="10515" max="10515" width="9" style="192" customWidth="1"/>
    <col min="10516" max="10516" width="15" style="192" bestFit="1" customWidth="1"/>
    <col min="10517" max="10517" width="12.33203125" style="192" customWidth="1"/>
    <col min="10518" max="10518" width="14" style="192" customWidth="1"/>
    <col min="10519" max="10519" width="15.58203125" style="192" customWidth="1"/>
    <col min="10520" max="10521" width="0" style="192" hidden="1" customWidth="1"/>
    <col min="10522" max="10522" width="15.58203125" style="192" customWidth="1"/>
    <col min="10523" max="10524" width="14.58203125" style="192" customWidth="1"/>
    <col min="10525" max="10525" width="13.75" style="192" customWidth="1"/>
    <col min="10526" max="10526" width="7.08203125" style="192" customWidth="1"/>
    <col min="10527" max="10527" width="14.58203125" style="192" customWidth="1"/>
    <col min="10528" max="10528" width="14.58203125" style="192" bestFit="1" customWidth="1"/>
    <col min="10529" max="10529" width="13.83203125" style="192" customWidth="1"/>
    <col min="10530" max="10752" width="9" style="192"/>
    <col min="10753" max="10753" width="5.83203125" style="192" customWidth="1"/>
    <col min="10754" max="10754" width="3.25" style="192" customWidth="1"/>
    <col min="10755" max="10755" width="5.08203125" style="192" customWidth="1"/>
    <col min="10756" max="10756" width="15.33203125" style="192" bestFit="1" customWidth="1"/>
    <col min="10757" max="10757" width="9.5" style="192" customWidth="1"/>
    <col min="10758" max="10758" width="16.5" style="192" customWidth="1"/>
    <col min="10759" max="10759" width="9.58203125" style="192" customWidth="1"/>
    <col min="10760" max="10770" width="0" style="192" hidden="1" customWidth="1"/>
    <col min="10771" max="10771" width="9" style="192" customWidth="1"/>
    <col min="10772" max="10772" width="15" style="192" bestFit="1" customWidth="1"/>
    <col min="10773" max="10773" width="12.33203125" style="192" customWidth="1"/>
    <col min="10774" max="10774" width="14" style="192" customWidth="1"/>
    <col min="10775" max="10775" width="15.58203125" style="192" customWidth="1"/>
    <col min="10776" max="10777" width="0" style="192" hidden="1" customWidth="1"/>
    <col min="10778" max="10778" width="15.58203125" style="192" customWidth="1"/>
    <col min="10779" max="10780" width="14.58203125" style="192" customWidth="1"/>
    <col min="10781" max="10781" width="13.75" style="192" customWidth="1"/>
    <col min="10782" max="10782" width="7.08203125" style="192" customWidth="1"/>
    <col min="10783" max="10783" width="14.58203125" style="192" customWidth="1"/>
    <col min="10784" max="10784" width="14.58203125" style="192" bestFit="1" customWidth="1"/>
    <col min="10785" max="10785" width="13.83203125" style="192" customWidth="1"/>
    <col min="10786" max="11008" width="9" style="192"/>
    <col min="11009" max="11009" width="5.83203125" style="192" customWidth="1"/>
    <col min="11010" max="11010" width="3.25" style="192" customWidth="1"/>
    <col min="11011" max="11011" width="5.08203125" style="192" customWidth="1"/>
    <col min="11012" max="11012" width="15.33203125" style="192" bestFit="1" customWidth="1"/>
    <col min="11013" max="11013" width="9.5" style="192" customWidth="1"/>
    <col min="11014" max="11014" width="16.5" style="192" customWidth="1"/>
    <col min="11015" max="11015" width="9.58203125" style="192" customWidth="1"/>
    <col min="11016" max="11026" width="0" style="192" hidden="1" customWidth="1"/>
    <col min="11027" max="11027" width="9" style="192" customWidth="1"/>
    <col min="11028" max="11028" width="15" style="192" bestFit="1" customWidth="1"/>
    <col min="11029" max="11029" width="12.33203125" style="192" customWidth="1"/>
    <col min="11030" max="11030" width="14" style="192" customWidth="1"/>
    <col min="11031" max="11031" width="15.58203125" style="192" customWidth="1"/>
    <col min="11032" max="11033" width="0" style="192" hidden="1" customWidth="1"/>
    <col min="11034" max="11034" width="15.58203125" style="192" customWidth="1"/>
    <col min="11035" max="11036" width="14.58203125" style="192" customWidth="1"/>
    <col min="11037" max="11037" width="13.75" style="192" customWidth="1"/>
    <col min="11038" max="11038" width="7.08203125" style="192" customWidth="1"/>
    <col min="11039" max="11039" width="14.58203125" style="192" customWidth="1"/>
    <col min="11040" max="11040" width="14.58203125" style="192" bestFit="1" customWidth="1"/>
    <col min="11041" max="11041" width="13.83203125" style="192" customWidth="1"/>
    <col min="11042" max="11264" width="9" style="192"/>
    <col min="11265" max="11265" width="5.83203125" style="192" customWidth="1"/>
    <col min="11266" max="11266" width="3.25" style="192" customWidth="1"/>
    <col min="11267" max="11267" width="5.08203125" style="192" customWidth="1"/>
    <col min="11268" max="11268" width="15.33203125" style="192" bestFit="1" customWidth="1"/>
    <col min="11269" max="11269" width="9.5" style="192" customWidth="1"/>
    <col min="11270" max="11270" width="16.5" style="192" customWidth="1"/>
    <col min="11271" max="11271" width="9.58203125" style="192" customWidth="1"/>
    <col min="11272" max="11282" width="0" style="192" hidden="1" customWidth="1"/>
    <col min="11283" max="11283" width="9" style="192" customWidth="1"/>
    <col min="11284" max="11284" width="15" style="192" bestFit="1" customWidth="1"/>
    <col min="11285" max="11285" width="12.33203125" style="192" customWidth="1"/>
    <col min="11286" max="11286" width="14" style="192" customWidth="1"/>
    <col min="11287" max="11287" width="15.58203125" style="192" customWidth="1"/>
    <col min="11288" max="11289" width="0" style="192" hidden="1" customWidth="1"/>
    <col min="11290" max="11290" width="15.58203125" style="192" customWidth="1"/>
    <col min="11291" max="11292" width="14.58203125" style="192" customWidth="1"/>
    <col min="11293" max="11293" width="13.75" style="192" customWidth="1"/>
    <col min="11294" max="11294" width="7.08203125" style="192" customWidth="1"/>
    <col min="11295" max="11295" width="14.58203125" style="192" customWidth="1"/>
    <col min="11296" max="11296" width="14.58203125" style="192" bestFit="1" customWidth="1"/>
    <col min="11297" max="11297" width="13.83203125" style="192" customWidth="1"/>
    <col min="11298" max="11520" width="9" style="192"/>
    <col min="11521" max="11521" width="5.83203125" style="192" customWidth="1"/>
    <col min="11522" max="11522" width="3.25" style="192" customWidth="1"/>
    <col min="11523" max="11523" width="5.08203125" style="192" customWidth="1"/>
    <col min="11524" max="11524" width="15.33203125" style="192" bestFit="1" customWidth="1"/>
    <col min="11525" max="11525" width="9.5" style="192" customWidth="1"/>
    <col min="11526" max="11526" width="16.5" style="192" customWidth="1"/>
    <col min="11527" max="11527" width="9.58203125" style="192" customWidth="1"/>
    <col min="11528" max="11538" width="0" style="192" hidden="1" customWidth="1"/>
    <col min="11539" max="11539" width="9" style="192" customWidth="1"/>
    <col min="11540" max="11540" width="15" style="192" bestFit="1" customWidth="1"/>
    <col min="11541" max="11541" width="12.33203125" style="192" customWidth="1"/>
    <col min="11542" max="11542" width="14" style="192" customWidth="1"/>
    <col min="11543" max="11543" width="15.58203125" style="192" customWidth="1"/>
    <col min="11544" max="11545" width="0" style="192" hidden="1" customWidth="1"/>
    <col min="11546" max="11546" width="15.58203125" style="192" customWidth="1"/>
    <col min="11547" max="11548" width="14.58203125" style="192" customWidth="1"/>
    <col min="11549" max="11549" width="13.75" style="192" customWidth="1"/>
    <col min="11550" max="11550" width="7.08203125" style="192" customWidth="1"/>
    <col min="11551" max="11551" width="14.58203125" style="192" customWidth="1"/>
    <col min="11552" max="11552" width="14.58203125" style="192" bestFit="1" customWidth="1"/>
    <col min="11553" max="11553" width="13.83203125" style="192" customWidth="1"/>
    <col min="11554" max="11776" width="9" style="192"/>
    <col min="11777" max="11777" width="5.83203125" style="192" customWidth="1"/>
    <col min="11778" max="11778" width="3.25" style="192" customWidth="1"/>
    <col min="11779" max="11779" width="5.08203125" style="192" customWidth="1"/>
    <col min="11780" max="11780" width="15.33203125" style="192" bestFit="1" customWidth="1"/>
    <col min="11781" max="11781" width="9.5" style="192" customWidth="1"/>
    <col min="11782" max="11782" width="16.5" style="192" customWidth="1"/>
    <col min="11783" max="11783" width="9.58203125" style="192" customWidth="1"/>
    <col min="11784" max="11794" width="0" style="192" hidden="1" customWidth="1"/>
    <col min="11795" max="11795" width="9" style="192" customWidth="1"/>
    <col min="11796" max="11796" width="15" style="192" bestFit="1" customWidth="1"/>
    <col min="11797" max="11797" width="12.33203125" style="192" customWidth="1"/>
    <col min="11798" max="11798" width="14" style="192" customWidth="1"/>
    <col min="11799" max="11799" width="15.58203125" style="192" customWidth="1"/>
    <col min="11800" max="11801" width="0" style="192" hidden="1" customWidth="1"/>
    <col min="11802" max="11802" width="15.58203125" style="192" customWidth="1"/>
    <col min="11803" max="11804" width="14.58203125" style="192" customWidth="1"/>
    <col min="11805" max="11805" width="13.75" style="192" customWidth="1"/>
    <col min="11806" max="11806" width="7.08203125" style="192" customWidth="1"/>
    <col min="11807" max="11807" width="14.58203125" style="192" customWidth="1"/>
    <col min="11808" max="11808" width="14.58203125" style="192" bestFit="1" customWidth="1"/>
    <col min="11809" max="11809" width="13.83203125" style="192" customWidth="1"/>
    <col min="11810" max="12032" width="9" style="192"/>
    <col min="12033" max="12033" width="5.83203125" style="192" customWidth="1"/>
    <col min="12034" max="12034" width="3.25" style="192" customWidth="1"/>
    <col min="12035" max="12035" width="5.08203125" style="192" customWidth="1"/>
    <col min="12036" max="12036" width="15.33203125" style="192" bestFit="1" customWidth="1"/>
    <col min="12037" max="12037" width="9.5" style="192" customWidth="1"/>
    <col min="12038" max="12038" width="16.5" style="192" customWidth="1"/>
    <col min="12039" max="12039" width="9.58203125" style="192" customWidth="1"/>
    <col min="12040" max="12050" width="0" style="192" hidden="1" customWidth="1"/>
    <col min="12051" max="12051" width="9" style="192" customWidth="1"/>
    <col min="12052" max="12052" width="15" style="192" bestFit="1" customWidth="1"/>
    <col min="12053" max="12053" width="12.33203125" style="192" customWidth="1"/>
    <col min="12054" max="12054" width="14" style="192" customWidth="1"/>
    <col min="12055" max="12055" width="15.58203125" style="192" customWidth="1"/>
    <col min="12056" max="12057" width="0" style="192" hidden="1" customWidth="1"/>
    <col min="12058" max="12058" width="15.58203125" style="192" customWidth="1"/>
    <col min="12059" max="12060" width="14.58203125" style="192" customWidth="1"/>
    <col min="12061" max="12061" width="13.75" style="192" customWidth="1"/>
    <col min="12062" max="12062" width="7.08203125" style="192" customWidth="1"/>
    <col min="12063" max="12063" width="14.58203125" style="192" customWidth="1"/>
    <col min="12064" max="12064" width="14.58203125" style="192" bestFit="1" customWidth="1"/>
    <col min="12065" max="12065" width="13.83203125" style="192" customWidth="1"/>
    <col min="12066" max="12288" width="9" style="192"/>
    <col min="12289" max="12289" width="5.83203125" style="192" customWidth="1"/>
    <col min="12290" max="12290" width="3.25" style="192" customWidth="1"/>
    <col min="12291" max="12291" width="5.08203125" style="192" customWidth="1"/>
    <col min="12292" max="12292" width="15.33203125" style="192" bestFit="1" customWidth="1"/>
    <col min="12293" max="12293" width="9.5" style="192" customWidth="1"/>
    <col min="12294" max="12294" width="16.5" style="192" customWidth="1"/>
    <col min="12295" max="12295" width="9.58203125" style="192" customWidth="1"/>
    <col min="12296" max="12306" width="0" style="192" hidden="1" customWidth="1"/>
    <col min="12307" max="12307" width="9" style="192" customWidth="1"/>
    <col min="12308" max="12308" width="15" style="192" bestFit="1" customWidth="1"/>
    <col min="12309" max="12309" width="12.33203125" style="192" customWidth="1"/>
    <col min="12310" max="12310" width="14" style="192" customWidth="1"/>
    <col min="12311" max="12311" width="15.58203125" style="192" customWidth="1"/>
    <col min="12312" max="12313" width="0" style="192" hidden="1" customWidth="1"/>
    <col min="12314" max="12314" width="15.58203125" style="192" customWidth="1"/>
    <col min="12315" max="12316" width="14.58203125" style="192" customWidth="1"/>
    <col min="12317" max="12317" width="13.75" style="192" customWidth="1"/>
    <col min="12318" max="12318" width="7.08203125" style="192" customWidth="1"/>
    <col min="12319" max="12319" width="14.58203125" style="192" customWidth="1"/>
    <col min="12320" max="12320" width="14.58203125" style="192" bestFit="1" customWidth="1"/>
    <col min="12321" max="12321" width="13.83203125" style="192" customWidth="1"/>
    <col min="12322" max="12544" width="9" style="192"/>
    <col min="12545" max="12545" width="5.83203125" style="192" customWidth="1"/>
    <col min="12546" max="12546" width="3.25" style="192" customWidth="1"/>
    <col min="12547" max="12547" width="5.08203125" style="192" customWidth="1"/>
    <col min="12548" max="12548" width="15.33203125" style="192" bestFit="1" customWidth="1"/>
    <col min="12549" max="12549" width="9.5" style="192" customWidth="1"/>
    <col min="12550" max="12550" width="16.5" style="192" customWidth="1"/>
    <col min="12551" max="12551" width="9.58203125" style="192" customWidth="1"/>
    <col min="12552" max="12562" width="0" style="192" hidden="1" customWidth="1"/>
    <col min="12563" max="12563" width="9" style="192" customWidth="1"/>
    <col min="12564" max="12564" width="15" style="192" bestFit="1" customWidth="1"/>
    <col min="12565" max="12565" width="12.33203125" style="192" customWidth="1"/>
    <col min="12566" max="12566" width="14" style="192" customWidth="1"/>
    <col min="12567" max="12567" width="15.58203125" style="192" customWidth="1"/>
    <col min="12568" max="12569" width="0" style="192" hidden="1" customWidth="1"/>
    <col min="12570" max="12570" width="15.58203125" style="192" customWidth="1"/>
    <col min="12571" max="12572" width="14.58203125" style="192" customWidth="1"/>
    <col min="12573" max="12573" width="13.75" style="192" customWidth="1"/>
    <col min="12574" max="12574" width="7.08203125" style="192" customWidth="1"/>
    <col min="12575" max="12575" width="14.58203125" style="192" customWidth="1"/>
    <col min="12576" max="12576" width="14.58203125" style="192" bestFit="1" customWidth="1"/>
    <col min="12577" max="12577" width="13.83203125" style="192" customWidth="1"/>
    <col min="12578" max="12800" width="9" style="192"/>
    <col min="12801" max="12801" width="5.83203125" style="192" customWidth="1"/>
    <col min="12802" max="12802" width="3.25" style="192" customWidth="1"/>
    <col min="12803" max="12803" width="5.08203125" style="192" customWidth="1"/>
    <col min="12804" max="12804" width="15.33203125" style="192" bestFit="1" customWidth="1"/>
    <col min="12805" max="12805" width="9.5" style="192" customWidth="1"/>
    <col min="12806" max="12806" width="16.5" style="192" customWidth="1"/>
    <col min="12807" max="12807" width="9.58203125" style="192" customWidth="1"/>
    <col min="12808" max="12818" width="0" style="192" hidden="1" customWidth="1"/>
    <col min="12819" max="12819" width="9" style="192" customWidth="1"/>
    <col min="12820" max="12820" width="15" style="192" bestFit="1" customWidth="1"/>
    <col min="12821" max="12821" width="12.33203125" style="192" customWidth="1"/>
    <col min="12822" max="12822" width="14" style="192" customWidth="1"/>
    <col min="12823" max="12823" width="15.58203125" style="192" customWidth="1"/>
    <col min="12824" max="12825" width="0" style="192" hidden="1" customWidth="1"/>
    <col min="12826" max="12826" width="15.58203125" style="192" customWidth="1"/>
    <col min="12827" max="12828" width="14.58203125" style="192" customWidth="1"/>
    <col min="12829" max="12829" width="13.75" style="192" customWidth="1"/>
    <col min="12830" max="12830" width="7.08203125" style="192" customWidth="1"/>
    <col min="12831" max="12831" width="14.58203125" style="192" customWidth="1"/>
    <col min="12832" max="12832" width="14.58203125" style="192" bestFit="1" customWidth="1"/>
    <col min="12833" max="12833" width="13.83203125" style="192" customWidth="1"/>
    <col min="12834" max="13056" width="9" style="192"/>
    <col min="13057" max="13057" width="5.83203125" style="192" customWidth="1"/>
    <col min="13058" max="13058" width="3.25" style="192" customWidth="1"/>
    <col min="13059" max="13059" width="5.08203125" style="192" customWidth="1"/>
    <col min="13060" max="13060" width="15.33203125" style="192" bestFit="1" customWidth="1"/>
    <col min="13061" max="13061" width="9.5" style="192" customWidth="1"/>
    <col min="13062" max="13062" width="16.5" style="192" customWidth="1"/>
    <col min="13063" max="13063" width="9.58203125" style="192" customWidth="1"/>
    <col min="13064" max="13074" width="0" style="192" hidden="1" customWidth="1"/>
    <col min="13075" max="13075" width="9" style="192" customWidth="1"/>
    <col min="13076" max="13076" width="15" style="192" bestFit="1" customWidth="1"/>
    <col min="13077" max="13077" width="12.33203125" style="192" customWidth="1"/>
    <col min="13078" max="13078" width="14" style="192" customWidth="1"/>
    <col min="13079" max="13079" width="15.58203125" style="192" customWidth="1"/>
    <col min="13080" max="13081" width="0" style="192" hidden="1" customWidth="1"/>
    <col min="13082" max="13082" width="15.58203125" style="192" customWidth="1"/>
    <col min="13083" max="13084" width="14.58203125" style="192" customWidth="1"/>
    <col min="13085" max="13085" width="13.75" style="192" customWidth="1"/>
    <col min="13086" max="13086" width="7.08203125" style="192" customWidth="1"/>
    <col min="13087" max="13087" width="14.58203125" style="192" customWidth="1"/>
    <col min="13088" max="13088" width="14.58203125" style="192" bestFit="1" customWidth="1"/>
    <col min="13089" max="13089" width="13.83203125" style="192" customWidth="1"/>
    <col min="13090" max="13312" width="9" style="192"/>
    <col min="13313" max="13313" width="5.83203125" style="192" customWidth="1"/>
    <col min="13314" max="13314" width="3.25" style="192" customWidth="1"/>
    <col min="13315" max="13315" width="5.08203125" style="192" customWidth="1"/>
    <col min="13316" max="13316" width="15.33203125" style="192" bestFit="1" customWidth="1"/>
    <col min="13317" max="13317" width="9.5" style="192" customWidth="1"/>
    <col min="13318" max="13318" width="16.5" style="192" customWidth="1"/>
    <col min="13319" max="13319" width="9.58203125" style="192" customWidth="1"/>
    <col min="13320" max="13330" width="0" style="192" hidden="1" customWidth="1"/>
    <col min="13331" max="13331" width="9" style="192" customWidth="1"/>
    <col min="13332" max="13332" width="15" style="192" bestFit="1" customWidth="1"/>
    <col min="13333" max="13333" width="12.33203125" style="192" customWidth="1"/>
    <col min="13334" max="13334" width="14" style="192" customWidth="1"/>
    <col min="13335" max="13335" width="15.58203125" style="192" customWidth="1"/>
    <col min="13336" max="13337" width="0" style="192" hidden="1" customWidth="1"/>
    <col min="13338" max="13338" width="15.58203125" style="192" customWidth="1"/>
    <col min="13339" max="13340" width="14.58203125" style="192" customWidth="1"/>
    <col min="13341" max="13341" width="13.75" style="192" customWidth="1"/>
    <col min="13342" max="13342" width="7.08203125" style="192" customWidth="1"/>
    <col min="13343" max="13343" width="14.58203125" style="192" customWidth="1"/>
    <col min="13344" max="13344" width="14.58203125" style="192" bestFit="1" customWidth="1"/>
    <col min="13345" max="13345" width="13.83203125" style="192" customWidth="1"/>
    <col min="13346" max="13568" width="9" style="192"/>
    <col min="13569" max="13569" width="5.83203125" style="192" customWidth="1"/>
    <col min="13570" max="13570" width="3.25" style="192" customWidth="1"/>
    <col min="13571" max="13571" width="5.08203125" style="192" customWidth="1"/>
    <col min="13572" max="13572" width="15.33203125" style="192" bestFit="1" customWidth="1"/>
    <col min="13573" max="13573" width="9.5" style="192" customWidth="1"/>
    <col min="13574" max="13574" width="16.5" style="192" customWidth="1"/>
    <col min="13575" max="13575" width="9.58203125" style="192" customWidth="1"/>
    <col min="13576" max="13586" width="0" style="192" hidden="1" customWidth="1"/>
    <col min="13587" max="13587" width="9" style="192" customWidth="1"/>
    <col min="13588" max="13588" width="15" style="192" bestFit="1" customWidth="1"/>
    <col min="13589" max="13589" width="12.33203125" style="192" customWidth="1"/>
    <col min="13590" max="13590" width="14" style="192" customWidth="1"/>
    <col min="13591" max="13591" width="15.58203125" style="192" customWidth="1"/>
    <col min="13592" max="13593" width="0" style="192" hidden="1" customWidth="1"/>
    <col min="13594" max="13594" width="15.58203125" style="192" customWidth="1"/>
    <col min="13595" max="13596" width="14.58203125" style="192" customWidth="1"/>
    <col min="13597" max="13597" width="13.75" style="192" customWidth="1"/>
    <col min="13598" max="13598" width="7.08203125" style="192" customWidth="1"/>
    <col min="13599" max="13599" width="14.58203125" style="192" customWidth="1"/>
    <col min="13600" max="13600" width="14.58203125" style="192" bestFit="1" customWidth="1"/>
    <col min="13601" max="13601" width="13.83203125" style="192" customWidth="1"/>
    <col min="13602" max="13824" width="9" style="192"/>
    <col min="13825" max="13825" width="5.83203125" style="192" customWidth="1"/>
    <col min="13826" max="13826" width="3.25" style="192" customWidth="1"/>
    <col min="13827" max="13827" width="5.08203125" style="192" customWidth="1"/>
    <col min="13828" max="13828" width="15.33203125" style="192" bestFit="1" customWidth="1"/>
    <col min="13829" max="13829" width="9.5" style="192" customWidth="1"/>
    <col min="13830" max="13830" width="16.5" style="192" customWidth="1"/>
    <col min="13831" max="13831" width="9.58203125" style="192" customWidth="1"/>
    <col min="13832" max="13842" width="0" style="192" hidden="1" customWidth="1"/>
    <col min="13843" max="13843" width="9" style="192" customWidth="1"/>
    <col min="13844" max="13844" width="15" style="192" bestFit="1" customWidth="1"/>
    <col min="13845" max="13845" width="12.33203125" style="192" customWidth="1"/>
    <col min="13846" max="13846" width="14" style="192" customWidth="1"/>
    <col min="13847" max="13847" width="15.58203125" style="192" customWidth="1"/>
    <col min="13848" max="13849" width="0" style="192" hidden="1" customWidth="1"/>
    <col min="13850" max="13850" width="15.58203125" style="192" customWidth="1"/>
    <col min="13851" max="13852" width="14.58203125" style="192" customWidth="1"/>
    <col min="13853" max="13853" width="13.75" style="192" customWidth="1"/>
    <col min="13854" max="13854" width="7.08203125" style="192" customWidth="1"/>
    <col min="13855" max="13855" width="14.58203125" style="192" customWidth="1"/>
    <col min="13856" max="13856" width="14.58203125" style="192" bestFit="1" customWidth="1"/>
    <col min="13857" max="13857" width="13.83203125" style="192" customWidth="1"/>
    <col min="13858" max="14080" width="9" style="192"/>
    <col min="14081" max="14081" width="5.83203125" style="192" customWidth="1"/>
    <col min="14082" max="14082" width="3.25" style="192" customWidth="1"/>
    <col min="14083" max="14083" width="5.08203125" style="192" customWidth="1"/>
    <col min="14084" max="14084" width="15.33203125" style="192" bestFit="1" customWidth="1"/>
    <col min="14085" max="14085" width="9.5" style="192" customWidth="1"/>
    <col min="14086" max="14086" width="16.5" style="192" customWidth="1"/>
    <col min="14087" max="14087" width="9.58203125" style="192" customWidth="1"/>
    <col min="14088" max="14098" width="0" style="192" hidden="1" customWidth="1"/>
    <col min="14099" max="14099" width="9" style="192" customWidth="1"/>
    <col min="14100" max="14100" width="15" style="192" bestFit="1" customWidth="1"/>
    <col min="14101" max="14101" width="12.33203125" style="192" customWidth="1"/>
    <col min="14102" max="14102" width="14" style="192" customWidth="1"/>
    <col min="14103" max="14103" width="15.58203125" style="192" customWidth="1"/>
    <col min="14104" max="14105" width="0" style="192" hidden="1" customWidth="1"/>
    <col min="14106" max="14106" width="15.58203125" style="192" customWidth="1"/>
    <col min="14107" max="14108" width="14.58203125" style="192" customWidth="1"/>
    <col min="14109" max="14109" width="13.75" style="192" customWidth="1"/>
    <col min="14110" max="14110" width="7.08203125" style="192" customWidth="1"/>
    <col min="14111" max="14111" width="14.58203125" style="192" customWidth="1"/>
    <col min="14112" max="14112" width="14.58203125" style="192" bestFit="1" customWidth="1"/>
    <col min="14113" max="14113" width="13.83203125" style="192" customWidth="1"/>
    <col min="14114" max="14336" width="9" style="192"/>
    <col min="14337" max="14337" width="5.83203125" style="192" customWidth="1"/>
    <col min="14338" max="14338" width="3.25" style="192" customWidth="1"/>
    <col min="14339" max="14339" width="5.08203125" style="192" customWidth="1"/>
    <col min="14340" max="14340" width="15.33203125" style="192" bestFit="1" customWidth="1"/>
    <col min="14341" max="14341" width="9.5" style="192" customWidth="1"/>
    <col min="14342" max="14342" width="16.5" style="192" customWidth="1"/>
    <col min="14343" max="14343" width="9.58203125" style="192" customWidth="1"/>
    <col min="14344" max="14354" width="0" style="192" hidden="1" customWidth="1"/>
    <col min="14355" max="14355" width="9" style="192" customWidth="1"/>
    <col min="14356" max="14356" width="15" style="192" bestFit="1" customWidth="1"/>
    <col min="14357" max="14357" width="12.33203125" style="192" customWidth="1"/>
    <col min="14358" max="14358" width="14" style="192" customWidth="1"/>
    <col min="14359" max="14359" width="15.58203125" style="192" customWidth="1"/>
    <col min="14360" max="14361" width="0" style="192" hidden="1" customWidth="1"/>
    <col min="14362" max="14362" width="15.58203125" style="192" customWidth="1"/>
    <col min="14363" max="14364" width="14.58203125" style="192" customWidth="1"/>
    <col min="14365" max="14365" width="13.75" style="192" customWidth="1"/>
    <col min="14366" max="14366" width="7.08203125" style="192" customWidth="1"/>
    <col min="14367" max="14367" width="14.58203125" style="192" customWidth="1"/>
    <col min="14368" max="14368" width="14.58203125" style="192" bestFit="1" customWidth="1"/>
    <col min="14369" max="14369" width="13.83203125" style="192" customWidth="1"/>
    <col min="14370" max="14592" width="9" style="192"/>
    <col min="14593" max="14593" width="5.83203125" style="192" customWidth="1"/>
    <col min="14594" max="14594" width="3.25" style="192" customWidth="1"/>
    <col min="14595" max="14595" width="5.08203125" style="192" customWidth="1"/>
    <col min="14596" max="14596" width="15.33203125" style="192" bestFit="1" customWidth="1"/>
    <col min="14597" max="14597" width="9.5" style="192" customWidth="1"/>
    <col min="14598" max="14598" width="16.5" style="192" customWidth="1"/>
    <col min="14599" max="14599" width="9.58203125" style="192" customWidth="1"/>
    <col min="14600" max="14610" width="0" style="192" hidden="1" customWidth="1"/>
    <col min="14611" max="14611" width="9" style="192" customWidth="1"/>
    <col min="14612" max="14612" width="15" style="192" bestFit="1" customWidth="1"/>
    <col min="14613" max="14613" width="12.33203125" style="192" customWidth="1"/>
    <col min="14614" max="14614" width="14" style="192" customWidth="1"/>
    <col min="14615" max="14615" width="15.58203125" style="192" customWidth="1"/>
    <col min="14616" max="14617" width="0" style="192" hidden="1" customWidth="1"/>
    <col min="14618" max="14618" width="15.58203125" style="192" customWidth="1"/>
    <col min="14619" max="14620" width="14.58203125" style="192" customWidth="1"/>
    <col min="14621" max="14621" width="13.75" style="192" customWidth="1"/>
    <col min="14622" max="14622" width="7.08203125" style="192" customWidth="1"/>
    <col min="14623" max="14623" width="14.58203125" style="192" customWidth="1"/>
    <col min="14624" max="14624" width="14.58203125" style="192" bestFit="1" customWidth="1"/>
    <col min="14625" max="14625" width="13.83203125" style="192" customWidth="1"/>
    <col min="14626" max="14848" width="9" style="192"/>
    <col min="14849" max="14849" width="5.83203125" style="192" customWidth="1"/>
    <col min="14850" max="14850" width="3.25" style="192" customWidth="1"/>
    <col min="14851" max="14851" width="5.08203125" style="192" customWidth="1"/>
    <col min="14852" max="14852" width="15.33203125" style="192" bestFit="1" customWidth="1"/>
    <col min="14853" max="14853" width="9.5" style="192" customWidth="1"/>
    <col min="14854" max="14854" width="16.5" style="192" customWidth="1"/>
    <col min="14855" max="14855" width="9.58203125" style="192" customWidth="1"/>
    <col min="14856" max="14866" width="0" style="192" hidden="1" customWidth="1"/>
    <col min="14867" max="14867" width="9" style="192" customWidth="1"/>
    <col min="14868" max="14868" width="15" style="192" bestFit="1" customWidth="1"/>
    <col min="14869" max="14869" width="12.33203125" style="192" customWidth="1"/>
    <col min="14870" max="14870" width="14" style="192" customWidth="1"/>
    <col min="14871" max="14871" width="15.58203125" style="192" customWidth="1"/>
    <col min="14872" max="14873" width="0" style="192" hidden="1" customWidth="1"/>
    <col min="14874" max="14874" width="15.58203125" style="192" customWidth="1"/>
    <col min="14875" max="14876" width="14.58203125" style="192" customWidth="1"/>
    <col min="14877" max="14877" width="13.75" style="192" customWidth="1"/>
    <col min="14878" max="14878" width="7.08203125" style="192" customWidth="1"/>
    <col min="14879" max="14879" width="14.58203125" style="192" customWidth="1"/>
    <col min="14880" max="14880" width="14.58203125" style="192" bestFit="1" customWidth="1"/>
    <col min="14881" max="14881" width="13.83203125" style="192" customWidth="1"/>
    <col min="14882" max="15104" width="9" style="192"/>
    <col min="15105" max="15105" width="5.83203125" style="192" customWidth="1"/>
    <col min="15106" max="15106" width="3.25" style="192" customWidth="1"/>
    <col min="15107" max="15107" width="5.08203125" style="192" customWidth="1"/>
    <col min="15108" max="15108" width="15.33203125" style="192" bestFit="1" customWidth="1"/>
    <col min="15109" max="15109" width="9.5" style="192" customWidth="1"/>
    <col min="15110" max="15110" width="16.5" style="192" customWidth="1"/>
    <col min="15111" max="15111" width="9.58203125" style="192" customWidth="1"/>
    <col min="15112" max="15122" width="0" style="192" hidden="1" customWidth="1"/>
    <col min="15123" max="15123" width="9" style="192" customWidth="1"/>
    <col min="15124" max="15124" width="15" style="192" bestFit="1" customWidth="1"/>
    <col min="15125" max="15125" width="12.33203125" style="192" customWidth="1"/>
    <col min="15126" max="15126" width="14" style="192" customWidth="1"/>
    <col min="15127" max="15127" width="15.58203125" style="192" customWidth="1"/>
    <col min="15128" max="15129" width="0" style="192" hidden="1" customWidth="1"/>
    <col min="15130" max="15130" width="15.58203125" style="192" customWidth="1"/>
    <col min="15131" max="15132" width="14.58203125" style="192" customWidth="1"/>
    <col min="15133" max="15133" width="13.75" style="192" customWidth="1"/>
    <col min="15134" max="15134" width="7.08203125" style="192" customWidth="1"/>
    <col min="15135" max="15135" width="14.58203125" style="192" customWidth="1"/>
    <col min="15136" max="15136" width="14.58203125" style="192" bestFit="1" customWidth="1"/>
    <col min="15137" max="15137" width="13.83203125" style="192" customWidth="1"/>
    <col min="15138" max="15360" width="9" style="192"/>
    <col min="15361" max="15361" width="5.83203125" style="192" customWidth="1"/>
    <col min="15362" max="15362" width="3.25" style="192" customWidth="1"/>
    <col min="15363" max="15363" width="5.08203125" style="192" customWidth="1"/>
    <col min="15364" max="15364" width="15.33203125" style="192" bestFit="1" customWidth="1"/>
    <col min="15365" max="15365" width="9.5" style="192" customWidth="1"/>
    <col min="15366" max="15366" width="16.5" style="192" customWidth="1"/>
    <col min="15367" max="15367" width="9.58203125" style="192" customWidth="1"/>
    <col min="15368" max="15378" width="0" style="192" hidden="1" customWidth="1"/>
    <col min="15379" max="15379" width="9" style="192" customWidth="1"/>
    <col min="15380" max="15380" width="15" style="192" bestFit="1" customWidth="1"/>
    <col min="15381" max="15381" width="12.33203125" style="192" customWidth="1"/>
    <col min="15382" max="15382" width="14" style="192" customWidth="1"/>
    <col min="15383" max="15383" width="15.58203125" style="192" customWidth="1"/>
    <col min="15384" max="15385" width="0" style="192" hidden="1" customWidth="1"/>
    <col min="15386" max="15386" width="15.58203125" style="192" customWidth="1"/>
    <col min="15387" max="15388" width="14.58203125" style="192" customWidth="1"/>
    <col min="15389" max="15389" width="13.75" style="192" customWidth="1"/>
    <col min="15390" max="15390" width="7.08203125" style="192" customWidth="1"/>
    <col min="15391" max="15391" width="14.58203125" style="192" customWidth="1"/>
    <col min="15392" max="15392" width="14.58203125" style="192" bestFit="1" customWidth="1"/>
    <col min="15393" max="15393" width="13.83203125" style="192" customWidth="1"/>
    <col min="15394" max="15616" width="9" style="192"/>
    <col min="15617" max="15617" width="5.83203125" style="192" customWidth="1"/>
    <col min="15618" max="15618" width="3.25" style="192" customWidth="1"/>
    <col min="15619" max="15619" width="5.08203125" style="192" customWidth="1"/>
    <col min="15620" max="15620" width="15.33203125" style="192" bestFit="1" customWidth="1"/>
    <col min="15621" max="15621" width="9.5" style="192" customWidth="1"/>
    <col min="15622" max="15622" width="16.5" style="192" customWidth="1"/>
    <col min="15623" max="15623" width="9.58203125" style="192" customWidth="1"/>
    <col min="15624" max="15634" width="0" style="192" hidden="1" customWidth="1"/>
    <col min="15635" max="15635" width="9" style="192" customWidth="1"/>
    <col min="15636" max="15636" width="15" style="192" bestFit="1" customWidth="1"/>
    <col min="15637" max="15637" width="12.33203125" style="192" customWidth="1"/>
    <col min="15638" max="15638" width="14" style="192" customWidth="1"/>
    <col min="15639" max="15639" width="15.58203125" style="192" customWidth="1"/>
    <col min="15640" max="15641" width="0" style="192" hidden="1" customWidth="1"/>
    <col min="15642" max="15642" width="15.58203125" style="192" customWidth="1"/>
    <col min="15643" max="15644" width="14.58203125" style="192" customWidth="1"/>
    <col min="15645" max="15645" width="13.75" style="192" customWidth="1"/>
    <col min="15646" max="15646" width="7.08203125" style="192" customWidth="1"/>
    <col min="15647" max="15647" width="14.58203125" style="192" customWidth="1"/>
    <col min="15648" max="15648" width="14.58203125" style="192" bestFit="1" customWidth="1"/>
    <col min="15649" max="15649" width="13.83203125" style="192" customWidth="1"/>
    <col min="15650" max="15872" width="9" style="192"/>
    <col min="15873" max="15873" width="5.83203125" style="192" customWidth="1"/>
    <col min="15874" max="15874" width="3.25" style="192" customWidth="1"/>
    <col min="15875" max="15875" width="5.08203125" style="192" customWidth="1"/>
    <col min="15876" max="15876" width="15.33203125" style="192" bestFit="1" customWidth="1"/>
    <col min="15877" max="15877" width="9.5" style="192" customWidth="1"/>
    <col min="15878" max="15878" width="16.5" style="192" customWidth="1"/>
    <col min="15879" max="15879" width="9.58203125" style="192" customWidth="1"/>
    <col min="15880" max="15890" width="0" style="192" hidden="1" customWidth="1"/>
    <col min="15891" max="15891" width="9" style="192" customWidth="1"/>
    <col min="15892" max="15892" width="15" style="192" bestFit="1" customWidth="1"/>
    <col min="15893" max="15893" width="12.33203125" style="192" customWidth="1"/>
    <col min="15894" max="15894" width="14" style="192" customWidth="1"/>
    <col min="15895" max="15895" width="15.58203125" style="192" customWidth="1"/>
    <col min="15896" max="15897" width="0" style="192" hidden="1" customWidth="1"/>
    <col min="15898" max="15898" width="15.58203125" style="192" customWidth="1"/>
    <col min="15899" max="15900" width="14.58203125" style="192" customWidth="1"/>
    <col min="15901" max="15901" width="13.75" style="192" customWidth="1"/>
    <col min="15902" max="15902" width="7.08203125" style="192" customWidth="1"/>
    <col min="15903" max="15903" width="14.58203125" style="192" customWidth="1"/>
    <col min="15904" max="15904" width="14.58203125" style="192" bestFit="1" customWidth="1"/>
    <col min="15905" max="15905" width="13.83203125" style="192" customWidth="1"/>
    <col min="15906" max="16128" width="9" style="192"/>
    <col min="16129" max="16129" width="5.83203125" style="192" customWidth="1"/>
    <col min="16130" max="16130" width="3.25" style="192" customWidth="1"/>
    <col min="16131" max="16131" width="5.08203125" style="192" customWidth="1"/>
    <col min="16132" max="16132" width="15.33203125" style="192" bestFit="1" customWidth="1"/>
    <col min="16133" max="16133" width="9.5" style="192" customWidth="1"/>
    <col min="16134" max="16134" width="16.5" style="192" customWidth="1"/>
    <col min="16135" max="16135" width="9.58203125" style="192" customWidth="1"/>
    <col min="16136" max="16146" width="0" style="192" hidden="1" customWidth="1"/>
    <col min="16147" max="16147" width="9" style="192" customWidth="1"/>
    <col min="16148" max="16148" width="15" style="192" bestFit="1" customWidth="1"/>
    <col min="16149" max="16149" width="12.33203125" style="192" customWidth="1"/>
    <col min="16150" max="16150" width="14" style="192" customWidth="1"/>
    <col min="16151" max="16151" width="15.58203125" style="192" customWidth="1"/>
    <col min="16152" max="16153" width="0" style="192" hidden="1" customWidth="1"/>
    <col min="16154" max="16154" width="15.58203125" style="192" customWidth="1"/>
    <col min="16155" max="16156" width="14.58203125" style="192" customWidth="1"/>
    <col min="16157" max="16157" width="13.75" style="192" customWidth="1"/>
    <col min="16158" max="16158" width="7.08203125" style="192" customWidth="1"/>
    <col min="16159" max="16159" width="14.58203125" style="192" customWidth="1"/>
    <col min="16160" max="16160" width="14.58203125" style="192" bestFit="1" customWidth="1"/>
    <col min="16161" max="16161" width="13.83203125" style="192" customWidth="1"/>
    <col min="16162" max="16384" width="9" style="192"/>
  </cols>
  <sheetData>
    <row r="1" spans="1:33" ht="42" x14ac:dyDescent="0.3">
      <c r="A1" s="188" t="s">
        <v>1053</v>
      </c>
      <c r="B1" s="188" t="s">
        <v>1054</v>
      </c>
      <c r="C1" s="188" t="s">
        <v>1055</v>
      </c>
      <c r="D1" s="188" t="s">
        <v>1056</v>
      </c>
      <c r="E1" s="188" t="s">
        <v>1057</v>
      </c>
      <c r="F1" s="188" t="s">
        <v>1058</v>
      </c>
      <c r="G1" s="284" t="s">
        <v>1059</v>
      </c>
      <c r="H1" s="188" t="s">
        <v>1060</v>
      </c>
      <c r="I1" s="188" t="s">
        <v>1061</v>
      </c>
      <c r="J1" s="188" t="s">
        <v>1062</v>
      </c>
      <c r="K1" s="188" t="s">
        <v>1063</v>
      </c>
      <c r="L1" s="188" t="s">
        <v>26</v>
      </c>
      <c r="M1" s="188" t="s">
        <v>1064</v>
      </c>
      <c r="N1" s="188" t="s">
        <v>1065</v>
      </c>
      <c r="O1" s="188" t="s">
        <v>1066</v>
      </c>
      <c r="P1" s="188" t="s">
        <v>1067</v>
      </c>
      <c r="Q1" s="188" t="s">
        <v>1068</v>
      </c>
      <c r="R1" s="188" t="s">
        <v>1069</v>
      </c>
      <c r="S1" s="284" t="s">
        <v>2185</v>
      </c>
      <c r="T1" s="188" t="s">
        <v>1070</v>
      </c>
      <c r="U1" s="189" t="s">
        <v>1071</v>
      </c>
      <c r="V1" s="189" t="s">
        <v>1072</v>
      </c>
      <c r="W1" s="190" t="s">
        <v>1073</v>
      </c>
      <c r="X1" s="190" t="s">
        <v>1074</v>
      </c>
      <c r="Y1" s="190" t="s">
        <v>1075</v>
      </c>
      <c r="Z1" s="189" t="s">
        <v>706</v>
      </c>
      <c r="AA1" s="188" t="s">
        <v>1076</v>
      </c>
      <c r="AB1" s="188" t="s">
        <v>1077</v>
      </c>
      <c r="AC1" s="190" t="s">
        <v>1078</v>
      </c>
      <c r="AD1" s="188" t="s">
        <v>943</v>
      </c>
      <c r="AE1" s="188" t="s">
        <v>1079</v>
      </c>
      <c r="AF1" s="191" t="s">
        <v>1080</v>
      </c>
      <c r="AG1" s="192">
        <v>12</v>
      </c>
    </row>
    <row r="2" spans="1:33" s="193" customFormat="1" x14ac:dyDescent="0.3">
      <c r="A2" s="193">
        <v>5830</v>
      </c>
      <c r="B2" s="193">
        <v>61</v>
      </c>
      <c r="C2" s="193">
        <v>1100</v>
      </c>
      <c r="D2" s="193" t="s">
        <v>1081</v>
      </c>
      <c r="E2" s="193">
        <v>2304341</v>
      </c>
      <c r="F2" s="193" t="s">
        <v>1082</v>
      </c>
      <c r="G2" s="285">
        <v>1</v>
      </c>
      <c r="H2" s="193">
        <v>27401.63</v>
      </c>
      <c r="I2" s="193">
        <v>0</v>
      </c>
      <c r="J2" s="193">
        <v>0</v>
      </c>
      <c r="K2" s="193">
        <v>2206.11</v>
      </c>
      <c r="L2" s="193">
        <v>0</v>
      </c>
      <c r="M2" s="193">
        <v>0</v>
      </c>
      <c r="N2" s="193">
        <v>665</v>
      </c>
      <c r="O2" s="193">
        <v>30272.74</v>
      </c>
      <c r="P2" s="193">
        <v>2112</v>
      </c>
      <c r="Q2" s="193">
        <v>2336.21</v>
      </c>
      <c r="R2" s="193">
        <v>0</v>
      </c>
      <c r="S2" s="285">
        <v>1</v>
      </c>
      <c r="T2" s="193">
        <v>5754.32</v>
      </c>
      <c r="U2" s="286">
        <v>40475.269999999997</v>
      </c>
      <c r="V2" s="286">
        <v>40475.269999999997</v>
      </c>
      <c r="W2" s="287"/>
      <c r="X2" s="287">
        <v>485703.24</v>
      </c>
      <c r="Y2" s="287">
        <v>374468.92</v>
      </c>
      <c r="Z2" s="287">
        <v>322065.98</v>
      </c>
      <c r="AA2" s="285">
        <v>329235.95693999995</v>
      </c>
      <c r="AB2" s="285">
        <v>326661.28669999994</v>
      </c>
      <c r="AC2" s="285">
        <v>29600</v>
      </c>
      <c r="AD2" s="193">
        <v>12</v>
      </c>
      <c r="AE2" s="285">
        <v>29342</v>
      </c>
      <c r="AF2" s="194">
        <v>384542</v>
      </c>
      <c r="AG2" s="195"/>
    </row>
    <row r="3" spans="1:33" s="193" customFormat="1" x14ac:dyDescent="0.3">
      <c r="A3" s="193">
        <v>5830</v>
      </c>
      <c r="B3" s="193">
        <v>61</v>
      </c>
      <c r="C3" s="193">
        <v>1100</v>
      </c>
      <c r="D3" s="193" t="s">
        <v>1081</v>
      </c>
      <c r="E3" s="193">
        <v>3467604</v>
      </c>
      <c r="F3" s="193" t="s">
        <v>1083</v>
      </c>
      <c r="G3" s="285">
        <v>1</v>
      </c>
      <c r="H3" s="193">
        <v>67659.25</v>
      </c>
      <c r="I3" s="193">
        <v>0</v>
      </c>
      <c r="J3" s="193">
        <v>0</v>
      </c>
      <c r="K3" s="193">
        <v>0</v>
      </c>
      <c r="L3" s="193">
        <v>0</v>
      </c>
      <c r="M3" s="193">
        <v>0</v>
      </c>
      <c r="N3" s="193">
        <v>1330</v>
      </c>
      <c r="O3" s="193">
        <v>68989.25</v>
      </c>
      <c r="P3" s="193">
        <v>3089</v>
      </c>
      <c r="Q3" s="193">
        <v>6092.26</v>
      </c>
      <c r="R3" s="193">
        <v>0</v>
      </c>
      <c r="S3" s="285">
        <v>1</v>
      </c>
      <c r="T3" s="193">
        <v>14814.78</v>
      </c>
      <c r="U3" s="286">
        <v>92985.29</v>
      </c>
      <c r="V3" s="286">
        <v>92985.29</v>
      </c>
      <c r="W3" s="287"/>
      <c r="X3" s="287">
        <v>1115823.48</v>
      </c>
      <c r="Y3" s="287">
        <v>849289.96</v>
      </c>
      <c r="Z3" s="287">
        <v>723554</v>
      </c>
      <c r="AA3" s="285">
        <v>740195.74199999997</v>
      </c>
      <c r="AB3" s="285">
        <v>734407.30999999994</v>
      </c>
      <c r="AC3" s="285">
        <v>62000</v>
      </c>
      <c r="AD3" s="193">
        <v>12</v>
      </c>
      <c r="AE3" s="285">
        <v>45000</v>
      </c>
      <c r="AF3" s="194">
        <v>789000</v>
      </c>
    </row>
    <row r="4" spans="1:33" s="193" customFormat="1" x14ac:dyDescent="0.3">
      <c r="A4" s="193">
        <v>5830</v>
      </c>
      <c r="B4" s="193">
        <v>61</v>
      </c>
      <c r="C4" s="193">
        <v>1100</v>
      </c>
      <c r="D4" s="193" t="s">
        <v>1081</v>
      </c>
      <c r="E4" s="193">
        <v>3634376</v>
      </c>
      <c r="F4" s="193" t="s">
        <v>1084</v>
      </c>
      <c r="G4" s="285">
        <v>1</v>
      </c>
      <c r="H4" s="193">
        <v>27401.63</v>
      </c>
      <c r="I4" s="193">
        <v>0</v>
      </c>
      <c r="J4" s="193">
        <v>0</v>
      </c>
      <c r="K4" s="193">
        <v>2157.8200000000002</v>
      </c>
      <c r="L4" s="193">
        <v>0</v>
      </c>
      <c r="M4" s="193">
        <v>0</v>
      </c>
      <c r="N4" s="193">
        <v>665</v>
      </c>
      <c r="O4" s="193">
        <v>30224.45</v>
      </c>
      <c r="P4" s="193">
        <v>2107</v>
      </c>
      <c r="Q4" s="193">
        <v>2332.59</v>
      </c>
      <c r="R4" s="193">
        <v>0</v>
      </c>
      <c r="S4" s="285">
        <v>1</v>
      </c>
      <c r="T4" s="193">
        <v>5754.32</v>
      </c>
      <c r="U4" s="286">
        <v>40418.36</v>
      </c>
      <c r="V4" s="286">
        <v>40418.36</v>
      </c>
      <c r="W4" s="287"/>
      <c r="X4" s="287">
        <v>485020.32</v>
      </c>
      <c r="Y4" s="287">
        <v>374413.68</v>
      </c>
      <c r="Z4" s="287">
        <v>320558.74</v>
      </c>
      <c r="AA4" s="285">
        <v>327931.50917999999</v>
      </c>
      <c r="AB4" s="285">
        <v>325367.03989999997</v>
      </c>
      <c r="AC4" s="285">
        <v>26000</v>
      </c>
      <c r="AD4" s="193">
        <v>12</v>
      </c>
      <c r="AE4" s="285">
        <v>28960</v>
      </c>
      <c r="AF4" s="194">
        <v>340960</v>
      </c>
    </row>
    <row r="5" spans="1:33" s="196" customFormat="1" x14ac:dyDescent="0.3">
      <c r="G5" s="288">
        <f>SUM(G2:G4)</f>
        <v>3</v>
      </c>
      <c r="H5" s="288">
        <f t="shared" ref="H5:AF5" si="0">SUM(H2:H4)</f>
        <v>122462.51000000001</v>
      </c>
      <c r="I5" s="288">
        <f t="shared" si="0"/>
        <v>0</v>
      </c>
      <c r="J5" s="288">
        <f t="shared" si="0"/>
        <v>0</v>
      </c>
      <c r="K5" s="288">
        <f t="shared" si="0"/>
        <v>4363.93</v>
      </c>
      <c r="L5" s="288">
        <f t="shared" si="0"/>
        <v>0</v>
      </c>
      <c r="M5" s="288">
        <f t="shared" si="0"/>
        <v>0</v>
      </c>
      <c r="N5" s="288">
        <f t="shared" si="0"/>
        <v>2660</v>
      </c>
      <c r="O5" s="288">
        <f t="shared" si="0"/>
        <v>129486.44</v>
      </c>
      <c r="P5" s="288">
        <f t="shared" si="0"/>
        <v>7308</v>
      </c>
      <c r="Q5" s="288">
        <f t="shared" si="0"/>
        <v>10761.060000000001</v>
      </c>
      <c r="R5" s="288">
        <f t="shared" si="0"/>
        <v>0</v>
      </c>
      <c r="S5" s="288">
        <f t="shared" si="0"/>
        <v>3</v>
      </c>
      <c r="T5" s="288">
        <f t="shared" si="0"/>
        <v>26323.42</v>
      </c>
      <c r="U5" s="288">
        <f t="shared" si="0"/>
        <v>173878.91999999998</v>
      </c>
      <c r="V5" s="288">
        <f t="shared" si="0"/>
        <v>173878.91999999998</v>
      </c>
      <c r="W5" s="288">
        <f t="shared" si="0"/>
        <v>0</v>
      </c>
      <c r="X5" s="288">
        <f t="shared" si="0"/>
        <v>2086547.04</v>
      </c>
      <c r="Y5" s="288">
        <f t="shared" si="0"/>
        <v>1598172.5599999998</v>
      </c>
      <c r="Z5" s="288">
        <f t="shared" si="0"/>
        <v>1366178.72</v>
      </c>
      <c r="AA5" s="288">
        <f t="shared" si="0"/>
        <v>1397363.2081200001</v>
      </c>
      <c r="AB5" s="288">
        <f t="shared" si="0"/>
        <v>1386435.6365999999</v>
      </c>
      <c r="AC5" s="288">
        <f t="shared" si="0"/>
        <v>117600</v>
      </c>
      <c r="AD5" s="288">
        <f t="shared" si="0"/>
        <v>36</v>
      </c>
      <c r="AE5" s="288">
        <f t="shared" si="0"/>
        <v>103302</v>
      </c>
      <c r="AF5" s="288">
        <f t="shared" si="0"/>
        <v>1514502</v>
      </c>
    </row>
    <row r="6" spans="1:33" s="193" customFormat="1" x14ac:dyDescent="0.3">
      <c r="G6" s="285"/>
      <c r="S6" s="285"/>
      <c r="U6" s="286"/>
      <c r="V6" s="286"/>
      <c r="W6" s="287"/>
      <c r="X6" s="287"/>
      <c r="Y6" s="287"/>
      <c r="Z6" s="287"/>
      <c r="AA6" s="287"/>
      <c r="AB6" s="285"/>
      <c r="AC6" s="287"/>
      <c r="AD6" s="287"/>
      <c r="AE6" s="287"/>
      <c r="AF6" s="289"/>
      <c r="AG6" s="195"/>
    </row>
    <row r="7" spans="1:33" s="193" customFormat="1" x14ac:dyDescent="0.3">
      <c r="A7" s="193">
        <v>5830</v>
      </c>
      <c r="B7" s="193">
        <v>61</v>
      </c>
      <c r="C7" s="193">
        <v>2000</v>
      </c>
      <c r="D7" s="193" t="s">
        <v>1085</v>
      </c>
      <c r="E7" s="193">
        <v>2459715</v>
      </c>
      <c r="F7" s="193" t="s">
        <v>1086</v>
      </c>
      <c r="G7" s="285">
        <v>1</v>
      </c>
      <c r="H7" s="193">
        <v>7485.12</v>
      </c>
      <c r="I7" s="193">
        <v>1168.8699999999999</v>
      </c>
      <c r="J7" s="193">
        <v>197.6</v>
      </c>
      <c r="K7" s="193">
        <v>1423.26</v>
      </c>
      <c r="L7" s="193">
        <v>0</v>
      </c>
      <c r="M7" s="193">
        <v>0</v>
      </c>
      <c r="N7" s="193">
        <v>12.5</v>
      </c>
      <c r="O7" s="193">
        <v>10287.35</v>
      </c>
      <c r="P7" s="193">
        <v>547</v>
      </c>
      <c r="Q7" s="193">
        <v>793.38</v>
      </c>
      <c r="R7" s="193">
        <v>0</v>
      </c>
      <c r="S7" s="285">
        <v>1</v>
      </c>
      <c r="T7" s="193">
        <v>930.53</v>
      </c>
      <c r="U7" s="286">
        <v>12558.26</v>
      </c>
      <c r="V7" s="286">
        <v>12558.26</v>
      </c>
      <c r="W7" s="287">
        <v>130198.20000000001</v>
      </c>
      <c r="X7" s="287">
        <v>150699.12</v>
      </c>
      <c r="Y7" s="287">
        <v>148322.84</v>
      </c>
      <c r="Z7" s="287">
        <v>152304.04</v>
      </c>
      <c r="AA7" s="285">
        <v>155482.94651999997</v>
      </c>
      <c r="AB7" s="285">
        <v>154267.04859999998</v>
      </c>
      <c r="AC7" s="285">
        <v>12000</v>
      </c>
      <c r="AD7" s="193">
        <v>12</v>
      </c>
      <c r="AE7" s="285">
        <v>15000</v>
      </c>
      <c r="AF7" s="194">
        <v>159000</v>
      </c>
    </row>
    <row r="8" spans="1:33" s="193" customFormat="1" hidden="1" x14ac:dyDescent="0.3">
      <c r="A8" s="193">
        <v>5830</v>
      </c>
      <c r="B8" s="193">
        <v>61</v>
      </c>
      <c r="C8" s="193">
        <v>2000</v>
      </c>
      <c r="D8" s="193" t="s">
        <v>1085</v>
      </c>
      <c r="E8" s="193">
        <v>3311994</v>
      </c>
      <c r="F8" s="193" t="s">
        <v>1087</v>
      </c>
      <c r="G8" s="285">
        <v>0</v>
      </c>
      <c r="H8" s="193">
        <v>23185</v>
      </c>
      <c r="I8" s="193">
        <v>0</v>
      </c>
      <c r="J8" s="193">
        <v>0</v>
      </c>
      <c r="K8" s="193">
        <v>0</v>
      </c>
      <c r="L8" s="193">
        <v>0</v>
      </c>
      <c r="M8" s="193">
        <v>0</v>
      </c>
      <c r="N8" s="193">
        <v>859.25</v>
      </c>
      <c r="O8" s="193">
        <v>24044.25</v>
      </c>
      <c r="P8" s="193">
        <v>0</v>
      </c>
      <c r="Q8" s="193">
        <v>0</v>
      </c>
      <c r="R8" s="193">
        <v>0</v>
      </c>
      <c r="S8" s="285"/>
      <c r="T8" s="193">
        <v>92.74</v>
      </c>
      <c r="U8" s="286">
        <v>24136.99</v>
      </c>
      <c r="V8" s="286">
        <v>24136.99</v>
      </c>
      <c r="W8" s="287"/>
      <c r="X8" s="287">
        <v>289643.88</v>
      </c>
      <c r="Y8" s="287">
        <v>289643.88</v>
      </c>
      <c r="Z8" s="287"/>
      <c r="AA8" s="285"/>
      <c r="AB8" s="285">
        <v>441183.85173333337</v>
      </c>
      <c r="AC8" s="285"/>
      <c r="AD8" s="193">
        <v>12</v>
      </c>
      <c r="AE8" s="285"/>
      <c r="AF8" s="194">
        <v>0</v>
      </c>
    </row>
    <row r="9" spans="1:33" s="193" customFormat="1" x14ac:dyDescent="0.3">
      <c r="A9" s="193">
        <v>5830</v>
      </c>
      <c r="B9" s="193">
        <v>61</v>
      </c>
      <c r="C9" s="193">
        <v>2000</v>
      </c>
      <c r="D9" s="193" t="s">
        <v>1085</v>
      </c>
      <c r="E9" s="193">
        <v>3311994</v>
      </c>
      <c r="F9" s="193" t="s">
        <v>1087</v>
      </c>
      <c r="G9" s="285">
        <v>1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1856</v>
      </c>
      <c r="Q9" s="193">
        <v>2084.61</v>
      </c>
      <c r="R9" s="193">
        <v>0</v>
      </c>
      <c r="S9" s="285">
        <v>1</v>
      </c>
      <c r="T9" s="193">
        <v>5409.07</v>
      </c>
      <c r="U9" s="286">
        <v>9349.68</v>
      </c>
      <c r="V9" s="286">
        <v>9349.68</v>
      </c>
      <c r="W9" s="287">
        <v>289643.88</v>
      </c>
      <c r="X9" s="287">
        <v>112196.16</v>
      </c>
      <c r="Y9" s="287">
        <v>289643.88</v>
      </c>
      <c r="Z9" s="287">
        <v>407497.4</v>
      </c>
      <c r="AA9" s="285">
        <v>416869.84019999998</v>
      </c>
      <c r="AB9" s="285">
        <v>441183.85173333337</v>
      </c>
      <c r="AC9" s="285">
        <v>34000</v>
      </c>
      <c r="AD9" s="193">
        <v>12</v>
      </c>
      <c r="AE9" s="285">
        <v>15000</v>
      </c>
      <c r="AF9" s="194">
        <v>453214.28571428574</v>
      </c>
    </row>
    <row r="10" spans="1:33" s="196" customFormat="1" x14ac:dyDescent="0.3">
      <c r="G10" s="288">
        <f>SUM(G7:G9)</f>
        <v>2</v>
      </c>
      <c r="H10" s="288">
        <f t="shared" ref="H10:AF10" si="1">SUM(H7:H9)</f>
        <v>30670.12</v>
      </c>
      <c r="I10" s="288">
        <f t="shared" si="1"/>
        <v>1168.8699999999999</v>
      </c>
      <c r="J10" s="288">
        <f t="shared" si="1"/>
        <v>197.6</v>
      </c>
      <c r="K10" s="288">
        <f t="shared" si="1"/>
        <v>1423.26</v>
      </c>
      <c r="L10" s="288">
        <f t="shared" si="1"/>
        <v>0</v>
      </c>
      <c r="M10" s="288">
        <f t="shared" si="1"/>
        <v>0</v>
      </c>
      <c r="N10" s="288">
        <f t="shared" si="1"/>
        <v>871.75</v>
      </c>
      <c r="O10" s="288">
        <f t="shared" si="1"/>
        <v>34331.599999999999</v>
      </c>
      <c r="P10" s="288">
        <f t="shared" si="1"/>
        <v>2403</v>
      </c>
      <c r="Q10" s="288">
        <f t="shared" si="1"/>
        <v>2877.9900000000002</v>
      </c>
      <c r="R10" s="288">
        <f t="shared" si="1"/>
        <v>0</v>
      </c>
      <c r="S10" s="288">
        <f t="shared" si="1"/>
        <v>2</v>
      </c>
      <c r="T10" s="288">
        <f t="shared" si="1"/>
        <v>6432.34</v>
      </c>
      <c r="U10" s="288">
        <f t="shared" si="1"/>
        <v>46044.93</v>
      </c>
      <c r="V10" s="288">
        <f t="shared" si="1"/>
        <v>46044.93</v>
      </c>
      <c r="W10" s="288">
        <f t="shared" si="1"/>
        <v>419842.08</v>
      </c>
      <c r="X10" s="288">
        <f t="shared" si="1"/>
        <v>552539.16</v>
      </c>
      <c r="Y10" s="288">
        <f t="shared" si="1"/>
        <v>727610.6</v>
      </c>
      <c r="Z10" s="288">
        <f t="shared" si="1"/>
        <v>559801.44000000006</v>
      </c>
      <c r="AA10" s="288">
        <f t="shared" si="1"/>
        <v>572352.78671999997</v>
      </c>
      <c r="AB10" s="288">
        <f t="shared" si="1"/>
        <v>1036634.7520666667</v>
      </c>
      <c r="AC10" s="288">
        <f t="shared" si="1"/>
        <v>46000</v>
      </c>
      <c r="AD10" s="288">
        <f t="shared" si="1"/>
        <v>36</v>
      </c>
      <c r="AE10" s="288">
        <f t="shared" si="1"/>
        <v>30000</v>
      </c>
      <c r="AF10" s="288">
        <f t="shared" si="1"/>
        <v>612214.28571428568</v>
      </c>
    </row>
    <row r="11" spans="1:33" s="193" customFormat="1" x14ac:dyDescent="0.3">
      <c r="G11" s="285"/>
      <c r="S11" s="285"/>
      <c r="U11" s="286"/>
      <c r="V11" s="286"/>
      <c r="W11" s="287"/>
      <c r="X11" s="287"/>
      <c r="Y11" s="287"/>
      <c r="Z11" s="287"/>
      <c r="AA11" s="287"/>
      <c r="AB11" s="285"/>
      <c r="AC11" s="287"/>
      <c r="AD11" s="287"/>
      <c r="AE11" s="287"/>
      <c r="AF11" s="289"/>
    </row>
    <row r="12" spans="1:33" s="193" customFormat="1" x14ac:dyDescent="0.3">
      <c r="F12" s="193" t="s">
        <v>2186</v>
      </c>
      <c r="G12" s="285">
        <v>1</v>
      </c>
      <c r="S12" s="285">
        <v>0.5</v>
      </c>
      <c r="U12" s="286"/>
      <c r="V12" s="286"/>
      <c r="W12" s="287"/>
      <c r="X12" s="287"/>
      <c r="Y12" s="287"/>
      <c r="Z12" s="287"/>
      <c r="AA12" s="287"/>
      <c r="AB12" s="285"/>
      <c r="AC12" s="287">
        <v>7000</v>
      </c>
      <c r="AD12" s="192">
        <v>6</v>
      </c>
      <c r="AE12" s="287"/>
      <c r="AF12" s="194">
        <v>42000</v>
      </c>
      <c r="AG12" s="193" t="s">
        <v>2187</v>
      </c>
    </row>
    <row r="13" spans="1:33" s="193" customFormat="1" x14ac:dyDescent="0.3">
      <c r="F13" s="193" t="s">
        <v>2188</v>
      </c>
      <c r="G13" s="285">
        <v>1</v>
      </c>
      <c r="S13" s="285">
        <v>0.5</v>
      </c>
      <c r="U13" s="286"/>
      <c r="V13" s="286"/>
      <c r="W13" s="287"/>
      <c r="X13" s="287"/>
      <c r="Y13" s="287"/>
      <c r="Z13" s="287"/>
      <c r="AA13" s="287"/>
      <c r="AB13" s="285"/>
      <c r="AC13" s="287">
        <v>9000</v>
      </c>
      <c r="AD13" s="192">
        <v>6</v>
      </c>
      <c r="AE13" s="287"/>
      <c r="AF13" s="194">
        <v>54000</v>
      </c>
      <c r="AG13" s="193" t="s">
        <v>2189</v>
      </c>
    </row>
    <row r="14" spans="1:33" s="193" customFormat="1" x14ac:dyDescent="0.3">
      <c r="F14" s="193" t="s">
        <v>1088</v>
      </c>
      <c r="G14" s="285">
        <v>0.5</v>
      </c>
      <c r="S14" s="285">
        <v>0</v>
      </c>
      <c r="U14" s="286"/>
      <c r="V14" s="286"/>
      <c r="W14" s="287"/>
      <c r="X14" s="287"/>
      <c r="Y14" s="287"/>
      <c r="Z14" s="287"/>
      <c r="AA14" s="287"/>
      <c r="AB14" s="285"/>
      <c r="AC14" s="287"/>
      <c r="AD14" s="192"/>
      <c r="AE14" s="287"/>
      <c r="AF14" s="289">
        <v>100000</v>
      </c>
    </row>
    <row r="15" spans="1:33" x14ac:dyDescent="0.3">
      <c r="A15" s="192">
        <v>5832</v>
      </c>
      <c r="B15" s="192">
        <v>81</v>
      </c>
      <c r="C15" s="192">
        <v>1000</v>
      </c>
      <c r="D15" s="192" t="s">
        <v>1089</v>
      </c>
      <c r="E15" s="192">
        <v>2887922</v>
      </c>
      <c r="F15" s="192" t="s">
        <v>1090</v>
      </c>
      <c r="G15" s="290">
        <v>1</v>
      </c>
      <c r="H15" s="192">
        <v>6042.53</v>
      </c>
      <c r="I15" s="192">
        <v>388.31</v>
      </c>
      <c r="J15" s="192">
        <v>741.6</v>
      </c>
      <c r="K15" s="192">
        <v>0</v>
      </c>
      <c r="L15" s="192">
        <v>0</v>
      </c>
      <c r="M15" s="192">
        <v>0</v>
      </c>
      <c r="N15" s="192">
        <v>36.5</v>
      </c>
      <c r="O15" s="192">
        <v>7208.94</v>
      </c>
      <c r="P15" s="192">
        <v>294</v>
      </c>
      <c r="Q15" s="192">
        <v>543.35</v>
      </c>
      <c r="R15" s="192">
        <v>0</v>
      </c>
      <c r="S15" s="285">
        <v>1</v>
      </c>
      <c r="T15" s="192">
        <v>550.49</v>
      </c>
      <c r="U15" s="291">
        <v>8596.7800000000007</v>
      </c>
      <c r="V15" s="291">
        <v>8596.7800000000007</v>
      </c>
      <c r="W15" s="292">
        <v>105403.32</v>
      </c>
      <c r="X15" s="292">
        <v>103161.36000000002</v>
      </c>
      <c r="Y15" s="292">
        <v>104285.19999999998</v>
      </c>
      <c r="Z15" s="292">
        <v>112029.83</v>
      </c>
      <c r="AA15" s="290">
        <v>114751.81277999998</v>
      </c>
      <c r="AB15" s="285">
        <v>0</v>
      </c>
      <c r="AC15" s="290">
        <v>8783.61</v>
      </c>
      <c r="AD15" s="192">
        <v>12</v>
      </c>
      <c r="AE15" s="290">
        <v>10000</v>
      </c>
      <c r="AF15" s="194">
        <v>115403.32</v>
      </c>
      <c r="AG15" s="192" t="s">
        <v>2190</v>
      </c>
    </row>
    <row r="16" spans="1:33" x14ac:dyDescent="0.3">
      <c r="A16" s="192">
        <v>5830</v>
      </c>
      <c r="B16" s="192">
        <v>62</v>
      </c>
      <c r="C16" s="192">
        <v>1300</v>
      </c>
      <c r="D16" s="192" t="s">
        <v>1092</v>
      </c>
      <c r="E16" s="192">
        <v>2155137</v>
      </c>
      <c r="F16" s="192" t="s">
        <v>1093</v>
      </c>
      <c r="G16" s="290">
        <v>0.9</v>
      </c>
      <c r="H16" s="192">
        <v>4404.99</v>
      </c>
      <c r="I16" s="192">
        <v>333.74</v>
      </c>
      <c r="J16" s="192">
        <v>192.74</v>
      </c>
      <c r="K16" s="192">
        <v>543.87</v>
      </c>
      <c r="L16" s="192">
        <v>0</v>
      </c>
      <c r="M16" s="192">
        <v>0</v>
      </c>
      <c r="N16" s="192">
        <v>36.5</v>
      </c>
      <c r="O16" s="192">
        <v>5511.84</v>
      </c>
      <c r="P16" s="192">
        <v>195</v>
      </c>
      <c r="Q16" s="192">
        <v>413.39</v>
      </c>
      <c r="R16" s="192">
        <v>0</v>
      </c>
      <c r="S16" s="285">
        <v>0.3</v>
      </c>
      <c r="T16" s="192">
        <v>1057.8499999999999</v>
      </c>
      <c r="U16" s="291">
        <v>7178.08</v>
      </c>
      <c r="V16" s="291">
        <v>7178.08</v>
      </c>
      <c r="W16" s="292">
        <v>100585.68</v>
      </c>
      <c r="X16" s="292">
        <v>28712.32</v>
      </c>
      <c r="Y16" s="292">
        <v>95412.6</v>
      </c>
      <c r="Z16" s="292">
        <v>24634.26</v>
      </c>
      <c r="AA16" s="290">
        <v>32187.590159999996</v>
      </c>
      <c r="AB16" s="285">
        <v>100659.77284999999</v>
      </c>
      <c r="AC16" s="290">
        <v>8000</v>
      </c>
      <c r="AD16" s="192">
        <v>4</v>
      </c>
      <c r="AE16" s="290">
        <v>7000</v>
      </c>
      <c r="AF16" s="194">
        <v>39000</v>
      </c>
      <c r="AG16" s="192" t="s">
        <v>2191</v>
      </c>
    </row>
    <row r="17" spans="1:34" x14ac:dyDescent="0.3">
      <c r="A17" s="192">
        <v>5830</v>
      </c>
      <c r="B17" s="192">
        <v>61</v>
      </c>
      <c r="C17" s="192">
        <v>3000</v>
      </c>
      <c r="D17" s="192" t="s">
        <v>1095</v>
      </c>
      <c r="E17" s="192">
        <v>2458579</v>
      </c>
      <c r="F17" s="192" t="s">
        <v>1096</v>
      </c>
      <c r="G17" s="290">
        <v>0</v>
      </c>
      <c r="H17" s="192">
        <v>147.5</v>
      </c>
      <c r="I17" s="192">
        <v>0</v>
      </c>
      <c r="J17" s="192">
        <v>0</v>
      </c>
      <c r="K17" s="192">
        <v>0</v>
      </c>
      <c r="L17" s="192">
        <v>0</v>
      </c>
      <c r="M17" s="192">
        <v>0</v>
      </c>
      <c r="N17" s="192">
        <v>0</v>
      </c>
      <c r="O17" s="192">
        <v>147.5</v>
      </c>
      <c r="P17" s="192">
        <v>5.18</v>
      </c>
      <c r="Q17" s="192">
        <v>11.06</v>
      </c>
      <c r="R17" s="192">
        <v>0</v>
      </c>
      <c r="S17" s="285">
        <v>0</v>
      </c>
      <c r="T17" s="192">
        <v>19.91</v>
      </c>
      <c r="U17" s="291">
        <v>183.65</v>
      </c>
      <c r="V17" s="291">
        <v>183.65</v>
      </c>
      <c r="W17" s="292">
        <v>11685.48</v>
      </c>
      <c r="X17" s="292">
        <v>2203.8000000000002</v>
      </c>
      <c r="Y17" s="292">
        <v>8980</v>
      </c>
      <c r="Z17" s="292">
        <v>8336.7999999999993</v>
      </c>
      <c r="AA17" s="290">
        <v>8152.6757399999988</v>
      </c>
      <c r="AB17" s="285">
        <v>0</v>
      </c>
      <c r="AC17" s="290">
        <v>1000</v>
      </c>
      <c r="AD17" s="192">
        <v>12</v>
      </c>
      <c r="AE17" s="290"/>
      <c r="AF17" s="194">
        <v>12000</v>
      </c>
    </row>
    <row r="18" spans="1:34" x14ac:dyDescent="0.3">
      <c r="A18" s="192">
        <v>5830</v>
      </c>
      <c r="B18" s="192">
        <v>61</v>
      </c>
      <c r="C18" s="192">
        <v>3000</v>
      </c>
      <c r="D18" s="192" t="s">
        <v>1095</v>
      </c>
      <c r="E18" s="192">
        <v>3466966</v>
      </c>
      <c r="F18" s="192" t="s">
        <v>1097</v>
      </c>
      <c r="G18" s="290">
        <v>1</v>
      </c>
      <c r="H18" s="192">
        <v>13911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491.45</v>
      </c>
      <c r="O18" s="192">
        <v>14402.45</v>
      </c>
      <c r="P18" s="192">
        <v>1093</v>
      </c>
      <c r="Q18" s="192">
        <v>1331.43</v>
      </c>
      <c r="R18" s="192">
        <v>0</v>
      </c>
      <c r="S18" s="285">
        <v>1</v>
      </c>
      <c r="T18" s="192">
        <v>3231.53</v>
      </c>
      <c r="U18" s="291">
        <v>20058.41</v>
      </c>
      <c r="V18" s="291">
        <v>20058.41</v>
      </c>
      <c r="W18" s="292">
        <v>240700.91999999998</v>
      </c>
      <c r="X18" s="292">
        <v>240700.91999999998</v>
      </c>
      <c r="Y18" s="292">
        <v>240700.91999999998</v>
      </c>
      <c r="Z18" s="292">
        <v>254355.36</v>
      </c>
      <c r="AA18" s="290">
        <v>217470</v>
      </c>
      <c r="AB18" s="285">
        <v>217469.51519999997</v>
      </c>
      <c r="AC18" s="290">
        <v>20000</v>
      </c>
      <c r="AD18" s="192">
        <v>12</v>
      </c>
      <c r="AE18" s="290">
        <v>14000</v>
      </c>
      <c r="AF18" s="194">
        <v>312796.29629629629</v>
      </c>
      <c r="AG18" s="192" t="s">
        <v>2192</v>
      </c>
    </row>
    <row r="19" spans="1:34" x14ac:dyDescent="0.3">
      <c r="A19" s="192">
        <v>5830</v>
      </c>
      <c r="B19" s="192">
        <v>61</v>
      </c>
      <c r="C19" s="192">
        <v>3000</v>
      </c>
      <c r="D19" s="192" t="s">
        <v>1095</v>
      </c>
      <c r="E19" s="192">
        <v>3615546</v>
      </c>
      <c r="F19" s="192" t="s">
        <v>1098</v>
      </c>
      <c r="G19" s="290">
        <v>1</v>
      </c>
      <c r="H19" s="192">
        <v>5806.45</v>
      </c>
      <c r="I19" s="192">
        <v>386.65</v>
      </c>
      <c r="J19" s="192">
        <v>197.6</v>
      </c>
      <c r="K19" s="192">
        <v>0</v>
      </c>
      <c r="L19" s="192">
        <v>0</v>
      </c>
      <c r="M19" s="192">
        <v>0</v>
      </c>
      <c r="N19" s="192">
        <v>567.5</v>
      </c>
      <c r="O19" s="192">
        <v>6958.2</v>
      </c>
      <c r="P19" s="192">
        <v>272</v>
      </c>
      <c r="Q19" s="192">
        <v>521.86</v>
      </c>
      <c r="R19" s="192">
        <v>0</v>
      </c>
      <c r="S19" s="285">
        <v>1</v>
      </c>
      <c r="T19" s="192">
        <v>1367.12</v>
      </c>
      <c r="U19" s="291">
        <v>9119.18</v>
      </c>
      <c r="V19" s="291">
        <v>9119.18</v>
      </c>
      <c r="W19" s="292">
        <v>113231.76</v>
      </c>
      <c r="X19" s="292">
        <v>109430.16</v>
      </c>
      <c r="Y19" s="292">
        <v>112656.24</v>
      </c>
      <c r="Z19" s="292">
        <v>121571.13</v>
      </c>
      <c r="AA19" s="290">
        <v>124354.57055999999</v>
      </c>
      <c r="AB19" s="285">
        <v>123382.10079999999</v>
      </c>
      <c r="AC19" s="290">
        <v>9600</v>
      </c>
      <c r="AD19" s="192">
        <v>12</v>
      </c>
      <c r="AE19" s="290">
        <v>10000</v>
      </c>
      <c r="AF19" s="194">
        <v>125200</v>
      </c>
    </row>
    <row r="20" spans="1:34" x14ac:dyDescent="0.3">
      <c r="A20" s="192">
        <v>5830</v>
      </c>
      <c r="B20" s="192">
        <v>61</v>
      </c>
      <c r="C20" s="192">
        <v>3000</v>
      </c>
      <c r="D20" s="192" t="s">
        <v>1095</v>
      </c>
      <c r="E20" s="192">
        <v>3827808</v>
      </c>
      <c r="F20" s="192" t="s">
        <v>1099</v>
      </c>
      <c r="G20" s="290">
        <v>0.65</v>
      </c>
      <c r="H20" s="192">
        <v>4273.2</v>
      </c>
      <c r="I20" s="192">
        <v>247.32</v>
      </c>
      <c r="J20" s="192">
        <v>180.59</v>
      </c>
      <c r="K20" s="192">
        <v>0</v>
      </c>
      <c r="L20" s="192">
        <v>0</v>
      </c>
      <c r="M20" s="192">
        <v>0</v>
      </c>
      <c r="N20" s="192">
        <v>36.5</v>
      </c>
      <c r="O20" s="192">
        <v>4737.6099999999997</v>
      </c>
      <c r="P20" s="192">
        <v>23</v>
      </c>
      <c r="Q20" s="192">
        <v>355.32</v>
      </c>
      <c r="R20" s="192">
        <v>0</v>
      </c>
      <c r="S20" s="285">
        <v>0.65</v>
      </c>
      <c r="T20" s="192">
        <v>937.48</v>
      </c>
      <c r="U20" s="291">
        <v>6053.41</v>
      </c>
      <c r="V20" s="291">
        <v>6053.41</v>
      </c>
      <c r="W20" s="292">
        <v>72513.48</v>
      </c>
      <c r="X20" s="292">
        <v>72640.92</v>
      </c>
      <c r="Y20" s="292">
        <v>71724.160000000003</v>
      </c>
      <c r="Z20" s="292">
        <v>65546.2</v>
      </c>
      <c r="AA20" s="290">
        <v>67077.117689999999</v>
      </c>
      <c r="AB20" s="285">
        <v>66552.565449999995</v>
      </c>
      <c r="AC20" s="290">
        <v>6000</v>
      </c>
      <c r="AD20" s="192">
        <v>12</v>
      </c>
      <c r="AE20" s="290">
        <v>7000</v>
      </c>
      <c r="AF20" s="194">
        <v>79000</v>
      </c>
    </row>
    <row r="21" spans="1:34" s="293" customFormat="1" x14ac:dyDescent="0.3">
      <c r="A21" s="293">
        <v>5830</v>
      </c>
      <c r="B21" s="293">
        <v>61</v>
      </c>
      <c r="C21" s="293">
        <v>3000</v>
      </c>
      <c r="D21" s="293" t="s">
        <v>1095</v>
      </c>
      <c r="E21" s="293">
        <v>5429149</v>
      </c>
      <c r="F21" s="293" t="s">
        <v>1100</v>
      </c>
      <c r="G21" s="294">
        <v>1</v>
      </c>
      <c r="H21" s="293">
        <v>6027.42</v>
      </c>
      <c r="I21" s="293">
        <v>2485.06</v>
      </c>
      <c r="J21" s="293">
        <v>197.6</v>
      </c>
      <c r="K21" s="293">
        <v>1417.92</v>
      </c>
      <c r="L21" s="293">
        <v>0</v>
      </c>
      <c r="M21" s="293">
        <v>0</v>
      </c>
      <c r="N21" s="293">
        <v>36.5</v>
      </c>
      <c r="O21" s="293">
        <v>10164.5</v>
      </c>
      <c r="P21" s="293">
        <v>477</v>
      </c>
      <c r="Q21" s="293">
        <v>767.13</v>
      </c>
      <c r="R21" s="293">
        <v>0</v>
      </c>
      <c r="S21" s="285">
        <v>0.5</v>
      </c>
      <c r="T21" s="293">
        <v>973.39</v>
      </c>
      <c r="U21" s="295">
        <v>12382.02</v>
      </c>
      <c r="V21" s="295">
        <v>12382.02</v>
      </c>
      <c r="W21" s="296">
        <v>147802.44</v>
      </c>
      <c r="X21" s="296">
        <v>74292.12</v>
      </c>
      <c r="Y21" s="296">
        <v>146770.32</v>
      </c>
      <c r="Z21" s="296">
        <v>146081.98000000001</v>
      </c>
      <c r="AA21" s="294">
        <v>210600</v>
      </c>
      <c r="AB21" s="294">
        <v>67745.104175</v>
      </c>
      <c r="AC21" s="294">
        <v>12000</v>
      </c>
      <c r="AD21" s="293">
        <v>6</v>
      </c>
      <c r="AE21" s="294">
        <v>7000</v>
      </c>
      <c r="AF21" s="297">
        <v>79000</v>
      </c>
      <c r="AG21" s="293" t="s">
        <v>2193</v>
      </c>
    </row>
    <row r="22" spans="1:34" x14ac:dyDescent="0.3">
      <c r="A22" s="192">
        <v>5830</v>
      </c>
      <c r="B22" s="192">
        <v>61</v>
      </c>
      <c r="C22" s="192">
        <v>3000</v>
      </c>
      <c r="D22" s="192" t="s">
        <v>1095</v>
      </c>
      <c r="E22" s="192">
        <v>5542393</v>
      </c>
      <c r="F22" s="192" t="s">
        <v>1101</v>
      </c>
      <c r="G22" s="290">
        <v>1</v>
      </c>
      <c r="H22" s="192">
        <v>8738.9599999999991</v>
      </c>
      <c r="I22" s="192">
        <v>3544.81</v>
      </c>
      <c r="J22" s="192">
        <v>912.6</v>
      </c>
      <c r="K22" s="192">
        <v>0</v>
      </c>
      <c r="L22" s="192">
        <v>0</v>
      </c>
      <c r="M22" s="192">
        <v>0</v>
      </c>
      <c r="N22" s="192">
        <v>36.5</v>
      </c>
      <c r="O22" s="192">
        <v>13232.87</v>
      </c>
      <c r="P22" s="192">
        <v>749</v>
      </c>
      <c r="Q22" s="192">
        <v>992.47</v>
      </c>
      <c r="R22" s="192">
        <v>0</v>
      </c>
      <c r="S22" s="285">
        <v>1</v>
      </c>
      <c r="T22" s="192">
        <v>1340.39</v>
      </c>
      <c r="U22" s="291">
        <v>16314.73</v>
      </c>
      <c r="V22" s="291">
        <v>16314.73</v>
      </c>
      <c r="W22" s="292">
        <v>193064.40000000002</v>
      </c>
      <c r="X22" s="292">
        <v>195776.76</v>
      </c>
      <c r="Y22" s="292">
        <v>194564.2</v>
      </c>
      <c r="Z22" s="292">
        <v>235128.46</v>
      </c>
      <c r="AA22" s="290">
        <v>240036.49493999998</v>
      </c>
      <c r="AB22" s="285">
        <v>119079.68835</v>
      </c>
      <c r="AC22" s="290">
        <v>16300</v>
      </c>
      <c r="AD22" s="192">
        <v>12</v>
      </c>
      <c r="AE22" s="290">
        <v>10000</v>
      </c>
      <c r="AF22" s="194">
        <v>205600</v>
      </c>
    </row>
    <row r="23" spans="1:34" x14ac:dyDescent="0.3">
      <c r="A23" s="192">
        <v>5830</v>
      </c>
      <c r="B23" s="192">
        <v>61</v>
      </c>
      <c r="C23" s="192">
        <v>3000</v>
      </c>
      <c r="D23" s="192" t="s">
        <v>1095</v>
      </c>
      <c r="E23" s="192">
        <v>5569720</v>
      </c>
      <c r="F23" s="192" t="s">
        <v>1102</v>
      </c>
      <c r="G23" s="290">
        <v>1</v>
      </c>
      <c r="H23" s="192">
        <v>27822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946.4</v>
      </c>
      <c r="O23" s="192">
        <v>28768.400000000001</v>
      </c>
      <c r="P23" s="192">
        <v>2319</v>
      </c>
      <c r="Q23" s="192">
        <v>2541.1</v>
      </c>
      <c r="R23" s="192">
        <v>0</v>
      </c>
      <c r="S23" s="285">
        <v>1</v>
      </c>
      <c r="T23" s="192">
        <v>6508.52</v>
      </c>
      <c r="U23" s="291">
        <v>40137.019999999997</v>
      </c>
      <c r="V23" s="291">
        <v>40137.019999999997</v>
      </c>
      <c r="W23" s="292">
        <v>481644.24</v>
      </c>
      <c r="X23" s="292">
        <v>481644.24</v>
      </c>
      <c r="Y23" s="292">
        <v>481644.24</v>
      </c>
      <c r="Z23" s="292">
        <v>468145.5</v>
      </c>
      <c r="AA23" s="290">
        <v>478910.59590000001</v>
      </c>
      <c r="AB23" s="285">
        <v>475165.44949999999</v>
      </c>
      <c r="AC23" s="290">
        <v>40200</v>
      </c>
      <c r="AD23" s="192">
        <v>12</v>
      </c>
      <c r="AE23" s="290">
        <v>14000</v>
      </c>
      <c r="AF23" s="194">
        <v>496400</v>
      </c>
    </row>
    <row r="24" spans="1:34" x14ac:dyDescent="0.3">
      <c r="A24" s="192">
        <v>5830</v>
      </c>
      <c r="B24" s="192">
        <v>61</v>
      </c>
      <c r="C24" s="192">
        <v>3000</v>
      </c>
      <c r="D24" s="192" t="s">
        <v>1095</v>
      </c>
      <c r="E24" s="192">
        <v>5593594</v>
      </c>
      <c r="F24" s="192" t="s">
        <v>1103</v>
      </c>
      <c r="G24" s="290">
        <v>1</v>
      </c>
      <c r="H24" s="192">
        <v>6942.14</v>
      </c>
      <c r="I24" s="192">
        <v>2185.37</v>
      </c>
      <c r="J24" s="192">
        <v>197.6</v>
      </c>
      <c r="K24" s="192">
        <v>1425.24</v>
      </c>
      <c r="L24" s="192">
        <v>0</v>
      </c>
      <c r="M24" s="192">
        <v>0</v>
      </c>
      <c r="N24" s="192">
        <v>36.5</v>
      </c>
      <c r="O24" s="192">
        <v>10786.85</v>
      </c>
      <c r="P24" s="192">
        <v>590</v>
      </c>
      <c r="Q24" s="192">
        <v>836.13</v>
      </c>
      <c r="R24" s="192">
        <v>0</v>
      </c>
      <c r="S24" s="285">
        <v>1</v>
      </c>
      <c r="T24" s="192">
        <v>1018.96</v>
      </c>
      <c r="U24" s="291">
        <v>13231.94</v>
      </c>
      <c r="V24" s="291">
        <v>13231.94</v>
      </c>
      <c r="W24" s="292">
        <v>154609.44</v>
      </c>
      <c r="X24" s="292">
        <v>158783.28</v>
      </c>
      <c r="Y24" s="292">
        <v>157796.12</v>
      </c>
      <c r="Z24" s="292">
        <v>168077.76</v>
      </c>
      <c r="AA24" s="290">
        <v>172306.48841999995</v>
      </c>
      <c r="AB24" s="285">
        <v>170959.02809999997</v>
      </c>
      <c r="AC24" s="290">
        <v>13300</v>
      </c>
      <c r="AD24" s="192">
        <v>12</v>
      </c>
      <c r="AE24" s="290">
        <v>10000</v>
      </c>
      <c r="AF24" s="194">
        <v>169600</v>
      </c>
    </row>
    <row r="25" spans="1:34" x14ac:dyDescent="0.3">
      <c r="A25" s="192">
        <v>5830</v>
      </c>
      <c r="B25" s="192">
        <v>61</v>
      </c>
      <c r="C25" s="192">
        <v>3000</v>
      </c>
      <c r="D25" s="192" t="s">
        <v>1095</v>
      </c>
      <c r="E25" s="192">
        <v>5663872</v>
      </c>
      <c r="F25" s="192" t="s">
        <v>1104</v>
      </c>
      <c r="G25" s="290">
        <v>1</v>
      </c>
      <c r="H25" s="192">
        <v>7083.26</v>
      </c>
      <c r="I25" s="192">
        <v>1183.3599999999999</v>
      </c>
      <c r="J25" s="192">
        <v>197.6</v>
      </c>
      <c r="K25" s="192">
        <v>0</v>
      </c>
      <c r="L25" s="192">
        <v>0</v>
      </c>
      <c r="M25" s="192">
        <v>0</v>
      </c>
      <c r="N25" s="192">
        <v>36.5</v>
      </c>
      <c r="O25" s="192">
        <v>8500.7199999999993</v>
      </c>
      <c r="P25" s="192">
        <v>390</v>
      </c>
      <c r="Q25" s="192">
        <v>638.36</v>
      </c>
      <c r="R25" s="192">
        <v>0</v>
      </c>
      <c r="S25" s="285">
        <v>1</v>
      </c>
      <c r="T25" s="192">
        <v>829.82</v>
      </c>
      <c r="U25" s="291">
        <v>10358.9</v>
      </c>
      <c r="V25" s="291">
        <v>10358.9</v>
      </c>
      <c r="W25" s="292">
        <v>122469.36000000002</v>
      </c>
      <c r="X25" s="292">
        <v>124306.79999999999</v>
      </c>
      <c r="Y25" s="292">
        <v>123482.16</v>
      </c>
      <c r="Z25" s="292">
        <v>135687.32</v>
      </c>
      <c r="AA25" s="290">
        <v>138803.13611999998</v>
      </c>
      <c r="AB25" s="285">
        <v>137717.67659999998</v>
      </c>
      <c r="AC25" s="290">
        <v>10300</v>
      </c>
      <c r="AD25" s="192">
        <v>12</v>
      </c>
      <c r="AE25" s="290">
        <v>10000</v>
      </c>
      <c r="AF25" s="194">
        <v>133600</v>
      </c>
    </row>
    <row r="26" spans="1:34" x14ac:dyDescent="0.3">
      <c r="A26" s="192">
        <v>5830</v>
      </c>
      <c r="B26" s="192">
        <v>61</v>
      </c>
      <c r="C26" s="192">
        <v>3000</v>
      </c>
      <c r="D26" s="192" t="s">
        <v>1095</v>
      </c>
      <c r="E26" s="192">
        <v>5663918</v>
      </c>
      <c r="F26" s="192" t="s">
        <v>1105</v>
      </c>
      <c r="G26" s="290">
        <v>1</v>
      </c>
      <c r="H26" s="192">
        <v>6797.15</v>
      </c>
      <c r="I26" s="192">
        <v>390.42</v>
      </c>
      <c r="J26" s="192">
        <v>197.6</v>
      </c>
      <c r="K26" s="192">
        <v>0</v>
      </c>
      <c r="L26" s="192">
        <v>0</v>
      </c>
      <c r="M26" s="192">
        <v>0</v>
      </c>
      <c r="N26" s="192">
        <v>36.5</v>
      </c>
      <c r="O26" s="192">
        <v>7421.67</v>
      </c>
      <c r="P26" s="192">
        <v>308</v>
      </c>
      <c r="Q26" s="192">
        <v>557.42999999999995</v>
      </c>
      <c r="R26" s="192">
        <v>0</v>
      </c>
      <c r="S26" s="285">
        <v>1</v>
      </c>
      <c r="T26" s="192">
        <v>698.74</v>
      </c>
      <c r="U26" s="291">
        <v>8985.84</v>
      </c>
      <c r="V26" s="291">
        <v>8985.84</v>
      </c>
      <c r="W26" s="292">
        <v>106142.51999999999</v>
      </c>
      <c r="X26" s="292">
        <v>107830.08</v>
      </c>
      <c r="Y26" s="292">
        <v>105588.64</v>
      </c>
      <c r="Z26" s="292">
        <v>118531.42</v>
      </c>
      <c r="AA26" s="290">
        <v>121257.64265999998</v>
      </c>
      <c r="AB26" s="285">
        <v>120309.39129999999</v>
      </c>
      <c r="AC26" s="290">
        <v>8900</v>
      </c>
      <c r="AD26" s="192">
        <v>12</v>
      </c>
      <c r="AE26" s="290">
        <v>9000</v>
      </c>
      <c r="AF26" s="194">
        <v>115800</v>
      </c>
    </row>
    <row r="27" spans="1:34" x14ac:dyDescent="0.3">
      <c r="A27" s="192">
        <v>5830</v>
      </c>
      <c r="B27" s="192">
        <v>61</v>
      </c>
      <c r="C27" s="192">
        <v>3000</v>
      </c>
      <c r="D27" s="192" t="s">
        <v>1095</v>
      </c>
      <c r="E27" s="192">
        <v>5789222</v>
      </c>
      <c r="F27" s="192" t="s">
        <v>1106</v>
      </c>
      <c r="G27" s="290">
        <v>1</v>
      </c>
      <c r="H27" s="192">
        <v>7385.29</v>
      </c>
      <c r="I27" s="192">
        <v>2793.41</v>
      </c>
      <c r="J27" s="192">
        <v>197.6</v>
      </c>
      <c r="K27" s="192">
        <v>2379.67</v>
      </c>
      <c r="L27" s="192">
        <v>0</v>
      </c>
      <c r="M27" s="192">
        <v>0</v>
      </c>
      <c r="N27" s="192">
        <v>36.5</v>
      </c>
      <c r="O27" s="192">
        <v>12792.47</v>
      </c>
      <c r="P27" s="192">
        <v>724</v>
      </c>
      <c r="Q27" s="192">
        <v>966.53</v>
      </c>
      <c r="R27" s="192">
        <v>0</v>
      </c>
      <c r="S27" s="285">
        <v>1</v>
      </c>
      <c r="T27" s="192">
        <v>1197.8599999999999</v>
      </c>
      <c r="U27" s="291">
        <v>15680.86</v>
      </c>
      <c r="V27" s="291">
        <v>15680.86</v>
      </c>
      <c r="W27" s="292">
        <v>189564.48</v>
      </c>
      <c r="X27" s="292">
        <v>188170.32</v>
      </c>
      <c r="Y27" s="292">
        <v>189689.08</v>
      </c>
      <c r="Z27" s="292">
        <v>200241.12</v>
      </c>
      <c r="AA27" s="290">
        <v>205054.51889999997</v>
      </c>
      <c r="AB27" s="285">
        <v>203450.96449999997</v>
      </c>
      <c r="AC27" s="290">
        <v>16000</v>
      </c>
      <c r="AD27" s="192">
        <v>12</v>
      </c>
      <c r="AE27" s="290">
        <v>14000</v>
      </c>
      <c r="AF27" s="194">
        <v>206000</v>
      </c>
    </row>
    <row r="28" spans="1:34" x14ac:dyDescent="0.3">
      <c r="A28" s="192">
        <v>5830</v>
      </c>
      <c r="B28" s="192">
        <v>61</v>
      </c>
      <c r="C28" s="192">
        <v>3000</v>
      </c>
      <c r="D28" s="192" t="s">
        <v>1095</v>
      </c>
      <c r="E28" s="192">
        <v>5918907</v>
      </c>
      <c r="F28" s="192" t="s">
        <v>1107</v>
      </c>
      <c r="G28" s="290">
        <v>1</v>
      </c>
      <c r="H28" s="192">
        <v>7952.09</v>
      </c>
      <c r="I28" s="192">
        <v>2748.72</v>
      </c>
      <c r="J28" s="192">
        <v>543.4</v>
      </c>
      <c r="K28" s="192">
        <v>2083.9899999999998</v>
      </c>
      <c r="L28" s="192">
        <v>0</v>
      </c>
      <c r="M28" s="192">
        <v>0</v>
      </c>
      <c r="N28" s="192">
        <v>94.4</v>
      </c>
      <c r="O28" s="192">
        <v>13422.6</v>
      </c>
      <c r="P28" s="192">
        <v>783</v>
      </c>
      <c r="Q28" s="192">
        <v>1025.44</v>
      </c>
      <c r="R28" s="192">
        <v>0</v>
      </c>
      <c r="S28" s="285">
        <v>1</v>
      </c>
      <c r="T28" s="192">
        <v>1250.73</v>
      </c>
      <c r="U28" s="291">
        <v>16481.77</v>
      </c>
      <c r="V28" s="291">
        <v>16481.77</v>
      </c>
      <c r="W28" s="292">
        <v>163489.68</v>
      </c>
      <c r="X28" s="292">
        <v>197781.24</v>
      </c>
      <c r="Y28" s="292">
        <v>174259.28</v>
      </c>
      <c r="Z28" s="292">
        <v>174245.74</v>
      </c>
      <c r="AA28" s="290">
        <v>150440</v>
      </c>
      <c r="AB28" s="285">
        <v>150440.3971</v>
      </c>
      <c r="AC28" s="290">
        <v>15000</v>
      </c>
      <c r="AD28" s="192">
        <v>12</v>
      </c>
      <c r="AE28" s="290">
        <v>15250</v>
      </c>
      <c r="AF28" s="194">
        <v>195250</v>
      </c>
      <c r="AG28" s="192" t="s">
        <v>2194</v>
      </c>
    </row>
    <row r="29" spans="1:34" x14ac:dyDescent="0.3">
      <c r="A29" s="192">
        <v>5830</v>
      </c>
      <c r="B29" s="192">
        <v>61</v>
      </c>
      <c r="C29" s="192">
        <v>3000</v>
      </c>
      <c r="D29" s="192" t="s">
        <v>1095</v>
      </c>
      <c r="E29" s="192">
        <v>6845108</v>
      </c>
      <c r="F29" s="192" t="s">
        <v>1108</v>
      </c>
      <c r="G29" s="290">
        <v>1</v>
      </c>
      <c r="H29" s="192">
        <v>6568.08</v>
      </c>
      <c r="I29" s="192">
        <v>1728.77</v>
      </c>
      <c r="J29" s="192">
        <v>197.6</v>
      </c>
      <c r="K29" s="192">
        <v>0</v>
      </c>
      <c r="L29" s="192">
        <v>0</v>
      </c>
      <c r="M29" s="192">
        <v>0</v>
      </c>
      <c r="N29" s="192">
        <v>36.5</v>
      </c>
      <c r="O29" s="192">
        <v>8530.9500000000007</v>
      </c>
      <c r="P29" s="192">
        <v>77</v>
      </c>
      <c r="Q29" s="192">
        <v>639.82000000000005</v>
      </c>
      <c r="R29" s="192">
        <v>0</v>
      </c>
      <c r="S29" s="285">
        <v>1</v>
      </c>
      <c r="T29" s="192">
        <v>863.22</v>
      </c>
      <c r="U29" s="291">
        <v>10110.99</v>
      </c>
      <c r="V29" s="291">
        <v>10110.99</v>
      </c>
      <c r="W29" s="292">
        <v>117653.16</v>
      </c>
      <c r="X29" s="292">
        <v>121331.88</v>
      </c>
      <c r="Y29" s="292">
        <v>119024.63999999998</v>
      </c>
      <c r="Z29" s="292">
        <v>125712.03</v>
      </c>
      <c r="AA29" s="290">
        <v>128702.71952999999</v>
      </c>
      <c r="AB29" s="285">
        <v>127696.24664999999</v>
      </c>
      <c r="AC29" s="290">
        <v>10000</v>
      </c>
      <c r="AD29" s="192">
        <v>12</v>
      </c>
      <c r="AE29" s="290">
        <v>10000</v>
      </c>
      <c r="AF29" s="194">
        <v>130000</v>
      </c>
    </row>
    <row r="30" spans="1:34" s="203" customFormat="1" x14ac:dyDescent="0.3">
      <c r="A30" s="203">
        <v>5830</v>
      </c>
      <c r="B30" s="203">
        <v>61</v>
      </c>
      <c r="C30" s="203">
        <v>3000</v>
      </c>
      <c r="D30" s="203" t="s">
        <v>1095</v>
      </c>
      <c r="E30" s="203">
        <v>7369394</v>
      </c>
      <c r="F30" s="203" t="s">
        <v>1109</v>
      </c>
      <c r="G30" s="298">
        <v>1</v>
      </c>
      <c r="H30" s="203">
        <v>6425.57</v>
      </c>
      <c r="I30" s="203">
        <v>374.35</v>
      </c>
      <c r="J30" s="203">
        <v>191.53</v>
      </c>
      <c r="K30" s="203">
        <v>0</v>
      </c>
      <c r="L30" s="203">
        <v>0</v>
      </c>
      <c r="M30" s="203">
        <v>0</v>
      </c>
      <c r="N30" s="203">
        <v>36.5</v>
      </c>
      <c r="O30" s="203">
        <v>7027.95</v>
      </c>
      <c r="P30" s="203">
        <v>45</v>
      </c>
      <c r="Q30" s="203">
        <v>527.88</v>
      </c>
      <c r="R30" s="203">
        <v>0</v>
      </c>
      <c r="S30" s="285">
        <v>0.33333333333333331</v>
      </c>
      <c r="T30" s="203">
        <v>661.78</v>
      </c>
      <c r="U30" s="299">
        <v>8262.61</v>
      </c>
      <c r="V30" s="299">
        <v>8262.61</v>
      </c>
      <c r="W30" s="300">
        <v>97593.84</v>
      </c>
      <c r="X30" s="300">
        <v>33050.44</v>
      </c>
      <c r="Y30" s="300">
        <v>98449.4</v>
      </c>
      <c r="Z30" s="300">
        <v>104331.96</v>
      </c>
      <c r="AA30" s="298">
        <v>106731.59508</v>
      </c>
      <c r="AB30" s="298">
        <v>35298.979800000001</v>
      </c>
      <c r="AC30" s="298">
        <v>8300</v>
      </c>
      <c r="AD30" s="203">
        <v>4</v>
      </c>
      <c r="AE30" s="298">
        <v>10000</v>
      </c>
      <c r="AF30" s="204">
        <v>43200</v>
      </c>
      <c r="AG30" s="203" t="s">
        <v>1110</v>
      </c>
      <c r="AH30" s="203" t="s">
        <v>1111</v>
      </c>
    </row>
    <row r="31" spans="1:34" s="196" customFormat="1" x14ac:dyDescent="0.3">
      <c r="G31" s="288">
        <f>SUM(G12:G30)</f>
        <v>17.05</v>
      </c>
      <c r="H31" s="288">
        <f t="shared" ref="H31:AF31" si="2">SUM(H12:H30)</f>
        <v>126327.62999999998</v>
      </c>
      <c r="I31" s="288">
        <f t="shared" si="2"/>
        <v>18790.289999999997</v>
      </c>
      <c r="J31" s="288">
        <f t="shared" si="2"/>
        <v>4145.66</v>
      </c>
      <c r="K31" s="288">
        <f t="shared" si="2"/>
        <v>7850.69</v>
      </c>
      <c r="L31" s="288">
        <f t="shared" si="2"/>
        <v>0</v>
      </c>
      <c r="M31" s="288">
        <f t="shared" si="2"/>
        <v>0</v>
      </c>
      <c r="N31" s="288">
        <f t="shared" si="2"/>
        <v>2501.25</v>
      </c>
      <c r="O31" s="288">
        <f t="shared" si="2"/>
        <v>159615.52000000002</v>
      </c>
      <c r="P31" s="288">
        <f t="shared" si="2"/>
        <v>8344.18</v>
      </c>
      <c r="Q31" s="288">
        <f t="shared" si="2"/>
        <v>12668.7</v>
      </c>
      <c r="R31" s="288">
        <f t="shared" si="2"/>
        <v>0</v>
      </c>
      <c r="S31" s="288">
        <f>SUM(S12:S30)</f>
        <v>13.783333333333333</v>
      </c>
      <c r="T31" s="288">
        <f t="shared" si="2"/>
        <v>22507.790000000005</v>
      </c>
      <c r="U31" s="288">
        <f t="shared" si="2"/>
        <v>203136.19</v>
      </c>
      <c r="V31" s="288">
        <f t="shared" si="2"/>
        <v>203136.19</v>
      </c>
      <c r="W31" s="288">
        <f t="shared" si="2"/>
        <v>2418154.2000000002</v>
      </c>
      <c r="X31" s="288">
        <f t="shared" si="2"/>
        <v>2239816.64</v>
      </c>
      <c r="Y31" s="288">
        <f t="shared" si="2"/>
        <v>2425027.1999999997</v>
      </c>
      <c r="Z31" s="288">
        <f t="shared" si="2"/>
        <v>2462656.8699999996</v>
      </c>
      <c r="AA31" s="288">
        <f t="shared" si="2"/>
        <v>2516836.9584799996</v>
      </c>
      <c r="AB31" s="288">
        <f t="shared" si="2"/>
        <v>2115926.8803749997</v>
      </c>
      <c r="AC31" s="288">
        <f t="shared" si="2"/>
        <v>219683.61</v>
      </c>
      <c r="AD31" s="288">
        <f t="shared" si="2"/>
        <v>182</v>
      </c>
      <c r="AE31" s="288">
        <f t="shared" si="2"/>
        <v>157250</v>
      </c>
      <c r="AF31" s="288">
        <f t="shared" si="2"/>
        <v>2653849.616296296</v>
      </c>
      <c r="AG31" s="288"/>
    </row>
    <row r="32" spans="1:34" s="193" customFormat="1" x14ac:dyDescent="0.3">
      <c r="G32" s="285"/>
      <c r="S32" s="285"/>
      <c r="U32" s="286"/>
      <c r="V32" s="286"/>
      <c r="W32" s="285"/>
      <c r="X32" s="285"/>
      <c r="Y32" s="285"/>
      <c r="Z32" s="285"/>
      <c r="AA32" s="285"/>
      <c r="AB32" s="285"/>
      <c r="AC32" s="285"/>
      <c r="AD32" s="285"/>
      <c r="AE32" s="285"/>
      <c r="AF32" s="301"/>
      <c r="AG32" s="285"/>
    </row>
    <row r="33" spans="1:33" x14ac:dyDescent="0.3">
      <c r="A33" s="192">
        <v>5830</v>
      </c>
      <c r="B33" s="192">
        <v>61</v>
      </c>
      <c r="C33" s="192">
        <v>4000</v>
      </c>
      <c r="D33" s="192" t="s">
        <v>1112</v>
      </c>
      <c r="E33" s="192">
        <v>2391440</v>
      </c>
      <c r="F33" s="192" t="s">
        <v>1113</v>
      </c>
      <c r="G33" s="290">
        <v>1</v>
      </c>
      <c r="H33" s="192">
        <v>6313.86</v>
      </c>
      <c r="I33" s="192">
        <v>2350.42</v>
      </c>
      <c r="J33" s="192">
        <v>197.6</v>
      </c>
      <c r="K33" s="192">
        <v>1691.26</v>
      </c>
      <c r="L33" s="192">
        <v>0</v>
      </c>
      <c r="M33" s="192">
        <v>0</v>
      </c>
      <c r="N33" s="192">
        <v>36.5</v>
      </c>
      <c r="O33" s="192">
        <v>10589.64</v>
      </c>
      <c r="P33" s="192">
        <v>549</v>
      </c>
      <c r="Q33" s="192">
        <v>794.22</v>
      </c>
      <c r="R33" s="192">
        <v>0</v>
      </c>
      <c r="S33" s="285">
        <v>1</v>
      </c>
      <c r="T33" s="192">
        <v>993.5</v>
      </c>
      <c r="U33" s="291">
        <v>12926.36</v>
      </c>
      <c r="V33" s="291">
        <v>12926.36</v>
      </c>
      <c r="W33" s="292">
        <v>151298.16</v>
      </c>
      <c r="X33" s="292">
        <v>155116.32</v>
      </c>
      <c r="Y33" s="292">
        <v>154667.64000000001</v>
      </c>
      <c r="Z33" s="292">
        <v>168104.61</v>
      </c>
      <c r="AA33" s="290">
        <v>172055.43398999999</v>
      </c>
      <c r="AB33" s="285">
        <v>71129.140395833325</v>
      </c>
      <c r="AC33" s="290">
        <v>13300</v>
      </c>
      <c r="AD33" s="192">
        <v>12</v>
      </c>
      <c r="AE33" s="290">
        <v>12000</v>
      </c>
      <c r="AF33" s="194">
        <v>171600</v>
      </c>
    </row>
    <row r="34" spans="1:33" x14ac:dyDescent="0.3">
      <c r="A34" s="192">
        <v>5830</v>
      </c>
      <c r="B34" s="192">
        <v>61</v>
      </c>
      <c r="C34" s="192">
        <v>4000</v>
      </c>
      <c r="D34" s="192" t="s">
        <v>1112</v>
      </c>
      <c r="E34" s="192">
        <v>2889320</v>
      </c>
      <c r="F34" s="192" t="s">
        <v>1114</v>
      </c>
      <c r="G34" s="290">
        <v>1</v>
      </c>
      <c r="H34" s="192">
        <v>8828.7800000000007</v>
      </c>
      <c r="I34" s="192">
        <v>4705.17</v>
      </c>
      <c r="J34" s="192">
        <v>197.6</v>
      </c>
      <c r="K34" s="192">
        <v>2249.7800000000002</v>
      </c>
      <c r="L34" s="192">
        <v>0</v>
      </c>
      <c r="M34" s="192">
        <v>0</v>
      </c>
      <c r="N34" s="192">
        <v>133</v>
      </c>
      <c r="O34" s="192">
        <v>16114.33</v>
      </c>
      <c r="P34" s="192">
        <v>977</v>
      </c>
      <c r="Q34" s="192">
        <v>1216.45</v>
      </c>
      <c r="R34" s="192">
        <v>0</v>
      </c>
      <c r="S34" s="285">
        <v>0.5</v>
      </c>
      <c r="T34" s="192">
        <v>1645.97</v>
      </c>
      <c r="U34" s="291">
        <v>19953.75</v>
      </c>
      <c r="V34" s="291">
        <v>19953.75</v>
      </c>
      <c r="W34" s="292">
        <v>233706.72000000003</v>
      </c>
      <c r="X34" s="292">
        <v>119722.5</v>
      </c>
      <c r="Y34" s="292">
        <v>235297.28</v>
      </c>
      <c r="Z34" s="292">
        <v>258850.86</v>
      </c>
      <c r="AA34" s="290">
        <v>267173.91261</v>
      </c>
      <c r="AB34" s="285">
        <v>325200</v>
      </c>
      <c r="AC34" s="290">
        <v>20100</v>
      </c>
      <c r="AD34" s="192">
        <v>6</v>
      </c>
      <c r="AE34" s="290">
        <v>12000</v>
      </c>
      <c r="AF34" s="194">
        <v>132600</v>
      </c>
    </row>
    <row r="35" spans="1:33" x14ac:dyDescent="0.3">
      <c r="A35" s="192">
        <v>5830</v>
      </c>
      <c r="B35" s="192">
        <v>61</v>
      </c>
      <c r="C35" s="192">
        <v>4000</v>
      </c>
      <c r="D35" s="192" t="s">
        <v>1112</v>
      </c>
      <c r="E35" s="192">
        <v>2889320</v>
      </c>
      <c r="F35" s="192" t="s">
        <v>1114</v>
      </c>
      <c r="H35" s="192">
        <v>8828.7800000000007</v>
      </c>
      <c r="I35" s="192">
        <v>4705.17</v>
      </c>
      <c r="J35" s="192">
        <v>197.6</v>
      </c>
      <c r="K35" s="192">
        <v>2249.7800000000002</v>
      </c>
      <c r="L35" s="192">
        <v>0</v>
      </c>
      <c r="M35" s="192">
        <v>0</v>
      </c>
      <c r="N35" s="192">
        <v>133</v>
      </c>
      <c r="O35" s="192">
        <v>16114.33</v>
      </c>
      <c r="P35" s="192">
        <v>977</v>
      </c>
      <c r="Q35" s="192">
        <v>1216.45</v>
      </c>
      <c r="R35" s="192">
        <v>0</v>
      </c>
      <c r="S35" s="285">
        <v>0</v>
      </c>
      <c r="T35" s="192">
        <v>1645.97</v>
      </c>
      <c r="U35" s="291">
        <v>19953.75</v>
      </c>
      <c r="V35" s="291">
        <v>19953.75</v>
      </c>
      <c r="W35" s="292">
        <v>233706.72000000003</v>
      </c>
      <c r="X35" s="292">
        <v>119722.5</v>
      </c>
      <c r="Y35" s="292">
        <v>235297.28</v>
      </c>
      <c r="Z35" s="292">
        <v>258850.86</v>
      </c>
      <c r="AA35" s="290">
        <v>267173.91261</v>
      </c>
      <c r="AB35" s="285">
        <v>325200</v>
      </c>
      <c r="AC35" s="290">
        <v>25200</v>
      </c>
      <c r="AD35" s="192">
        <v>6</v>
      </c>
      <c r="AE35" s="290">
        <v>12000</v>
      </c>
      <c r="AF35" s="194">
        <v>163200</v>
      </c>
    </row>
    <row r="36" spans="1:33" s="196" customFormat="1" x14ac:dyDescent="0.3">
      <c r="G36" s="288">
        <f>SUM(G33:G35)</f>
        <v>2</v>
      </c>
      <c r="H36" s="288">
        <f t="shared" ref="H36:AF36" si="3">SUM(H33:H35)</f>
        <v>23971.42</v>
      </c>
      <c r="I36" s="288">
        <f t="shared" si="3"/>
        <v>11760.76</v>
      </c>
      <c r="J36" s="288">
        <f t="shared" si="3"/>
        <v>592.79999999999995</v>
      </c>
      <c r="K36" s="288">
        <f t="shared" si="3"/>
        <v>6190.82</v>
      </c>
      <c r="L36" s="288">
        <f t="shared" si="3"/>
        <v>0</v>
      </c>
      <c r="M36" s="288">
        <f t="shared" si="3"/>
        <v>0</v>
      </c>
      <c r="N36" s="288">
        <f t="shared" si="3"/>
        <v>302.5</v>
      </c>
      <c r="O36" s="288">
        <f t="shared" si="3"/>
        <v>42818.3</v>
      </c>
      <c r="P36" s="288">
        <f t="shared" si="3"/>
        <v>2503</v>
      </c>
      <c r="Q36" s="288">
        <f t="shared" si="3"/>
        <v>3227.12</v>
      </c>
      <c r="R36" s="288">
        <f t="shared" si="3"/>
        <v>0</v>
      </c>
      <c r="S36" s="288">
        <f t="shared" si="3"/>
        <v>1.5</v>
      </c>
      <c r="T36" s="288">
        <f t="shared" si="3"/>
        <v>4285.4400000000005</v>
      </c>
      <c r="U36" s="288">
        <f t="shared" si="3"/>
        <v>52833.86</v>
      </c>
      <c r="V36" s="288">
        <f t="shared" si="3"/>
        <v>52833.86</v>
      </c>
      <c r="W36" s="288">
        <f t="shared" si="3"/>
        <v>618711.60000000009</v>
      </c>
      <c r="X36" s="288">
        <f t="shared" si="3"/>
        <v>394561.32</v>
      </c>
      <c r="Y36" s="288">
        <f t="shared" si="3"/>
        <v>625262.20000000007</v>
      </c>
      <c r="Z36" s="288">
        <f t="shared" si="3"/>
        <v>685806.33</v>
      </c>
      <c r="AA36" s="288">
        <f t="shared" si="3"/>
        <v>706403.25921000005</v>
      </c>
      <c r="AB36" s="288">
        <f t="shared" si="3"/>
        <v>721529.1403958333</v>
      </c>
      <c r="AC36" s="288">
        <f t="shared" si="3"/>
        <v>58600</v>
      </c>
      <c r="AD36" s="288">
        <f t="shared" si="3"/>
        <v>24</v>
      </c>
      <c r="AE36" s="288">
        <f t="shared" si="3"/>
        <v>36000</v>
      </c>
      <c r="AF36" s="288">
        <f t="shared" si="3"/>
        <v>467400</v>
      </c>
      <c r="AG36" s="288"/>
    </row>
    <row r="37" spans="1:33" x14ac:dyDescent="0.3">
      <c r="W37" s="292"/>
      <c r="X37" s="292"/>
      <c r="Y37" s="292"/>
      <c r="Z37" s="292"/>
      <c r="AA37" s="290"/>
      <c r="AB37" s="285"/>
      <c r="AC37" s="290"/>
      <c r="AE37" s="290"/>
      <c r="AF37" s="194"/>
    </row>
    <row r="38" spans="1:33" x14ac:dyDescent="0.3">
      <c r="A38" s="192">
        <v>5830</v>
      </c>
      <c r="B38" s="192">
        <v>61</v>
      </c>
      <c r="C38" s="192">
        <v>5000</v>
      </c>
      <c r="D38" s="192" t="s">
        <v>1115</v>
      </c>
      <c r="E38" s="192">
        <v>2564695</v>
      </c>
      <c r="F38" s="192" t="s">
        <v>1116</v>
      </c>
      <c r="G38" s="290">
        <v>1</v>
      </c>
      <c r="H38" s="192">
        <v>18548</v>
      </c>
      <c r="I38" s="192">
        <v>0</v>
      </c>
      <c r="J38" s="192">
        <v>149</v>
      </c>
      <c r="K38" s="192">
        <v>2410.2399999999998</v>
      </c>
      <c r="L38" s="192">
        <v>0</v>
      </c>
      <c r="M38" s="192">
        <v>0</v>
      </c>
      <c r="N38" s="192">
        <v>643.1</v>
      </c>
      <c r="O38" s="192">
        <v>21750.34</v>
      </c>
      <c r="P38" s="192">
        <v>1431</v>
      </c>
      <c r="Q38" s="192">
        <v>1665.98</v>
      </c>
      <c r="R38" s="192">
        <v>0</v>
      </c>
      <c r="S38" s="285">
        <v>1</v>
      </c>
      <c r="T38" s="192">
        <v>4401.4399999999996</v>
      </c>
      <c r="U38" s="291">
        <v>29248.76</v>
      </c>
      <c r="V38" s="291">
        <v>29248.76</v>
      </c>
      <c r="W38" s="292">
        <v>350997.12</v>
      </c>
      <c r="X38" s="292">
        <v>350985.12</v>
      </c>
      <c r="Y38" s="292">
        <v>350993.12</v>
      </c>
      <c r="Z38" s="292">
        <v>356092.14</v>
      </c>
      <c r="AA38" s="290">
        <v>364310.72930999997</v>
      </c>
      <c r="AB38" s="285">
        <v>361461.76954999991</v>
      </c>
      <c r="AC38" s="290">
        <v>29300</v>
      </c>
      <c r="AD38" s="192">
        <v>12</v>
      </c>
      <c r="AE38" s="290">
        <v>10000</v>
      </c>
      <c r="AF38" s="194">
        <v>361600</v>
      </c>
    </row>
    <row r="39" spans="1:33" x14ac:dyDescent="0.3">
      <c r="A39" s="192">
        <v>5830</v>
      </c>
      <c r="B39" s="192">
        <v>61</v>
      </c>
      <c r="C39" s="192">
        <v>5000</v>
      </c>
      <c r="D39" s="192" t="s">
        <v>1115</v>
      </c>
      <c r="E39" s="192">
        <v>2733513</v>
      </c>
      <c r="F39" s="192" t="s">
        <v>1117</v>
      </c>
      <c r="G39" s="290">
        <v>1</v>
      </c>
      <c r="H39" s="192">
        <v>7538.9</v>
      </c>
      <c r="I39" s="192">
        <v>1371.14</v>
      </c>
      <c r="J39" s="192">
        <v>197.6</v>
      </c>
      <c r="K39" s="192">
        <v>1062.18</v>
      </c>
      <c r="L39" s="192">
        <v>0</v>
      </c>
      <c r="M39" s="192">
        <v>0</v>
      </c>
      <c r="N39" s="192">
        <v>36.5</v>
      </c>
      <c r="O39" s="192">
        <v>10206.32</v>
      </c>
      <c r="P39" s="192">
        <v>0</v>
      </c>
      <c r="Q39" s="192">
        <v>0</v>
      </c>
      <c r="R39" s="192">
        <v>0</v>
      </c>
      <c r="S39" s="285">
        <v>1</v>
      </c>
      <c r="T39" s="192">
        <v>39.18</v>
      </c>
      <c r="U39" s="291">
        <v>10245.5</v>
      </c>
      <c r="V39" s="291">
        <v>10245.5</v>
      </c>
      <c r="W39" s="292">
        <v>117967.20000000001</v>
      </c>
      <c r="X39" s="292">
        <v>122946</v>
      </c>
      <c r="Y39" s="292">
        <v>119582.28</v>
      </c>
      <c r="Z39" s="292">
        <v>160153.1</v>
      </c>
      <c r="AA39" s="290">
        <v>164078.85746999996</v>
      </c>
      <c r="AB39" s="285">
        <v>162795.73834999997</v>
      </c>
      <c r="AC39" s="290">
        <v>12000</v>
      </c>
      <c r="AD39" s="192">
        <v>12</v>
      </c>
      <c r="AE39" s="290">
        <v>10000</v>
      </c>
      <c r="AF39" s="194">
        <v>154000</v>
      </c>
    </row>
    <row r="40" spans="1:33" x14ac:dyDescent="0.3">
      <c r="A40" s="192">
        <v>5830</v>
      </c>
      <c r="B40" s="192">
        <v>61</v>
      </c>
      <c r="C40" s="192">
        <v>5000</v>
      </c>
      <c r="D40" s="192" t="s">
        <v>1115</v>
      </c>
      <c r="E40" s="192">
        <v>2733513</v>
      </c>
      <c r="F40" s="192" t="s">
        <v>1117</v>
      </c>
      <c r="G40" s="290">
        <v>0</v>
      </c>
      <c r="H40" s="192">
        <v>-58.58</v>
      </c>
      <c r="I40" s="192">
        <v>0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-58.58</v>
      </c>
      <c r="P40" s="192">
        <v>514</v>
      </c>
      <c r="Q40" s="192">
        <v>761.08</v>
      </c>
      <c r="R40" s="192">
        <v>0</v>
      </c>
      <c r="S40" s="285">
        <v>0</v>
      </c>
      <c r="T40" s="192">
        <v>781.89</v>
      </c>
      <c r="U40" s="291">
        <v>1998.39</v>
      </c>
      <c r="V40" s="291">
        <v>1998.39</v>
      </c>
      <c r="W40" s="292"/>
      <c r="X40" s="292">
        <v>23980.68</v>
      </c>
      <c r="Y40" s="292">
        <v>119582.28</v>
      </c>
      <c r="Z40" s="292"/>
      <c r="AA40" s="290"/>
      <c r="AB40" s="285">
        <v>162795.73834999997</v>
      </c>
      <c r="AC40" s="290"/>
      <c r="AD40" s="192">
        <v>12</v>
      </c>
      <c r="AE40" s="290"/>
      <c r="AF40" s="194">
        <v>0</v>
      </c>
    </row>
    <row r="41" spans="1:33" x14ac:dyDescent="0.3">
      <c r="A41" s="192">
        <v>5830</v>
      </c>
      <c r="B41" s="192">
        <v>61</v>
      </c>
      <c r="C41" s="192">
        <v>5000</v>
      </c>
      <c r="D41" s="192" t="s">
        <v>1115</v>
      </c>
      <c r="E41" s="192">
        <v>6850564</v>
      </c>
      <c r="F41" s="192" t="s">
        <v>1118</v>
      </c>
      <c r="G41" s="290">
        <v>1</v>
      </c>
      <c r="H41" s="192">
        <v>9288.81</v>
      </c>
      <c r="I41" s="192">
        <v>2565.6</v>
      </c>
      <c r="J41" s="192">
        <v>197.6</v>
      </c>
      <c r="K41" s="192">
        <v>2146.27</v>
      </c>
      <c r="L41" s="192">
        <v>0</v>
      </c>
      <c r="M41" s="192">
        <v>0</v>
      </c>
      <c r="N41" s="192">
        <v>36.5</v>
      </c>
      <c r="O41" s="192">
        <v>14234.78</v>
      </c>
      <c r="P41" s="192">
        <v>831</v>
      </c>
      <c r="Q41" s="192">
        <v>1073.23</v>
      </c>
      <c r="R41" s="192">
        <v>0</v>
      </c>
      <c r="S41" s="285">
        <v>1</v>
      </c>
      <c r="T41" s="192">
        <v>1321.45</v>
      </c>
      <c r="U41" s="291">
        <v>17460.46</v>
      </c>
      <c r="V41" s="291">
        <v>17460.46</v>
      </c>
      <c r="W41" s="292">
        <v>207100.32</v>
      </c>
      <c r="X41" s="292">
        <v>209525.52</v>
      </c>
      <c r="Y41" s="292">
        <v>213746.84000000003</v>
      </c>
      <c r="Z41" s="292">
        <v>222757.19</v>
      </c>
      <c r="AA41" s="290">
        <v>228092.05946999998</v>
      </c>
      <c r="AB41" s="285">
        <v>239448.34834999996</v>
      </c>
      <c r="AC41" s="290">
        <v>18500</v>
      </c>
      <c r="AD41" s="192">
        <v>12</v>
      </c>
      <c r="AE41" s="290">
        <v>15250</v>
      </c>
      <c r="AF41" s="194">
        <v>237250</v>
      </c>
      <c r="AG41" s="192" t="s">
        <v>2195</v>
      </c>
    </row>
    <row r="42" spans="1:33" s="196" customFormat="1" x14ac:dyDescent="0.3">
      <c r="G42" s="288">
        <f>SUM(G38:G41)</f>
        <v>3</v>
      </c>
      <c r="H42" s="288">
        <f t="shared" ref="H42:AE42" si="4">SUM(H38:H41)</f>
        <v>35317.129999999997</v>
      </c>
      <c r="I42" s="288">
        <f t="shared" si="4"/>
        <v>3936.74</v>
      </c>
      <c r="J42" s="288">
        <f t="shared" si="4"/>
        <v>544.20000000000005</v>
      </c>
      <c r="K42" s="288">
        <f t="shared" si="4"/>
        <v>5618.6900000000005</v>
      </c>
      <c r="L42" s="288">
        <f t="shared" si="4"/>
        <v>0</v>
      </c>
      <c r="M42" s="288">
        <f t="shared" si="4"/>
        <v>0</v>
      </c>
      <c r="N42" s="288">
        <f t="shared" si="4"/>
        <v>716.1</v>
      </c>
      <c r="O42" s="288">
        <f t="shared" si="4"/>
        <v>46132.86</v>
      </c>
      <c r="P42" s="288">
        <f t="shared" si="4"/>
        <v>2776</v>
      </c>
      <c r="Q42" s="288">
        <f t="shared" si="4"/>
        <v>3500.29</v>
      </c>
      <c r="R42" s="288">
        <f t="shared" si="4"/>
        <v>0</v>
      </c>
      <c r="S42" s="288">
        <f t="shared" si="4"/>
        <v>3</v>
      </c>
      <c r="T42" s="288">
        <f t="shared" si="4"/>
        <v>6543.96</v>
      </c>
      <c r="U42" s="288">
        <f t="shared" si="4"/>
        <v>58953.109999999993</v>
      </c>
      <c r="V42" s="288">
        <f t="shared" si="4"/>
        <v>58953.109999999993</v>
      </c>
      <c r="W42" s="288">
        <f t="shared" si="4"/>
        <v>676064.64</v>
      </c>
      <c r="X42" s="288">
        <f t="shared" si="4"/>
        <v>707437.32</v>
      </c>
      <c r="Y42" s="288">
        <f t="shared" si="4"/>
        <v>803904.52</v>
      </c>
      <c r="Z42" s="288">
        <f t="shared" si="4"/>
        <v>739002.42999999993</v>
      </c>
      <c r="AA42" s="288">
        <f t="shared" si="4"/>
        <v>756481.64624999987</v>
      </c>
      <c r="AB42" s="288">
        <f t="shared" si="4"/>
        <v>926501.59459999984</v>
      </c>
      <c r="AC42" s="288">
        <f t="shared" si="4"/>
        <v>59800</v>
      </c>
      <c r="AD42" s="288">
        <f t="shared" si="4"/>
        <v>48</v>
      </c>
      <c r="AE42" s="288">
        <f t="shared" si="4"/>
        <v>35250</v>
      </c>
      <c r="AF42" s="288">
        <f>SUM(AF38:AF41)</f>
        <v>752850</v>
      </c>
      <c r="AG42" s="288"/>
    </row>
    <row r="43" spans="1:33" s="193" customFormat="1" x14ac:dyDescent="0.3"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301"/>
    </row>
    <row r="44" spans="1:33" x14ac:dyDescent="0.3">
      <c r="A44" s="192">
        <v>5830</v>
      </c>
      <c r="B44" s="192">
        <v>61</v>
      </c>
      <c r="C44" s="192">
        <v>7000</v>
      </c>
      <c r="D44" s="192" t="s">
        <v>1120</v>
      </c>
      <c r="E44" s="192">
        <v>2549102</v>
      </c>
      <c r="F44" s="192" t="s">
        <v>1121</v>
      </c>
      <c r="G44" s="290">
        <v>1</v>
      </c>
      <c r="H44" s="192">
        <v>6178.1</v>
      </c>
      <c r="I44" s="192">
        <v>0</v>
      </c>
      <c r="J44" s="192">
        <v>197.6</v>
      </c>
      <c r="K44" s="192">
        <v>4176.8500000000004</v>
      </c>
      <c r="L44" s="192">
        <v>0</v>
      </c>
      <c r="M44" s="192">
        <v>0</v>
      </c>
      <c r="N44" s="192">
        <v>36.5</v>
      </c>
      <c r="O44" s="192">
        <v>10589.05</v>
      </c>
      <c r="P44" s="192">
        <v>560</v>
      </c>
      <c r="Q44" s="192">
        <v>805.43</v>
      </c>
      <c r="R44" s="192">
        <v>0</v>
      </c>
      <c r="S44" s="285">
        <v>1</v>
      </c>
      <c r="T44" s="192">
        <v>1322.11</v>
      </c>
      <c r="U44" s="291">
        <v>13276.59</v>
      </c>
      <c r="V44" s="291">
        <v>13276.59</v>
      </c>
      <c r="W44" s="292">
        <v>120826.92</v>
      </c>
      <c r="X44" s="292">
        <v>159319.08000000002</v>
      </c>
      <c r="Y44" s="292">
        <v>139645</v>
      </c>
      <c r="Z44" s="292">
        <v>52286.61</v>
      </c>
      <c r="AA44" s="290">
        <v>129740.26000000001</v>
      </c>
      <c r="AB44" s="285">
        <v>131686.3639</v>
      </c>
      <c r="AC44" s="290">
        <v>12000</v>
      </c>
      <c r="AD44" s="192">
        <v>12</v>
      </c>
      <c r="AE44" s="290">
        <v>12000</v>
      </c>
      <c r="AF44" s="194">
        <v>156000</v>
      </c>
      <c r="AG44" s="192" t="s">
        <v>1122</v>
      </c>
    </row>
    <row r="45" spans="1:33" x14ac:dyDescent="0.3">
      <c r="A45" s="192">
        <v>5830</v>
      </c>
      <c r="B45" s="192">
        <v>61</v>
      </c>
      <c r="C45" s="192">
        <v>7000</v>
      </c>
      <c r="D45" s="192" t="s">
        <v>1120</v>
      </c>
      <c r="E45" s="192">
        <v>2878293</v>
      </c>
      <c r="F45" s="192" t="s">
        <v>1123</v>
      </c>
      <c r="G45" s="290">
        <v>1</v>
      </c>
      <c r="H45" s="192">
        <v>23185</v>
      </c>
      <c r="I45" s="192">
        <v>143.31</v>
      </c>
      <c r="J45" s="192">
        <v>0</v>
      </c>
      <c r="K45" s="192">
        <v>2846.63</v>
      </c>
      <c r="L45" s="192">
        <v>0</v>
      </c>
      <c r="M45" s="192">
        <v>0</v>
      </c>
      <c r="N45" s="192">
        <v>867.25</v>
      </c>
      <c r="O45" s="192">
        <v>27042.19</v>
      </c>
      <c r="P45" s="192">
        <v>1849</v>
      </c>
      <c r="Q45" s="192">
        <v>2078.08</v>
      </c>
      <c r="R45" s="192">
        <v>0</v>
      </c>
      <c r="S45" s="285">
        <v>1</v>
      </c>
      <c r="T45" s="192">
        <v>5328.49</v>
      </c>
      <c r="U45" s="291">
        <v>36297.760000000002</v>
      </c>
      <c r="V45" s="291">
        <v>36297.760000000002</v>
      </c>
      <c r="W45" s="292">
        <v>439306.80000000005</v>
      </c>
      <c r="X45" s="292">
        <v>435573.12</v>
      </c>
      <c r="Y45" s="292">
        <v>442281.04000000004</v>
      </c>
      <c r="Z45" s="292">
        <v>443622.88</v>
      </c>
      <c r="AA45" s="290">
        <v>451460.86655999994</v>
      </c>
      <c r="AB45" s="285">
        <v>447930.38079999993</v>
      </c>
      <c r="AC45" s="290">
        <v>37000</v>
      </c>
      <c r="AD45" s="192">
        <v>12</v>
      </c>
      <c r="AE45" s="290">
        <v>15000</v>
      </c>
      <c r="AF45" s="194">
        <v>459000</v>
      </c>
    </row>
    <row r="46" spans="1:33" x14ac:dyDescent="0.3">
      <c r="A46" s="192">
        <v>5830</v>
      </c>
      <c r="B46" s="192">
        <v>61</v>
      </c>
      <c r="C46" s="192">
        <v>7000</v>
      </c>
      <c r="D46" s="192" t="s">
        <v>1120</v>
      </c>
      <c r="E46" s="192">
        <v>2889084</v>
      </c>
      <c r="F46" s="192" t="s">
        <v>1124</v>
      </c>
      <c r="G46" s="290">
        <v>1</v>
      </c>
      <c r="H46" s="192">
        <v>38465.64</v>
      </c>
      <c r="I46" s="192">
        <v>3940.45</v>
      </c>
      <c r="J46" s="192">
        <v>197.6</v>
      </c>
      <c r="K46" s="192">
        <v>4682.43</v>
      </c>
      <c r="L46" s="192">
        <v>0</v>
      </c>
      <c r="M46" s="192">
        <v>0</v>
      </c>
      <c r="N46" s="192">
        <v>36.5</v>
      </c>
      <c r="O46" s="192">
        <v>47322.62</v>
      </c>
      <c r="P46" s="192">
        <v>3048</v>
      </c>
      <c r="Q46" s="192">
        <v>3638.73</v>
      </c>
      <c r="R46" s="192">
        <v>0</v>
      </c>
      <c r="S46" s="285">
        <v>1</v>
      </c>
      <c r="T46" s="192">
        <v>3529.57</v>
      </c>
      <c r="U46" s="291">
        <v>57538.92</v>
      </c>
      <c r="V46" s="291">
        <v>57538.92</v>
      </c>
      <c r="W46" s="292">
        <v>196536.48</v>
      </c>
      <c r="X46" s="292">
        <v>690467.04</v>
      </c>
      <c r="Y46" s="292">
        <v>368706.24</v>
      </c>
      <c r="Z46" s="292">
        <v>187028.35</v>
      </c>
      <c r="AA46" s="290">
        <v>191826.08544</v>
      </c>
      <c r="AB46" s="285">
        <v>190325.97919999997</v>
      </c>
      <c r="AC46" s="290">
        <v>17000</v>
      </c>
      <c r="AD46" s="192">
        <v>12</v>
      </c>
      <c r="AE46" s="290">
        <v>49000</v>
      </c>
      <c r="AF46" s="194">
        <v>253000</v>
      </c>
      <c r="AG46" s="192" t="s">
        <v>1125</v>
      </c>
    </row>
    <row r="47" spans="1:33" x14ac:dyDescent="0.3">
      <c r="A47" s="192">
        <v>5830</v>
      </c>
      <c r="B47" s="192">
        <v>61</v>
      </c>
      <c r="C47" s="192">
        <v>7000</v>
      </c>
      <c r="D47" s="192" t="s">
        <v>1120</v>
      </c>
      <c r="E47" s="192">
        <v>3426082</v>
      </c>
      <c r="F47" s="192" t="s">
        <v>1126</v>
      </c>
      <c r="G47" s="290">
        <v>1</v>
      </c>
      <c r="H47" s="192">
        <v>5617.51</v>
      </c>
      <c r="I47" s="192">
        <v>380.11</v>
      </c>
      <c r="J47" s="192">
        <v>197.6</v>
      </c>
      <c r="K47" s="192">
        <v>0</v>
      </c>
      <c r="L47" s="192">
        <v>0</v>
      </c>
      <c r="M47" s="192">
        <v>0</v>
      </c>
      <c r="N47" s="192">
        <v>36.5</v>
      </c>
      <c r="O47" s="192">
        <v>6231.72</v>
      </c>
      <c r="P47" s="192">
        <v>255</v>
      </c>
      <c r="Q47" s="192">
        <v>504.88</v>
      </c>
      <c r="R47" s="192">
        <v>0</v>
      </c>
      <c r="S47" s="285">
        <v>1</v>
      </c>
      <c r="T47" s="192">
        <v>1298.73</v>
      </c>
      <c r="U47" s="291">
        <v>8290.33</v>
      </c>
      <c r="V47" s="291">
        <v>8290.33</v>
      </c>
      <c r="W47" s="292">
        <v>103026.72</v>
      </c>
      <c r="X47" s="292">
        <v>99483.959999999992</v>
      </c>
      <c r="Y47" s="292">
        <v>101504.63999999998</v>
      </c>
      <c r="Z47" s="292">
        <v>109485</v>
      </c>
      <c r="AA47" s="290">
        <v>111778.82132999999</v>
      </c>
      <c r="AB47" s="285">
        <v>122904.69564999999</v>
      </c>
      <c r="AC47" s="290">
        <v>8400</v>
      </c>
      <c r="AD47" s="192">
        <v>12</v>
      </c>
      <c r="AE47" s="290">
        <v>12000</v>
      </c>
      <c r="AF47" s="194">
        <v>112800</v>
      </c>
    </row>
    <row r="48" spans="1:33" s="196" customFormat="1" x14ac:dyDescent="0.3">
      <c r="G48" s="288">
        <f>SUM(G44:G47)</f>
        <v>4</v>
      </c>
      <c r="H48" s="288">
        <f t="shared" ref="H48:AF48" si="5">SUM(H44:H47)</f>
        <v>73446.249999999985</v>
      </c>
      <c r="I48" s="288">
        <f t="shared" si="5"/>
        <v>4463.87</v>
      </c>
      <c r="J48" s="288">
        <f t="shared" si="5"/>
        <v>592.79999999999995</v>
      </c>
      <c r="K48" s="288">
        <f t="shared" si="5"/>
        <v>11705.91</v>
      </c>
      <c r="L48" s="288">
        <f t="shared" si="5"/>
        <v>0</v>
      </c>
      <c r="M48" s="288">
        <f t="shared" si="5"/>
        <v>0</v>
      </c>
      <c r="N48" s="288">
        <f t="shared" si="5"/>
        <v>976.75</v>
      </c>
      <c r="O48" s="288">
        <f t="shared" si="5"/>
        <v>91185.58</v>
      </c>
      <c r="P48" s="288">
        <f t="shared" si="5"/>
        <v>5712</v>
      </c>
      <c r="Q48" s="288">
        <f t="shared" si="5"/>
        <v>7027.12</v>
      </c>
      <c r="R48" s="288">
        <f t="shared" si="5"/>
        <v>0</v>
      </c>
      <c r="S48" s="288">
        <f t="shared" si="5"/>
        <v>4</v>
      </c>
      <c r="T48" s="288">
        <f t="shared" si="5"/>
        <v>11478.9</v>
      </c>
      <c r="U48" s="288">
        <f t="shared" si="5"/>
        <v>115403.6</v>
      </c>
      <c r="V48" s="288">
        <f t="shared" si="5"/>
        <v>115403.6</v>
      </c>
      <c r="W48" s="288">
        <f t="shared" si="5"/>
        <v>859696.92</v>
      </c>
      <c r="X48" s="288">
        <f t="shared" si="5"/>
        <v>1384843.2</v>
      </c>
      <c r="Y48" s="288">
        <f t="shared" si="5"/>
        <v>1052136.92</v>
      </c>
      <c r="Z48" s="288">
        <f t="shared" si="5"/>
        <v>792422.84</v>
      </c>
      <c r="AA48" s="288">
        <f t="shared" si="5"/>
        <v>884806.03333000001</v>
      </c>
      <c r="AB48" s="288">
        <f t="shared" si="5"/>
        <v>892847.41954999988</v>
      </c>
      <c r="AC48" s="288">
        <f t="shared" si="5"/>
        <v>74400</v>
      </c>
      <c r="AD48" s="288">
        <f t="shared" si="5"/>
        <v>48</v>
      </c>
      <c r="AE48" s="288">
        <f t="shared" si="5"/>
        <v>88000</v>
      </c>
      <c r="AF48" s="288">
        <f t="shared" si="5"/>
        <v>980800</v>
      </c>
      <c r="AG48" s="288"/>
    </row>
    <row r="49" spans="1:33" x14ac:dyDescent="0.3">
      <c r="W49" s="292"/>
      <c r="X49" s="292"/>
      <c r="Y49" s="292"/>
      <c r="Z49" s="292"/>
      <c r="AA49" s="290"/>
      <c r="AB49" s="285"/>
      <c r="AC49" s="290"/>
      <c r="AE49" s="290"/>
      <c r="AF49" s="194"/>
    </row>
    <row r="50" spans="1:33" x14ac:dyDescent="0.3">
      <c r="A50" s="192">
        <v>5830</v>
      </c>
      <c r="B50" s="192">
        <v>62</v>
      </c>
      <c r="C50" s="192">
        <v>1000</v>
      </c>
      <c r="D50" s="192" t="s">
        <v>1127</v>
      </c>
      <c r="E50" s="192">
        <v>2556054</v>
      </c>
      <c r="F50" s="192" t="s">
        <v>1128</v>
      </c>
      <c r="G50" s="290">
        <v>1</v>
      </c>
      <c r="H50" s="192">
        <v>24731</v>
      </c>
      <c r="I50" s="192">
        <v>0</v>
      </c>
      <c r="J50" s="192">
        <v>0</v>
      </c>
      <c r="K50" s="192">
        <v>0</v>
      </c>
      <c r="L50" s="192">
        <v>0</v>
      </c>
      <c r="M50" s="192">
        <v>0</v>
      </c>
      <c r="N50" s="192">
        <v>845.3</v>
      </c>
      <c r="O50" s="192">
        <v>25576.3</v>
      </c>
      <c r="P50" s="192">
        <v>2028</v>
      </c>
      <c r="Q50" s="192">
        <v>2254.6999999999998</v>
      </c>
      <c r="R50" s="192">
        <v>0</v>
      </c>
      <c r="S50" s="285">
        <v>1</v>
      </c>
      <c r="T50" s="192">
        <v>5763.63</v>
      </c>
      <c r="U50" s="291">
        <v>35622.629999999997</v>
      </c>
      <c r="V50" s="291">
        <v>35622.629999999997</v>
      </c>
      <c r="W50" s="292">
        <v>429727.55999999994</v>
      </c>
      <c r="X50" s="292">
        <v>427471.55999999994</v>
      </c>
      <c r="Y50" s="292">
        <v>428134.55999999994</v>
      </c>
      <c r="Z50" s="292">
        <v>196843.57</v>
      </c>
      <c r="AA50" s="290">
        <v>201145.03233000002</v>
      </c>
      <c r="AB50" s="285">
        <v>458122.47000000003</v>
      </c>
      <c r="AC50" s="290">
        <v>35700</v>
      </c>
      <c r="AD50" s="192">
        <v>12</v>
      </c>
      <c r="AE50" s="290">
        <v>15000</v>
      </c>
      <c r="AF50" s="194">
        <v>443400</v>
      </c>
      <c r="AG50" s="192" t="s">
        <v>1129</v>
      </c>
    </row>
    <row r="51" spans="1:33" x14ac:dyDescent="0.3">
      <c r="A51" s="192">
        <v>5830</v>
      </c>
      <c r="B51" s="192">
        <v>62</v>
      </c>
      <c r="C51" s="192">
        <v>1000</v>
      </c>
      <c r="D51" s="192" t="s">
        <v>1127</v>
      </c>
      <c r="E51" s="192">
        <v>2660760</v>
      </c>
      <c r="F51" s="192" t="s">
        <v>1130</v>
      </c>
      <c r="G51" s="290">
        <v>1</v>
      </c>
      <c r="H51" s="192">
        <v>5454.1</v>
      </c>
      <c r="I51" s="192">
        <v>370.28</v>
      </c>
      <c r="J51" s="192">
        <v>197.6</v>
      </c>
      <c r="K51" s="192">
        <v>1199.29</v>
      </c>
      <c r="L51" s="192">
        <v>0</v>
      </c>
      <c r="M51" s="192">
        <v>0</v>
      </c>
      <c r="N51" s="192">
        <v>353.5</v>
      </c>
      <c r="O51" s="192">
        <v>7574.77</v>
      </c>
      <c r="P51" s="192">
        <v>338</v>
      </c>
      <c r="Q51" s="192">
        <v>586.86</v>
      </c>
      <c r="R51" s="192">
        <v>0</v>
      </c>
      <c r="S51" s="285">
        <v>0.83333333333333337</v>
      </c>
      <c r="T51" s="192">
        <v>1332.85</v>
      </c>
      <c r="U51" s="291">
        <v>9832.48</v>
      </c>
      <c r="V51" s="291">
        <v>9832.48</v>
      </c>
      <c r="W51" s="292">
        <v>128676.95999999999</v>
      </c>
      <c r="X51" s="292">
        <v>98324.799999999988</v>
      </c>
      <c r="Y51" s="292">
        <v>122301.95999999999</v>
      </c>
      <c r="Z51" s="292">
        <v>126262.06</v>
      </c>
      <c r="AA51" s="290">
        <v>129667.28576999997</v>
      </c>
      <c r="AB51" s="285">
        <v>135601.26984999998</v>
      </c>
      <c r="AC51" s="290">
        <v>10000</v>
      </c>
      <c r="AD51" s="192">
        <v>10</v>
      </c>
      <c r="AE51" s="290">
        <v>7000</v>
      </c>
      <c r="AF51" s="194">
        <v>107000</v>
      </c>
      <c r="AG51" s="192" t="s">
        <v>1131</v>
      </c>
    </row>
    <row r="52" spans="1:33" x14ac:dyDescent="0.3">
      <c r="A52" s="192">
        <v>5830</v>
      </c>
      <c r="B52" s="192">
        <v>62</v>
      </c>
      <c r="C52" s="192">
        <v>1000</v>
      </c>
      <c r="D52" s="192" t="s">
        <v>1127</v>
      </c>
      <c r="E52" s="192">
        <v>3634153</v>
      </c>
      <c r="F52" s="192" t="s">
        <v>1132</v>
      </c>
      <c r="G52" s="290">
        <v>1</v>
      </c>
      <c r="H52" s="192">
        <v>5802.28</v>
      </c>
      <c r="I52" s="192">
        <v>397.08</v>
      </c>
      <c r="J52" s="192">
        <v>197.6</v>
      </c>
      <c r="K52" s="192">
        <v>3360.2</v>
      </c>
      <c r="L52" s="192">
        <v>0</v>
      </c>
      <c r="M52" s="192">
        <v>0</v>
      </c>
      <c r="N52" s="192">
        <v>36.5</v>
      </c>
      <c r="O52" s="192">
        <v>9793.66</v>
      </c>
      <c r="P52" s="192">
        <v>508</v>
      </c>
      <c r="Q52" s="192">
        <v>753.27</v>
      </c>
      <c r="R52" s="192">
        <v>0</v>
      </c>
      <c r="S52" s="285">
        <v>1</v>
      </c>
      <c r="T52" s="192">
        <v>655.52</v>
      </c>
      <c r="U52" s="291">
        <v>11710.45</v>
      </c>
      <c r="V52" s="291">
        <v>11710.45</v>
      </c>
      <c r="W52" s="292">
        <v>119987.28</v>
      </c>
      <c r="X52" s="292">
        <v>140525.40000000002</v>
      </c>
      <c r="Y52" s="292">
        <v>128682.03999999998</v>
      </c>
      <c r="Z52" s="292">
        <v>129574.2</v>
      </c>
      <c r="AA52" s="290">
        <v>132032.14463999998</v>
      </c>
      <c r="AB52" s="285">
        <v>130999.63519999999</v>
      </c>
      <c r="AC52" s="290">
        <v>10600</v>
      </c>
      <c r="AD52" s="192">
        <v>12</v>
      </c>
      <c r="AE52" s="290">
        <v>8000</v>
      </c>
      <c r="AF52" s="194">
        <v>135200</v>
      </c>
    </row>
    <row r="53" spans="1:33" s="196" customFormat="1" x14ac:dyDescent="0.3">
      <c r="G53" s="288">
        <f>SUM(G50:G52)</f>
        <v>3</v>
      </c>
      <c r="H53" s="288">
        <f t="shared" ref="H53:AF53" si="6">SUM(H50:H52)</f>
        <v>35987.379999999997</v>
      </c>
      <c r="I53" s="288">
        <f t="shared" si="6"/>
        <v>767.3599999999999</v>
      </c>
      <c r="J53" s="288">
        <f t="shared" si="6"/>
        <v>395.2</v>
      </c>
      <c r="K53" s="288">
        <f t="shared" si="6"/>
        <v>4559.49</v>
      </c>
      <c r="L53" s="288">
        <f t="shared" si="6"/>
        <v>0</v>
      </c>
      <c r="M53" s="288">
        <f t="shared" si="6"/>
        <v>0</v>
      </c>
      <c r="N53" s="288">
        <f t="shared" si="6"/>
        <v>1235.3</v>
      </c>
      <c r="O53" s="288">
        <f t="shared" si="6"/>
        <v>42944.729999999996</v>
      </c>
      <c r="P53" s="288">
        <f t="shared" si="6"/>
        <v>2874</v>
      </c>
      <c r="Q53" s="288">
        <f t="shared" si="6"/>
        <v>3594.83</v>
      </c>
      <c r="R53" s="288">
        <f t="shared" si="6"/>
        <v>0</v>
      </c>
      <c r="S53" s="288">
        <f t="shared" si="6"/>
        <v>2.8333333333333335</v>
      </c>
      <c r="T53" s="288">
        <f t="shared" si="6"/>
        <v>7752</v>
      </c>
      <c r="U53" s="288">
        <f t="shared" si="6"/>
        <v>57165.56</v>
      </c>
      <c r="V53" s="288">
        <f t="shared" si="6"/>
        <v>57165.56</v>
      </c>
      <c r="W53" s="288">
        <f t="shared" si="6"/>
        <v>678391.79999999993</v>
      </c>
      <c r="X53" s="288">
        <f t="shared" si="6"/>
        <v>666321.75999999989</v>
      </c>
      <c r="Y53" s="288">
        <f t="shared" si="6"/>
        <v>679118.55999999982</v>
      </c>
      <c r="Z53" s="288">
        <f t="shared" si="6"/>
        <v>452679.83</v>
      </c>
      <c r="AA53" s="288">
        <f t="shared" si="6"/>
        <v>462844.46273999999</v>
      </c>
      <c r="AB53" s="288">
        <f t="shared" si="6"/>
        <v>724723.37505000003</v>
      </c>
      <c r="AC53" s="288">
        <f t="shared" si="6"/>
        <v>56300</v>
      </c>
      <c r="AD53" s="288">
        <f t="shared" si="6"/>
        <v>34</v>
      </c>
      <c r="AE53" s="288">
        <f t="shared" si="6"/>
        <v>30000</v>
      </c>
      <c r="AF53" s="288">
        <f t="shared" si="6"/>
        <v>685600</v>
      </c>
      <c r="AG53" s="288"/>
    </row>
    <row r="54" spans="1:33" x14ac:dyDescent="0.3">
      <c r="W54" s="292"/>
      <c r="X54" s="292"/>
      <c r="Y54" s="292"/>
      <c r="Z54" s="292"/>
      <c r="AA54" s="290"/>
      <c r="AB54" s="285"/>
      <c r="AC54" s="290"/>
      <c r="AE54" s="290"/>
      <c r="AF54" s="194"/>
    </row>
    <row r="55" spans="1:33" x14ac:dyDescent="0.3">
      <c r="A55" s="192">
        <v>5830</v>
      </c>
      <c r="B55" s="192">
        <v>62</v>
      </c>
      <c r="C55" s="192">
        <v>1300</v>
      </c>
      <c r="D55" s="192" t="s">
        <v>1092</v>
      </c>
      <c r="E55" s="192">
        <v>2155137</v>
      </c>
      <c r="F55" s="192" t="s">
        <v>1093</v>
      </c>
      <c r="G55" s="290">
        <v>0.9</v>
      </c>
      <c r="H55" s="192">
        <v>4404.99</v>
      </c>
      <c r="I55" s="192">
        <v>333.74</v>
      </c>
      <c r="J55" s="192">
        <v>192.74</v>
      </c>
      <c r="K55" s="192">
        <v>543.87</v>
      </c>
      <c r="L55" s="192">
        <v>0</v>
      </c>
      <c r="M55" s="192">
        <v>0</v>
      </c>
      <c r="N55" s="192">
        <v>36.5</v>
      </c>
      <c r="O55" s="192">
        <v>5511.84</v>
      </c>
      <c r="P55" s="192">
        <v>195</v>
      </c>
      <c r="Q55" s="192">
        <v>413.39</v>
      </c>
      <c r="R55" s="192">
        <v>0</v>
      </c>
      <c r="S55" s="285">
        <v>0.3</v>
      </c>
      <c r="T55" s="192">
        <v>1057.8499999999999</v>
      </c>
      <c r="U55" s="291">
        <v>7178.08</v>
      </c>
      <c r="V55" s="291">
        <v>7178.08</v>
      </c>
      <c r="W55" s="292">
        <v>100585.68</v>
      </c>
      <c r="X55" s="292">
        <v>28712.32</v>
      </c>
      <c r="Y55" s="292">
        <v>95412.6</v>
      </c>
      <c r="Z55" s="292">
        <v>24634.26</v>
      </c>
      <c r="AA55" s="290">
        <v>32187.590159999996</v>
      </c>
      <c r="AB55" s="285">
        <v>100659.77284999999</v>
      </c>
      <c r="AC55" s="290">
        <v>8000</v>
      </c>
      <c r="AD55" s="192">
        <v>4</v>
      </c>
      <c r="AE55" s="290">
        <v>7000</v>
      </c>
      <c r="AF55" s="194">
        <v>39000</v>
      </c>
      <c r="AG55" s="192" t="s">
        <v>1094</v>
      </c>
    </row>
    <row r="56" spans="1:33" x14ac:dyDescent="0.3">
      <c r="A56" s="192">
        <v>5830</v>
      </c>
      <c r="B56" s="192">
        <v>62</v>
      </c>
      <c r="C56" s="192">
        <v>1300</v>
      </c>
      <c r="D56" s="192" t="s">
        <v>1092</v>
      </c>
      <c r="E56" s="192">
        <v>3305296</v>
      </c>
      <c r="F56" s="192" t="s">
        <v>1133</v>
      </c>
      <c r="G56" s="290">
        <v>1</v>
      </c>
      <c r="H56" s="192">
        <v>6710.25</v>
      </c>
      <c r="I56" s="192">
        <v>406.04</v>
      </c>
      <c r="J56" s="192">
        <v>197.6</v>
      </c>
      <c r="K56" s="192">
        <v>1062.18</v>
      </c>
      <c r="L56" s="192">
        <v>0</v>
      </c>
      <c r="M56" s="192">
        <v>0</v>
      </c>
      <c r="N56" s="192">
        <v>36.5</v>
      </c>
      <c r="O56" s="192">
        <v>8412.57</v>
      </c>
      <c r="P56" s="192">
        <v>403</v>
      </c>
      <c r="Q56" s="192">
        <v>649.70000000000005</v>
      </c>
      <c r="R56" s="192">
        <v>0</v>
      </c>
      <c r="S56" s="285">
        <v>1</v>
      </c>
      <c r="T56" s="192">
        <v>625.52</v>
      </c>
      <c r="U56" s="291">
        <v>10090.790000000001</v>
      </c>
      <c r="V56" s="291">
        <v>10090.790000000001</v>
      </c>
      <c r="W56" s="292">
        <v>120870.84</v>
      </c>
      <c r="X56" s="292">
        <v>121089.48000000001</v>
      </c>
      <c r="Y56" s="292">
        <v>124725.2</v>
      </c>
      <c r="Z56" s="292">
        <v>126768.08</v>
      </c>
      <c r="AA56" s="290">
        <v>130478.52476999997</v>
      </c>
      <c r="AB56" s="285">
        <v>129458.16484999997</v>
      </c>
      <c r="AC56" s="290">
        <v>10200</v>
      </c>
      <c r="AD56" s="192">
        <v>12</v>
      </c>
      <c r="AE56" s="290">
        <v>8000</v>
      </c>
      <c r="AF56" s="194">
        <v>130400</v>
      </c>
    </row>
    <row r="57" spans="1:33" x14ac:dyDescent="0.3">
      <c r="A57" s="192">
        <v>5830</v>
      </c>
      <c r="B57" s="192">
        <v>62</v>
      </c>
      <c r="C57" s="192">
        <v>1300</v>
      </c>
      <c r="D57" s="192" t="s">
        <v>1092</v>
      </c>
      <c r="E57" s="192">
        <v>3970592</v>
      </c>
      <c r="F57" s="192" t="s">
        <v>1134</v>
      </c>
      <c r="G57" s="290">
        <v>0.2</v>
      </c>
      <c r="H57" s="192">
        <v>1124.03</v>
      </c>
      <c r="I57" s="192">
        <v>72.42</v>
      </c>
      <c r="J57" s="192">
        <v>9.7200000000000006</v>
      </c>
      <c r="K57" s="192">
        <v>0</v>
      </c>
      <c r="L57" s="192">
        <v>0</v>
      </c>
      <c r="M57" s="192">
        <v>0</v>
      </c>
      <c r="N57" s="192">
        <v>0</v>
      </c>
      <c r="O57" s="192">
        <v>1206.17</v>
      </c>
      <c r="P57" s="192">
        <v>0</v>
      </c>
      <c r="Q57" s="192">
        <v>0</v>
      </c>
      <c r="R57" s="192">
        <v>0</v>
      </c>
      <c r="S57" s="285">
        <v>0.20000000000000004</v>
      </c>
      <c r="T57" s="192">
        <v>0</v>
      </c>
      <c r="U57" s="291">
        <v>1206.17</v>
      </c>
      <c r="V57" s="291">
        <v>1206.17</v>
      </c>
      <c r="W57" s="292">
        <v>14219.52</v>
      </c>
      <c r="X57" s="292">
        <v>14474.04</v>
      </c>
      <c r="Y57" s="292">
        <v>14358.68</v>
      </c>
      <c r="Z57" s="292">
        <v>20271.21</v>
      </c>
      <c r="AA57" s="290">
        <v>20733.744569999999</v>
      </c>
      <c r="AB57" s="285">
        <v>20571.60385</v>
      </c>
      <c r="AC57" s="290">
        <v>1500</v>
      </c>
      <c r="AD57" s="192">
        <v>12</v>
      </c>
      <c r="AE57" s="290">
        <v>3000</v>
      </c>
      <c r="AF57" s="194">
        <v>21000</v>
      </c>
    </row>
    <row r="58" spans="1:33" s="205" customFormat="1" x14ac:dyDescent="0.3">
      <c r="A58" s="205">
        <v>5830</v>
      </c>
      <c r="B58" s="205">
        <v>62</v>
      </c>
      <c r="C58" s="205">
        <v>1300</v>
      </c>
      <c r="D58" s="205" t="s">
        <v>1092</v>
      </c>
      <c r="E58" s="205">
        <v>5547608</v>
      </c>
      <c r="F58" s="205" t="s">
        <v>1135</v>
      </c>
      <c r="G58" s="302">
        <v>1</v>
      </c>
      <c r="H58" s="205">
        <v>7685.02</v>
      </c>
      <c r="I58" s="205">
        <v>2200.15</v>
      </c>
      <c r="J58" s="205">
        <v>197.6</v>
      </c>
      <c r="K58" s="205">
        <v>1535.47</v>
      </c>
      <c r="L58" s="205">
        <v>0</v>
      </c>
      <c r="M58" s="205">
        <v>0</v>
      </c>
      <c r="N58" s="205">
        <v>36.5</v>
      </c>
      <c r="O58" s="205">
        <v>11654.74</v>
      </c>
      <c r="P58" s="205">
        <v>629</v>
      </c>
      <c r="Q58" s="205">
        <v>874.11</v>
      </c>
      <c r="R58" s="205">
        <v>0</v>
      </c>
      <c r="S58" s="285">
        <v>0.5</v>
      </c>
      <c r="T58" s="205">
        <v>1094.3900000000001</v>
      </c>
      <c r="U58" s="303">
        <v>14252.24</v>
      </c>
      <c r="V58" s="303">
        <v>14252.24</v>
      </c>
      <c r="W58" s="304">
        <v>177084.36000000002</v>
      </c>
      <c r="X58" s="304">
        <v>85513.44</v>
      </c>
      <c r="Y58" s="304">
        <v>174814.36</v>
      </c>
      <c r="Z58" s="304">
        <v>193720.21</v>
      </c>
      <c r="AA58" s="302">
        <v>198056.92268999998</v>
      </c>
      <c r="AB58" s="302">
        <v>96802.014999999999</v>
      </c>
      <c r="AC58" s="302">
        <v>14800</v>
      </c>
      <c r="AD58" s="205">
        <v>6</v>
      </c>
      <c r="AE58" s="302">
        <v>12000</v>
      </c>
      <c r="AF58" s="206">
        <v>100800</v>
      </c>
      <c r="AG58" s="205" t="s">
        <v>1136</v>
      </c>
    </row>
    <row r="59" spans="1:33" x14ac:dyDescent="0.3">
      <c r="A59" s="192">
        <v>5830</v>
      </c>
      <c r="B59" s="192">
        <v>62</v>
      </c>
      <c r="C59" s="192">
        <v>1300</v>
      </c>
      <c r="D59" s="192" t="s">
        <v>1092</v>
      </c>
      <c r="E59" s="192">
        <v>5865742</v>
      </c>
      <c r="F59" s="192" t="s">
        <v>1137</v>
      </c>
      <c r="G59" s="290">
        <v>1</v>
      </c>
      <c r="H59" s="192">
        <v>6542.31</v>
      </c>
      <c r="I59" s="192">
        <v>402.63</v>
      </c>
      <c r="J59" s="192">
        <v>197.6</v>
      </c>
      <c r="K59" s="192">
        <v>0</v>
      </c>
      <c r="L59" s="192">
        <v>0</v>
      </c>
      <c r="M59" s="192">
        <v>0</v>
      </c>
      <c r="N59" s="192">
        <v>36.5</v>
      </c>
      <c r="O59" s="192">
        <v>7179.04</v>
      </c>
      <c r="P59" s="192">
        <v>290</v>
      </c>
      <c r="Q59" s="192">
        <v>539.23</v>
      </c>
      <c r="R59" s="192">
        <v>0</v>
      </c>
      <c r="S59" s="285">
        <v>1</v>
      </c>
      <c r="T59" s="192">
        <v>676.77</v>
      </c>
      <c r="U59" s="291">
        <v>8685.0400000000009</v>
      </c>
      <c r="V59" s="291">
        <v>8685.0400000000009</v>
      </c>
      <c r="W59" s="292">
        <v>103219.44</v>
      </c>
      <c r="X59" s="292">
        <v>104220.48000000001</v>
      </c>
      <c r="Y59" s="292">
        <v>105401.68</v>
      </c>
      <c r="Z59" s="292">
        <v>113132.19</v>
      </c>
      <c r="AA59" s="290">
        <v>115340.54927999999</v>
      </c>
      <c r="AB59" s="285">
        <v>114438.57039999998</v>
      </c>
      <c r="AC59" s="290">
        <v>8800</v>
      </c>
      <c r="AD59" s="192">
        <v>12</v>
      </c>
      <c r="AE59" s="290">
        <v>12000</v>
      </c>
      <c r="AF59" s="194">
        <v>117600</v>
      </c>
    </row>
    <row r="60" spans="1:33" x14ac:dyDescent="0.3">
      <c r="A60" s="192">
        <v>5830</v>
      </c>
      <c r="B60" s="192">
        <v>62</v>
      </c>
      <c r="C60" s="192">
        <v>1300</v>
      </c>
      <c r="D60" s="192" t="s">
        <v>1092</v>
      </c>
      <c r="E60" s="192">
        <v>31384830</v>
      </c>
      <c r="F60" s="192" t="s">
        <v>1138</v>
      </c>
      <c r="G60" s="290">
        <v>1</v>
      </c>
      <c r="H60" s="192">
        <v>7594.24</v>
      </c>
      <c r="I60" s="192">
        <v>879</v>
      </c>
      <c r="J60" s="192">
        <v>197.6</v>
      </c>
      <c r="K60" s="192">
        <v>0</v>
      </c>
      <c r="L60" s="192">
        <v>0</v>
      </c>
      <c r="M60" s="192">
        <v>0</v>
      </c>
      <c r="N60" s="192">
        <v>36.5</v>
      </c>
      <c r="O60" s="192">
        <v>8707.34</v>
      </c>
      <c r="P60" s="192">
        <v>406</v>
      </c>
      <c r="Q60" s="192">
        <v>653.04999999999995</v>
      </c>
      <c r="R60" s="192">
        <v>0</v>
      </c>
      <c r="S60" s="285">
        <v>1</v>
      </c>
      <c r="T60" s="192">
        <v>1831.82</v>
      </c>
      <c r="U60" s="291">
        <v>11598.21</v>
      </c>
      <c r="V60" s="291">
        <v>11598.21</v>
      </c>
      <c r="W60" s="292">
        <v>147189.12</v>
      </c>
      <c r="X60" s="292">
        <v>139178.51999999999</v>
      </c>
      <c r="Y60" s="292">
        <v>142568.6</v>
      </c>
      <c r="Z60" s="292">
        <v>148521.85999999999</v>
      </c>
      <c r="AA60" s="290">
        <v>151954.63998000001</v>
      </c>
      <c r="AB60" s="285">
        <v>162766.3339</v>
      </c>
      <c r="AC60" s="290">
        <v>11900</v>
      </c>
      <c r="AD60" s="192">
        <v>12</v>
      </c>
      <c r="AE60" s="290">
        <v>12000</v>
      </c>
      <c r="AF60" s="194">
        <v>154800</v>
      </c>
    </row>
    <row r="61" spans="1:33" s="196" customFormat="1" x14ac:dyDescent="0.3">
      <c r="G61" s="288">
        <f>SUM(G55:G60)</f>
        <v>5.0999999999999996</v>
      </c>
      <c r="H61" s="288">
        <f t="shared" ref="H61:AF61" si="7">SUM(H55:H60)</f>
        <v>34060.840000000004</v>
      </c>
      <c r="I61" s="288">
        <f t="shared" si="7"/>
        <v>4293.9799999999996</v>
      </c>
      <c r="J61" s="288">
        <f t="shared" si="7"/>
        <v>992.86000000000013</v>
      </c>
      <c r="K61" s="288">
        <f t="shared" si="7"/>
        <v>3141.5200000000004</v>
      </c>
      <c r="L61" s="288">
        <f t="shared" si="7"/>
        <v>0</v>
      </c>
      <c r="M61" s="288">
        <f t="shared" si="7"/>
        <v>0</v>
      </c>
      <c r="N61" s="288">
        <f t="shared" si="7"/>
        <v>182.5</v>
      </c>
      <c r="O61" s="288">
        <f t="shared" si="7"/>
        <v>42671.7</v>
      </c>
      <c r="P61" s="288">
        <f t="shared" si="7"/>
        <v>1923</v>
      </c>
      <c r="Q61" s="288">
        <f t="shared" si="7"/>
        <v>3129.4800000000005</v>
      </c>
      <c r="R61" s="288">
        <f t="shared" si="7"/>
        <v>0</v>
      </c>
      <c r="S61" s="288">
        <f t="shared" si="7"/>
        <v>4</v>
      </c>
      <c r="T61" s="288">
        <f t="shared" si="7"/>
        <v>5286.35</v>
      </c>
      <c r="U61" s="288">
        <f t="shared" si="7"/>
        <v>53010.53</v>
      </c>
      <c r="V61" s="288">
        <f t="shared" si="7"/>
        <v>53010.53</v>
      </c>
      <c r="W61" s="288">
        <f t="shared" si="7"/>
        <v>663168.96</v>
      </c>
      <c r="X61" s="288">
        <f t="shared" si="7"/>
        <v>493188.28</v>
      </c>
      <c r="Y61" s="288">
        <f t="shared" si="7"/>
        <v>657281.12</v>
      </c>
      <c r="Z61" s="288">
        <f t="shared" si="7"/>
        <v>627047.81000000006</v>
      </c>
      <c r="AA61" s="288">
        <f t="shared" si="7"/>
        <v>648751.97144999995</v>
      </c>
      <c r="AB61" s="288">
        <f t="shared" si="7"/>
        <v>624696.46084999992</v>
      </c>
      <c r="AC61" s="288">
        <f t="shared" si="7"/>
        <v>55200</v>
      </c>
      <c r="AD61" s="288">
        <f t="shared" si="7"/>
        <v>58</v>
      </c>
      <c r="AE61" s="288">
        <f t="shared" si="7"/>
        <v>54000</v>
      </c>
      <c r="AF61" s="288">
        <f t="shared" si="7"/>
        <v>563600</v>
      </c>
      <c r="AG61" s="288"/>
    </row>
    <row r="62" spans="1:33" s="193" customFormat="1" x14ac:dyDescent="0.3"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301"/>
      <c r="AG62" s="285"/>
    </row>
    <row r="63" spans="1:33" x14ac:dyDescent="0.3">
      <c r="A63" s="192">
        <v>5830</v>
      </c>
      <c r="B63" s="192">
        <v>62</v>
      </c>
      <c r="C63" s="192">
        <v>1400</v>
      </c>
      <c r="D63" s="192" t="s">
        <v>1139</v>
      </c>
      <c r="E63" s="192">
        <v>3209646</v>
      </c>
      <c r="F63" s="192" t="s">
        <v>1140</v>
      </c>
      <c r="G63" s="290">
        <v>1</v>
      </c>
      <c r="H63" s="192">
        <v>5584.86</v>
      </c>
      <c r="I63" s="192">
        <v>555.37</v>
      </c>
      <c r="J63" s="192">
        <v>197.6</v>
      </c>
      <c r="K63" s="192">
        <v>2759.24</v>
      </c>
      <c r="L63" s="192">
        <v>0</v>
      </c>
      <c r="M63" s="192">
        <v>0</v>
      </c>
      <c r="N63" s="192">
        <v>36.5</v>
      </c>
      <c r="O63" s="192">
        <v>9133.57</v>
      </c>
      <c r="P63" s="192">
        <v>464</v>
      </c>
      <c r="Q63" s="192">
        <v>710.07</v>
      </c>
      <c r="R63" s="192">
        <v>0</v>
      </c>
      <c r="S63" s="285">
        <v>1</v>
      </c>
      <c r="T63" s="192">
        <v>632.29</v>
      </c>
      <c r="U63" s="291">
        <v>10939.93</v>
      </c>
      <c r="V63" s="291">
        <v>10939.93</v>
      </c>
      <c r="W63" s="292">
        <v>127067.63999999998</v>
      </c>
      <c r="X63" s="292">
        <v>131279.16</v>
      </c>
      <c r="Y63" s="292">
        <v>130287.07999999999</v>
      </c>
      <c r="Z63" s="292">
        <v>132932.65</v>
      </c>
      <c r="AA63" s="290">
        <v>135578.17976999999</v>
      </c>
      <c r="AB63" s="285">
        <v>134517.93984999997</v>
      </c>
      <c r="AC63" s="290">
        <v>10900</v>
      </c>
      <c r="AD63" s="192">
        <v>12</v>
      </c>
      <c r="AE63" s="290">
        <v>8000</v>
      </c>
      <c r="AF63" s="194">
        <v>138800</v>
      </c>
    </row>
    <row r="64" spans="1:33" x14ac:dyDescent="0.3">
      <c r="A64" s="192">
        <v>5830</v>
      </c>
      <c r="B64" s="192">
        <v>62</v>
      </c>
      <c r="C64" s="192">
        <v>1400</v>
      </c>
      <c r="D64" s="192" t="s">
        <v>1139</v>
      </c>
      <c r="E64" s="192">
        <v>5417542</v>
      </c>
      <c r="F64" s="192" t="s">
        <v>1141</v>
      </c>
      <c r="G64" s="290">
        <v>0.5</v>
      </c>
      <c r="H64" s="192">
        <v>3394.54</v>
      </c>
      <c r="I64" s="192">
        <v>922.41</v>
      </c>
      <c r="J64" s="192">
        <v>98.8</v>
      </c>
      <c r="K64" s="192">
        <v>0</v>
      </c>
      <c r="L64" s="192">
        <v>0</v>
      </c>
      <c r="M64" s="192">
        <v>0</v>
      </c>
      <c r="N64" s="192">
        <v>36.5</v>
      </c>
      <c r="O64" s="192">
        <v>4452.25</v>
      </c>
      <c r="P64" s="192">
        <v>145</v>
      </c>
      <c r="Q64" s="192">
        <v>333.92</v>
      </c>
      <c r="R64" s="192">
        <v>0</v>
      </c>
      <c r="S64" s="285">
        <v>0.5</v>
      </c>
      <c r="T64" s="192">
        <v>459.9</v>
      </c>
      <c r="U64" s="291">
        <v>5391.07</v>
      </c>
      <c r="V64" s="291">
        <v>5391.07</v>
      </c>
      <c r="W64" s="292">
        <v>63640.200000000004</v>
      </c>
      <c r="X64" s="292">
        <v>64692.84</v>
      </c>
      <c r="Y64" s="292">
        <v>64229.960000000006</v>
      </c>
      <c r="Z64" s="292">
        <v>70272.5</v>
      </c>
      <c r="AA64" s="290">
        <v>71748.87225</v>
      </c>
      <c r="AB64" s="285">
        <v>71187.78624999999</v>
      </c>
      <c r="AC64" s="290">
        <v>5300</v>
      </c>
      <c r="AD64" s="192">
        <v>12</v>
      </c>
      <c r="AE64" s="290">
        <v>8000</v>
      </c>
      <c r="AF64" s="194">
        <v>71600</v>
      </c>
    </row>
    <row r="65" spans="1:33" s="196" customFormat="1" x14ac:dyDescent="0.3">
      <c r="G65" s="288">
        <f>SUM(G63:G64)</f>
        <v>1.5</v>
      </c>
      <c r="H65" s="288">
        <f t="shared" ref="H65:AE65" si="8">SUM(H63:H64)</f>
        <v>8979.4</v>
      </c>
      <c r="I65" s="288">
        <f t="shared" si="8"/>
        <v>1477.78</v>
      </c>
      <c r="J65" s="288">
        <f t="shared" si="8"/>
        <v>296.39999999999998</v>
      </c>
      <c r="K65" s="288">
        <f t="shared" si="8"/>
        <v>2759.24</v>
      </c>
      <c r="L65" s="288">
        <f t="shared" si="8"/>
        <v>0</v>
      </c>
      <c r="M65" s="288">
        <f t="shared" si="8"/>
        <v>0</v>
      </c>
      <c r="N65" s="288">
        <f t="shared" si="8"/>
        <v>73</v>
      </c>
      <c r="O65" s="288">
        <f t="shared" si="8"/>
        <v>13585.82</v>
      </c>
      <c r="P65" s="288">
        <f t="shared" si="8"/>
        <v>609</v>
      </c>
      <c r="Q65" s="288">
        <f t="shared" si="8"/>
        <v>1043.99</v>
      </c>
      <c r="R65" s="288">
        <f t="shared" si="8"/>
        <v>0</v>
      </c>
      <c r="S65" s="288">
        <f t="shared" si="8"/>
        <v>1.5</v>
      </c>
      <c r="T65" s="288">
        <f t="shared" si="8"/>
        <v>1092.19</v>
      </c>
      <c r="U65" s="288">
        <f t="shared" si="8"/>
        <v>16331</v>
      </c>
      <c r="V65" s="288">
        <f t="shared" si="8"/>
        <v>16331</v>
      </c>
      <c r="W65" s="288">
        <f t="shared" si="8"/>
        <v>190707.84</v>
      </c>
      <c r="X65" s="288">
        <f t="shared" si="8"/>
        <v>195972</v>
      </c>
      <c r="Y65" s="288">
        <f t="shared" si="8"/>
        <v>194517.03999999998</v>
      </c>
      <c r="Z65" s="288">
        <f t="shared" si="8"/>
        <v>203205.15</v>
      </c>
      <c r="AA65" s="288">
        <f t="shared" si="8"/>
        <v>207327.05202</v>
      </c>
      <c r="AB65" s="288">
        <f t="shared" si="8"/>
        <v>205705.72609999997</v>
      </c>
      <c r="AC65" s="288">
        <f t="shared" si="8"/>
        <v>16200</v>
      </c>
      <c r="AD65" s="288">
        <f t="shared" si="8"/>
        <v>24</v>
      </c>
      <c r="AE65" s="288">
        <f t="shared" si="8"/>
        <v>16000</v>
      </c>
      <c r="AF65" s="288">
        <f>SUM(AF63:AF64)</f>
        <v>210400</v>
      </c>
      <c r="AG65" s="288"/>
    </row>
    <row r="66" spans="1:33" s="193" customFormat="1" x14ac:dyDescent="0.3"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301"/>
      <c r="AG66" s="285"/>
    </row>
    <row r="67" spans="1:33" x14ac:dyDescent="0.3">
      <c r="W67" s="292"/>
      <c r="X67" s="292"/>
      <c r="Y67" s="292"/>
      <c r="Z67" s="292"/>
      <c r="AA67" s="290"/>
      <c r="AB67" s="285"/>
      <c r="AC67" s="290"/>
      <c r="AE67" s="290"/>
      <c r="AF67" s="194">
        <v>0</v>
      </c>
    </row>
    <row r="68" spans="1:33" x14ac:dyDescent="0.3">
      <c r="A68" s="192">
        <v>5830</v>
      </c>
      <c r="B68" s="192">
        <v>71</v>
      </c>
      <c r="C68" s="192">
        <v>1000</v>
      </c>
      <c r="D68" s="192" t="s">
        <v>1142</v>
      </c>
      <c r="E68" s="192">
        <v>2244315</v>
      </c>
      <c r="F68" s="192" t="s">
        <v>1143</v>
      </c>
      <c r="G68" s="290">
        <v>0.25</v>
      </c>
      <c r="H68" s="192">
        <v>1331.73</v>
      </c>
      <c r="I68" s="192">
        <v>87.61</v>
      </c>
      <c r="J68" s="192">
        <v>9.11</v>
      </c>
      <c r="K68" s="192">
        <v>0</v>
      </c>
      <c r="L68" s="192">
        <v>0</v>
      </c>
      <c r="M68" s="192">
        <v>0</v>
      </c>
      <c r="N68" s="192">
        <v>0</v>
      </c>
      <c r="O68" s="192">
        <v>1428.45</v>
      </c>
      <c r="P68" s="192">
        <v>0</v>
      </c>
      <c r="Q68" s="192">
        <v>0</v>
      </c>
      <c r="R68" s="192">
        <v>0</v>
      </c>
      <c r="S68" s="285">
        <v>0.25</v>
      </c>
      <c r="T68" s="192">
        <v>0</v>
      </c>
      <c r="U68" s="291">
        <v>1428.45</v>
      </c>
      <c r="V68" s="291">
        <v>1428.45</v>
      </c>
      <c r="W68" s="292">
        <v>16832.16</v>
      </c>
      <c r="X68" s="292">
        <v>17141.400000000001</v>
      </c>
      <c r="Y68" s="292">
        <v>2360</v>
      </c>
      <c r="Z68" s="292">
        <v>5712.27</v>
      </c>
      <c r="AA68" s="290">
        <v>8241.8506499999985</v>
      </c>
      <c r="AB68" s="285">
        <v>8177.3982499999984</v>
      </c>
      <c r="AC68" s="290">
        <v>2600</v>
      </c>
      <c r="AD68" s="192">
        <v>12</v>
      </c>
      <c r="AE68" s="290">
        <v>2000</v>
      </c>
      <c r="AF68" s="194">
        <v>33200</v>
      </c>
    </row>
    <row r="69" spans="1:33" x14ac:dyDescent="0.3">
      <c r="A69" s="192">
        <v>5830</v>
      </c>
      <c r="B69" s="192">
        <v>71</v>
      </c>
      <c r="C69" s="192">
        <v>1000</v>
      </c>
      <c r="D69" s="192" t="s">
        <v>1142</v>
      </c>
      <c r="E69" s="192">
        <v>3311952</v>
      </c>
      <c r="F69" s="192" t="s">
        <v>1144</v>
      </c>
      <c r="G69" s="290">
        <v>0.25</v>
      </c>
      <c r="H69" s="192">
        <v>2072.3200000000002</v>
      </c>
      <c r="I69" s="192">
        <v>527.16</v>
      </c>
      <c r="J69" s="192">
        <v>43.33</v>
      </c>
      <c r="K69" s="192">
        <v>0</v>
      </c>
      <c r="L69" s="192">
        <v>0</v>
      </c>
      <c r="M69" s="192">
        <v>0</v>
      </c>
      <c r="N69" s="192">
        <v>88.38</v>
      </c>
      <c r="O69" s="192">
        <v>2731.19</v>
      </c>
      <c r="P69" s="192">
        <v>324.16000000000003</v>
      </c>
      <c r="Q69" s="192">
        <v>423.09</v>
      </c>
      <c r="R69" s="192">
        <v>0</v>
      </c>
      <c r="S69" s="285">
        <v>0.10416666666666667</v>
      </c>
      <c r="T69" s="192">
        <v>234.26</v>
      </c>
      <c r="U69" s="291">
        <v>3712.7</v>
      </c>
      <c r="V69" s="291">
        <v>3712.7</v>
      </c>
      <c r="W69" s="292">
        <v>41801.520000000004</v>
      </c>
      <c r="X69" s="292">
        <v>18563.5</v>
      </c>
      <c r="Y69" s="292">
        <v>43628.4</v>
      </c>
      <c r="Z69" s="292">
        <v>16872.310000000001</v>
      </c>
      <c r="AA69" s="290">
        <v>13521.410429999998</v>
      </c>
      <c r="AB69" s="285">
        <v>325200</v>
      </c>
      <c r="AC69" s="290">
        <v>3600</v>
      </c>
      <c r="AD69" s="192">
        <v>5</v>
      </c>
      <c r="AE69" s="290">
        <v>2500</v>
      </c>
      <c r="AF69" s="194">
        <v>20500</v>
      </c>
    </row>
    <row r="70" spans="1:33" x14ac:dyDescent="0.3">
      <c r="A70" s="192">
        <v>5830</v>
      </c>
      <c r="B70" s="192">
        <v>71</v>
      </c>
      <c r="C70" s="192">
        <v>1000</v>
      </c>
      <c r="D70" s="192" t="s">
        <v>1142</v>
      </c>
      <c r="E70" s="192">
        <v>3311952</v>
      </c>
      <c r="F70" s="192" t="s">
        <v>1144</v>
      </c>
      <c r="G70" s="290">
        <v>0.75</v>
      </c>
      <c r="H70" s="192">
        <v>2072.3200000000002</v>
      </c>
      <c r="I70" s="192">
        <v>527.16</v>
      </c>
      <c r="J70" s="192">
        <v>43.33</v>
      </c>
      <c r="K70" s="192">
        <v>0</v>
      </c>
      <c r="L70" s="192">
        <v>0</v>
      </c>
      <c r="M70" s="192">
        <v>0</v>
      </c>
      <c r="N70" s="192">
        <v>88.38</v>
      </c>
      <c r="O70" s="192">
        <v>2731.19</v>
      </c>
      <c r="P70" s="192">
        <v>324.16000000000003</v>
      </c>
      <c r="Q70" s="192">
        <v>423.09</v>
      </c>
      <c r="R70" s="192">
        <v>0</v>
      </c>
      <c r="S70" s="285">
        <v>0.4375</v>
      </c>
      <c r="T70" s="192">
        <v>234.26</v>
      </c>
      <c r="U70" s="291">
        <v>3712.7</v>
      </c>
      <c r="V70" s="291">
        <v>3712.7</v>
      </c>
      <c r="W70" s="292">
        <v>41801.520000000004</v>
      </c>
      <c r="X70" s="292">
        <v>25988.899999999998</v>
      </c>
      <c r="Y70" s="292">
        <v>43628.4</v>
      </c>
      <c r="Z70" s="292">
        <v>16872.310000000001</v>
      </c>
      <c r="AA70" s="290">
        <v>13521.410429999998</v>
      </c>
      <c r="AB70" s="285">
        <v>325200</v>
      </c>
      <c r="AC70" s="290">
        <v>25200</v>
      </c>
      <c r="AD70" s="192">
        <v>7</v>
      </c>
      <c r="AE70" s="290">
        <v>10000</v>
      </c>
      <c r="AF70" s="194">
        <v>186400</v>
      </c>
      <c r="AG70" s="192" t="s">
        <v>1145</v>
      </c>
    </row>
    <row r="71" spans="1:33" x14ac:dyDescent="0.3">
      <c r="A71" s="192">
        <v>5830</v>
      </c>
      <c r="B71" s="192">
        <v>71</v>
      </c>
      <c r="C71" s="192">
        <v>1000</v>
      </c>
      <c r="D71" s="192" t="s">
        <v>1142</v>
      </c>
      <c r="E71" s="192">
        <v>5716508</v>
      </c>
      <c r="F71" s="192" t="s">
        <v>1146</v>
      </c>
      <c r="G71" s="290">
        <v>1</v>
      </c>
      <c r="H71" s="192">
        <v>6493.72</v>
      </c>
      <c r="I71" s="192">
        <v>1838.74</v>
      </c>
      <c r="J71" s="192">
        <v>197.6</v>
      </c>
      <c r="K71" s="192">
        <v>1062.18</v>
      </c>
      <c r="L71" s="192">
        <v>0</v>
      </c>
      <c r="M71" s="192">
        <v>0</v>
      </c>
      <c r="N71" s="192">
        <v>36.5</v>
      </c>
      <c r="O71" s="192">
        <v>9628.74</v>
      </c>
      <c r="P71" s="192">
        <v>476</v>
      </c>
      <c r="Q71" s="192">
        <v>722.15</v>
      </c>
      <c r="R71" s="192">
        <v>0</v>
      </c>
      <c r="S71" s="285">
        <v>1</v>
      </c>
      <c r="T71" s="192">
        <v>914.04</v>
      </c>
      <c r="U71" s="291">
        <v>11740.93</v>
      </c>
      <c r="V71" s="291">
        <v>11740.93</v>
      </c>
      <c r="W71" s="292">
        <v>138630.12</v>
      </c>
      <c r="X71" s="292">
        <v>140891.16</v>
      </c>
      <c r="Y71" s="292">
        <v>139482.23999999999</v>
      </c>
      <c r="Z71" s="292">
        <v>152348.39000000001</v>
      </c>
      <c r="AA71" s="290">
        <v>155773.21254000001</v>
      </c>
      <c r="AB71" s="285">
        <v>154555.0447</v>
      </c>
      <c r="AC71" s="290">
        <v>11600</v>
      </c>
      <c r="AD71" s="192">
        <v>12</v>
      </c>
      <c r="AE71" s="290">
        <v>11000</v>
      </c>
      <c r="AF71" s="194">
        <v>150200</v>
      </c>
    </row>
    <row r="72" spans="1:33" x14ac:dyDescent="0.3">
      <c r="A72" s="192">
        <v>5830</v>
      </c>
      <c r="B72" s="192">
        <v>71</v>
      </c>
      <c r="C72" s="192">
        <v>1000</v>
      </c>
      <c r="D72" s="192" t="s">
        <v>1142</v>
      </c>
      <c r="E72" s="192">
        <v>6750160</v>
      </c>
      <c r="F72" s="192" t="s">
        <v>1147</v>
      </c>
      <c r="G72" s="290">
        <v>1</v>
      </c>
      <c r="H72" s="192">
        <v>6587.84</v>
      </c>
      <c r="I72" s="192">
        <v>397.78</v>
      </c>
      <c r="J72" s="192">
        <v>197.6</v>
      </c>
      <c r="K72" s="192">
        <v>1561.04</v>
      </c>
      <c r="L72" s="192">
        <v>0</v>
      </c>
      <c r="M72" s="192">
        <v>0</v>
      </c>
      <c r="N72" s="192">
        <v>0</v>
      </c>
      <c r="O72" s="192">
        <v>8744.26</v>
      </c>
      <c r="P72" s="192">
        <v>408</v>
      </c>
      <c r="Q72" s="192">
        <v>655.82</v>
      </c>
      <c r="R72" s="192">
        <v>0</v>
      </c>
      <c r="S72" s="285">
        <v>1</v>
      </c>
      <c r="T72" s="192">
        <v>1575.03</v>
      </c>
      <c r="U72" s="291">
        <v>11383.11</v>
      </c>
      <c r="V72" s="291">
        <v>11383.11</v>
      </c>
      <c r="W72" s="292">
        <v>160517.04</v>
      </c>
      <c r="X72" s="292">
        <v>136597.32</v>
      </c>
      <c r="Y72" s="292">
        <v>142882.16</v>
      </c>
      <c r="Z72" s="292">
        <v>145953.28</v>
      </c>
      <c r="AA72" s="290">
        <v>149293.53054000001</v>
      </c>
      <c r="AB72" s="285">
        <v>148126.03469999999</v>
      </c>
      <c r="AC72" s="290">
        <v>11700</v>
      </c>
      <c r="AD72" s="192">
        <v>12</v>
      </c>
      <c r="AE72" s="290">
        <v>11000</v>
      </c>
      <c r="AF72" s="194">
        <v>151400</v>
      </c>
    </row>
    <row r="73" spans="1:33" s="196" customFormat="1" x14ac:dyDescent="0.3">
      <c r="G73" s="288">
        <f>SUM(G68:G72)</f>
        <v>3.25</v>
      </c>
      <c r="H73" s="288">
        <f t="shared" ref="H73:AF73" si="9">SUM(H68:H72)</f>
        <v>18557.93</v>
      </c>
      <c r="I73" s="288">
        <f t="shared" si="9"/>
        <v>3378.45</v>
      </c>
      <c r="J73" s="288">
        <f t="shared" si="9"/>
        <v>490.97</v>
      </c>
      <c r="K73" s="288">
        <f t="shared" si="9"/>
        <v>2623.2200000000003</v>
      </c>
      <c r="L73" s="288">
        <f t="shared" si="9"/>
        <v>0</v>
      </c>
      <c r="M73" s="288">
        <f t="shared" si="9"/>
        <v>0</v>
      </c>
      <c r="N73" s="288">
        <f t="shared" si="9"/>
        <v>213.26</v>
      </c>
      <c r="O73" s="288">
        <f t="shared" si="9"/>
        <v>25263.83</v>
      </c>
      <c r="P73" s="288">
        <f t="shared" si="9"/>
        <v>1532.3200000000002</v>
      </c>
      <c r="Q73" s="288">
        <f t="shared" si="9"/>
        <v>2224.15</v>
      </c>
      <c r="R73" s="288">
        <f t="shared" si="9"/>
        <v>0</v>
      </c>
      <c r="S73" s="288">
        <f t="shared" si="9"/>
        <v>2.791666666666667</v>
      </c>
      <c r="T73" s="288">
        <f t="shared" si="9"/>
        <v>2957.59</v>
      </c>
      <c r="U73" s="288">
        <f t="shared" si="9"/>
        <v>31977.89</v>
      </c>
      <c r="V73" s="288">
        <f t="shared" si="9"/>
        <v>31977.89</v>
      </c>
      <c r="W73" s="288">
        <f t="shared" si="9"/>
        <v>399582.36</v>
      </c>
      <c r="X73" s="288">
        <f t="shared" si="9"/>
        <v>339182.28</v>
      </c>
      <c r="Y73" s="288">
        <f t="shared" si="9"/>
        <v>371981.19999999995</v>
      </c>
      <c r="Z73" s="288">
        <f t="shared" si="9"/>
        <v>337758.56000000006</v>
      </c>
      <c r="AA73" s="288">
        <f t="shared" si="9"/>
        <v>340351.41459</v>
      </c>
      <c r="AB73" s="288">
        <f t="shared" si="9"/>
        <v>961258.4776499999</v>
      </c>
      <c r="AC73" s="288">
        <f t="shared" si="9"/>
        <v>54700</v>
      </c>
      <c r="AD73" s="288">
        <f t="shared" si="9"/>
        <v>48</v>
      </c>
      <c r="AE73" s="288">
        <f t="shared" si="9"/>
        <v>36500</v>
      </c>
      <c r="AF73" s="288">
        <f t="shared" si="9"/>
        <v>541700</v>
      </c>
      <c r="AG73" s="288"/>
    </row>
    <row r="74" spans="1:33" s="193" customFormat="1" x14ac:dyDescent="0.3"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301"/>
      <c r="AG74" s="285"/>
    </row>
    <row r="75" spans="1:33" s="193" customFormat="1" x14ac:dyDescent="0.3">
      <c r="F75" s="193" t="s">
        <v>1148</v>
      </c>
      <c r="G75" s="290">
        <v>1</v>
      </c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>
        <v>0.58333333333333337</v>
      </c>
      <c r="T75" s="285"/>
      <c r="U75" s="285"/>
      <c r="V75" s="285"/>
      <c r="W75" s="285"/>
      <c r="X75" s="285"/>
      <c r="Y75" s="285"/>
      <c r="Z75" s="285"/>
      <c r="AA75" s="285"/>
      <c r="AB75" s="285"/>
      <c r="AC75" s="285">
        <v>9000</v>
      </c>
      <c r="AD75" s="192">
        <v>7</v>
      </c>
      <c r="AE75" s="290"/>
      <c r="AF75" s="194">
        <v>63000</v>
      </c>
      <c r="AG75" s="285"/>
    </row>
    <row r="76" spans="1:33" x14ac:dyDescent="0.3">
      <c r="A76" s="192">
        <v>5830</v>
      </c>
      <c r="B76" s="192">
        <v>71</v>
      </c>
      <c r="C76" s="192">
        <v>2300</v>
      </c>
      <c r="D76" s="192" t="s">
        <v>1149</v>
      </c>
      <c r="E76" s="192">
        <v>2273644</v>
      </c>
      <c r="F76" s="192" t="s">
        <v>1150</v>
      </c>
      <c r="G76" s="290">
        <v>1</v>
      </c>
      <c r="H76" s="192">
        <v>8370.9500000000007</v>
      </c>
      <c r="I76" s="192">
        <v>545.38</v>
      </c>
      <c r="J76" s="192">
        <v>173.3</v>
      </c>
      <c r="K76" s="192">
        <v>0</v>
      </c>
      <c r="L76" s="192">
        <v>0</v>
      </c>
      <c r="M76" s="192">
        <v>0</v>
      </c>
      <c r="N76" s="192">
        <v>36.5</v>
      </c>
      <c r="O76" s="192">
        <v>9126.1299999999992</v>
      </c>
      <c r="P76" s="192">
        <v>437</v>
      </c>
      <c r="Q76" s="192">
        <v>684.46</v>
      </c>
      <c r="R76" s="192">
        <v>0</v>
      </c>
      <c r="S76" s="285">
        <v>1</v>
      </c>
      <c r="T76" s="192">
        <v>714.16</v>
      </c>
      <c r="U76" s="291">
        <v>10961.75</v>
      </c>
      <c r="V76" s="291">
        <v>10961.75</v>
      </c>
      <c r="W76" s="292">
        <v>129487.67999999999</v>
      </c>
      <c r="X76" s="292">
        <v>131541</v>
      </c>
      <c r="Y76" s="292">
        <v>128860.88</v>
      </c>
      <c r="Z76" s="292">
        <v>139928.9</v>
      </c>
      <c r="AA76" s="290">
        <v>143147.27492999999</v>
      </c>
      <c r="AB76" s="285">
        <v>142027.84365</v>
      </c>
      <c r="AC76" s="290">
        <v>10900</v>
      </c>
      <c r="AD76" s="192">
        <v>12</v>
      </c>
      <c r="AE76" s="290">
        <v>11000</v>
      </c>
      <c r="AF76" s="194">
        <v>141800</v>
      </c>
    </row>
    <row r="77" spans="1:33" x14ac:dyDescent="0.3">
      <c r="A77" s="192">
        <v>5830</v>
      </c>
      <c r="B77" s="192">
        <v>71</v>
      </c>
      <c r="C77" s="192">
        <v>2300</v>
      </c>
      <c r="D77" s="192" t="s">
        <v>1149</v>
      </c>
      <c r="E77" s="192">
        <v>2308230</v>
      </c>
      <c r="F77" s="192" t="s">
        <v>1151</v>
      </c>
      <c r="G77" s="290">
        <v>1</v>
      </c>
      <c r="H77" s="192">
        <v>4884.3100000000004</v>
      </c>
      <c r="I77" s="192">
        <v>1809.28</v>
      </c>
      <c r="J77" s="192">
        <v>197.6</v>
      </c>
      <c r="K77" s="192">
        <v>0</v>
      </c>
      <c r="L77" s="192">
        <v>0</v>
      </c>
      <c r="M77" s="192">
        <v>0</v>
      </c>
      <c r="N77" s="192">
        <v>479.3</v>
      </c>
      <c r="O77" s="192">
        <v>7370.49</v>
      </c>
      <c r="P77" s="192">
        <v>304</v>
      </c>
      <c r="Q77" s="192">
        <v>552.79</v>
      </c>
      <c r="R77" s="192">
        <v>0</v>
      </c>
      <c r="S77" s="285">
        <v>1</v>
      </c>
      <c r="T77" s="192">
        <v>758.09</v>
      </c>
      <c r="U77" s="291">
        <v>8985.3700000000008</v>
      </c>
      <c r="V77" s="291">
        <v>8985.3700000000008</v>
      </c>
      <c r="W77" s="292">
        <v>130655.28</v>
      </c>
      <c r="X77" s="292">
        <v>107824.44</v>
      </c>
      <c r="Y77" s="292">
        <v>125182.39999999999</v>
      </c>
      <c r="Z77" s="292">
        <v>142251.73000000001</v>
      </c>
      <c r="AA77" s="290">
        <v>146618.33438999997</v>
      </c>
      <c r="AB77" s="285">
        <v>145471.75894999999</v>
      </c>
      <c r="AC77" s="290">
        <v>10800</v>
      </c>
      <c r="AD77" s="192">
        <v>12</v>
      </c>
      <c r="AE77" s="290">
        <v>14500</v>
      </c>
      <c r="AF77" s="194">
        <v>144100</v>
      </c>
      <c r="AG77" s="192" t="s">
        <v>2196</v>
      </c>
    </row>
    <row r="78" spans="1:33" x14ac:dyDescent="0.3">
      <c r="A78" s="192">
        <v>5830</v>
      </c>
      <c r="B78" s="192">
        <v>71</v>
      </c>
      <c r="C78" s="192">
        <v>2300</v>
      </c>
      <c r="D78" s="192" t="s">
        <v>1149</v>
      </c>
      <c r="E78" s="192">
        <v>3634364</v>
      </c>
      <c r="F78" s="192" t="s">
        <v>1152</v>
      </c>
      <c r="G78" s="290">
        <v>1</v>
      </c>
      <c r="H78" s="192">
        <v>6249.47</v>
      </c>
      <c r="I78" s="192">
        <v>1738.83</v>
      </c>
      <c r="J78" s="192">
        <v>197.6</v>
      </c>
      <c r="K78" s="192">
        <v>0</v>
      </c>
      <c r="L78" s="192">
        <v>0</v>
      </c>
      <c r="M78" s="192">
        <v>0</v>
      </c>
      <c r="N78" s="192">
        <v>36.5</v>
      </c>
      <c r="O78" s="192">
        <v>8222.4</v>
      </c>
      <c r="P78" s="192">
        <v>561</v>
      </c>
      <c r="Q78" s="192">
        <v>806.43</v>
      </c>
      <c r="R78" s="192">
        <v>0</v>
      </c>
      <c r="S78" s="285">
        <v>1</v>
      </c>
      <c r="T78" s="192">
        <v>1647.01</v>
      </c>
      <c r="U78" s="291">
        <v>11236.84</v>
      </c>
      <c r="V78" s="291">
        <v>11236.84</v>
      </c>
      <c r="W78" s="292">
        <v>165645.36000000002</v>
      </c>
      <c r="X78" s="292">
        <v>134842.08000000002</v>
      </c>
      <c r="Y78" s="292">
        <v>143680.44</v>
      </c>
      <c r="Z78" s="292">
        <v>26103.05</v>
      </c>
      <c r="AA78" s="290">
        <v>25892.600579999998</v>
      </c>
      <c r="AB78" s="285">
        <v>109678.66</v>
      </c>
      <c r="AC78" s="290">
        <v>12000</v>
      </c>
      <c r="AD78" s="192">
        <v>12</v>
      </c>
      <c r="AE78" s="290">
        <v>25500</v>
      </c>
      <c r="AF78" s="194">
        <v>169500</v>
      </c>
      <c r="AG78" s="192" t="s">
        <v>2197</v>
      </c>
    </row>
    <row r="79" spans="1:33" x14ac:dyDescent="0.3">
      <c r="A79" s="192">
        <v>5830</v>
      </c>
      <c r="B79" s="192">
        <v>71</v>
      </c>
      <c r="C79" s="192">
        <v>2300</v>
      </c>
      <c r="D79" s="192" t="s">
        <v>1149</v>
      </c>
      <c r="E79" s="192">
        <v>5618646</v>
      </c>
      <c r="F79" s="192" t="s">
        <v>1153</v>
      </c>
      <c r="G79" s="290">
        <v>1</v>
      </c>
      <c r="H79" s="192">
        <v>6542.32</v>
      </c>
      <c r="I79" s="192">
        <v>2473.5300000000002</v>
      </c>
      <c r="J79" s="192">
        <v>197.6</v>
      </c>
      <c r="K79" s="192">
        <v>0</v>
      </c>
      <c r="L79" s="192">
        <v>0</v>
      </c>
      <c r="M79" s="192">
        <v>0</v>
      </c>
      <c r="N79" s="192">
        <v>479.3</v>
      </c>
      <c r="O79" s="192">
        <v>9692.75</v>
      </c>
      <c r="P79" s="192">
        <v>482</v>
      </c>
      <c r="Q79" s="192">
        <v>728.07</v>
      </c>
      <c r="R79" s="192">
        <v>0</v>
      </c>
      <c r="S79" s="285">
        <v>1</v>
      </c>
      <c r="T79" s="192">
        <v>1005.42</v>
      </c>
      <c r="U79" s="291">
        <v>11908.24</v>
      </c>
      <c r="V79" s="291">
        <v>11908.24</v>
      </c>
      <c r="W79" s="292">
        <v>150789</v>
      </c>
      <c r="X79" s="292">
        <v>142898.88</v>
      </c>
      <c r="Y79" s="292">
        <v>149005.4</v>
      </c>
      <c r="Z79" s="292">
        <v>162002.63</v>
      </c>
      <c r="AA79" s="290">
        <v>165843.93143999999</v>
      </c>
      <c r="AB79" s="285">
        <v>164547.00919999997</v>
      </c>
      <c r="AC79" s="290">
        <v>13000</v>
      </c>
      <c r="AD79" s="192">
        <v>12</v>
      </c>
      <c r="AE79" s="290">
        <v>12000</v>
      </c>
      <c r="AF79" s="194">
        <v>168000</v>
      </c>
    </row>
    <row r="80" spans="1:33" x14ac:dyDescent="0.3">
      <c r="A80" s="192">
        <v>5830</v>
      </c>
      <c r="B80" s="192">
        <v>71</v>
      </c>
      <c r="C80" s="192">
        <v>2300</v>
      </c>
      <c r="D80" s="192" t="s">
        <v>1149</v>
      </c>
      <c r="E80" s="192">
        <v>5716813</v>
      </c>
      <c r="F80" s="192" t="s">
        <v>1154</v>
      </c>
      <c r="G80" s="290">
        <v>1</v>
      </c>
      <c r="H80" s="192">
        <v>7273.08</v>
      </c>
      <c r="I80" s="192">
        <v>1364.02</v>
      </c>
      <c r="J80" s="192">
        <v>197.6</v>
      </c>
      <c r="K80" s="192">
        <v>0</v>
      </c>
      <c r="L80" s="192">
        <v>0</v>
      </c>
      <c r="M80" s="192">
        <v>0</v>
      </c>
      <c r="N80" s="192">
        <v>124</v>
      </c>
      <c r="O80" s="192">
        <v>8958.7000000000007</v>
      </c>
      <c r="P80" s="192">
        <v>424</v>
      </c>
      <c r="Q80" s="192">
        <v>671.9</v>
      </c>
      <c r="R80" s="192">
        <v>0</v>
      </c>
      <c r="S80" s="285">
        <v>1</v>
      </c>
      <c r="T80" s="192">
        <v>824.39</v>
      </c>
      <c r="U80" s="291">
        <v>10878.99</v>
      </c>
      <c r="V80" s="291">
        <v>10878.99</v>
      </c>
      <c r="W80" s="292">
        <v>128595.84</v>
      </c>
      <c r="X80" s="292">
        <v>130547.88</v>
      </c>
      <c r="Y80" s="292">
        <v>128832.64</v>
      </c>
      <c r="Z80" s="292">
        <v>135722.65</v>
      </c>
      <c r="AA80" s="290">
        <v>139171.87646999996</v>
      </c>
      <c r="AB80" s="285">
        <v>138083.53334999998</v>
      </c>
      <c r="AC80" s="290">
        <v>10700</v>
      </c>
      <c r="AD80" s="192">
        <v>12</v>
      </c>
      <c r="AE80" s="290">
        <v>11000</v>
      </c>
      <c r="AF80" s="194">
        <v>139400</v>
      </c>
    </row>
    <row r="81" spans="1:33" x14ac:dyDescent="0.3">
      <c r="A81" s="192">
        <v>5830</v>
      </c>
      <c r="B81" s="192">
        <v>71</v>
      </c>
      <c r="C81" s="192">
        <v>2300</v>
      </c>
      <c r="D81" s="192" t="s">
        <v>1149</v>
      </c>
      <c r="E81" s="192">
        <v>5716814</v>
      </c>
      <c r="F81" s="192" t="s">
        <v>1155</v>
      </c>
      <c r="G81" s="290">
        <v>1</v>
      </c>
      <c r="H81" s="192">
        <v>7084.11</v>
      </c>
      <c r="I81" s="192">
        <v>1404.95</v>
      </c>
      <c r="J81" s="192">
        <v>197.6</v>
      </c>
      <c r="K81" s="192">
        <v>5795.19</v>
      </c>
      <c r="L81" s="192">
        <v>0</v>
      </c>
      <c r="M81" s="192">
        <v>0</v>
      </c>
      <c r="N81" s="192">
        <v>124</v>
      </c>
      <c r="O81" s="192">
        <v>14605.85</v>
      </c>
      <c r="P81" s="192">
        <v>886</v>
      </c>
      <c r="Q81" s="192">
        <v>1127.8399999999999</v>
      </c>
      <c r="R81" s="192">
        <v>0</v>
      </c>
      <c r="S81" s="285">
        <v>1</v>
      </c>
      <c r="T81" s="192">
        <v>1122.53</v>
      </c>
      <c r="U81" s="291">
        <v>17742.22</v>
      </c>
      <c r="V81" s="291">
        <v>17742.22</v>
      </c>
      <c r="W81" s="292">
        <v>171602.16</v>
      </c>
      <c r="X81" s="292">
        <v>212906.64</v>
      </c>
      <c r="Y81" s="292">
        <v>176277.72</v>
      </c>
      <c r="Z81" s="292">
        <v>168912.57</v>
      </c>
      <c r="AA81" s="290">
        <v>172825.12896</v>
      </c>
      <c r="AB81" s="285">
        <v>171473.6128</v>
      </c>
      <c r="AC81" s="290">
        <v>15000</v>
      </c>
      <c r="AD81" s="192">
        <v>12</v>
      </c>
      <c r="AE81" s="290">
        <v>21500</v>
      </c>
      <c r="AF81" s="194">
        <v>201500</v>
      </c>
      <c r="AG81" s="192" t="s">
        <v>2198</v>
      </c>
    </row>
    <row r="82" spans="1:33" x14ac:dyDescent="0.3">
      <c r="A82" s="192">
        <v>5830</v>
      </c>
      <c r="B82" s="192">
        <v>71</v>
      </c>
      <c r="C82" s="192">
        <v>2300</v>
      </c>
      <c r="D82" s="192" t="s">
        <v>1149</v>
      </c>
      <c r="E82" s="192">
        <v>5746112</v>
      </c>
      <c r="F82" s="192" t="s">
        <v>1156</v>
      </c>
      <c r="G82" s="290">
        <v>1</v>
      </c>
      <c r="H82" s="192">
        <v>6580.77</v>
      </c>
      <c r="I82" s="192">
        <v>2024.97</v>
      </c>
      <c r="J82" s="192">
        <v>197.6</v>
      </c>
      <c r="K82" s="192">
        <v>0</v>
      </c>
      <c r="L82" s="192">
        <v>0</v>
      </c>
      <c r="M82" s="192">
        <v>0</v>
      </c>
      <c r="N82" s="192">
        <v>479.3</v>
      </c>
      <c r="O82" s="192">
        <v>9282.64</v>
      </c>
      <c r="P82" s="192">
        <v>449</v>
      </c>
      <c r="Q82" s="192">
        <v>696.2</v>
      </c>
      <c r="R82" s="192">
        <v>0</v>
      </c>
      <c r="S82" s="285">
        <v>1</v>
      </c>
      <c r="T82" s="192">
        <v>1778.8</v>
      </c>
      <c r="U82" s="291">
        <v>12206.64</v>
      </c>
      <c r="V82" s="291">
        <v>12206.64</v>
      </c>
      <c r="W82" s="292">
        <v>132435.84</v>
      </c>
      <c r="X82" s="292">
        <v>146479.67999999999</v>
      </c>
      <c r="Y82" s="292">
        <v>135120.16</v>
      </c>
      <c r="Z82" s="292">
        <v>140990.47</v>
      </c>
      <c r="AA82" s="290">
        <v>144042.46130999998</v>
      </c>
      <c r="AB82" s="285">
        <v>142916.02954999998</v>
      </c>
      <c r="AC82" s="290">
        <v>12000</v>
      </c>
      <c r="AD82" s="192">
        <v>12</v>
      </c>
      <c r="AE82" s="290">
        <v>13500</v>
      </c>
      <c r="AF82" s="194">
        <v>157500</v>
      </c>
      <c r="AG82" s="192" t="s">
        <v>2199</v>
      </c>
    </row>
    <row r="83" spans="1:33" x14ac:dyDescent="0.3">
      <c r="A83" s="192">
        <v>5830</v>
      </c>
      <c r="B83" s="192">
        <v>71</v>
      </c>
      <c r="C83" s="192">
        <v>2300</v>
      </c>
      <c r="D83" s="192" t="s">
        <v>1149</v>
      </c>
      <c r="E83" s="192">
        <v>5877588</v>
      </c>
      <c r="F83" s="192" t="s">
        <v>1157</v>
      </c>
      <c r="G83" s="290">
        <v>1</v>
      </c>
      <c r="H83" s="192">
        <v>7598.71</v>
      </c>
      <c r="I83" s="192">
        <v>4034.07</v>
      </c>
      <c r="J83" s="192">
        <v>48.6</v>
      </c>
      <c r="K83" s="192">
        <v>0</v>
      </c>
      <c r="L83" s="192">
        <v>0</v>
      </c>
      <c r="M83" s="192">
        <v>0</v>
      </c>
      <c r="N83" s="192">
        <v>36.5</v>
      </c>
      <c r="O83" s="192">
        <v>11717.88</v>
      </c>
      <c r="P83" s="192">
        <v>825</v>
      </c>
      <c r="Q83" s="192">
        <v>1067.47</v>
      </c>
      <c r="R83" s="192">
        <v>0</v>
      </c>
      <c r="S83" s="285">
        <v>1</v>
      </c>
      <c r="T83" s="192">
        <v>1264.29</v>
      </c>
      <c r="U83" s="291">
        <v>14874.64</v>
      </c>
      <c r="V83" s="291">
        <v>14874.64</v>
      </c>
      <c r="W83" s="292">
        <v>184040.52</v>
      </c>
      <c r="X83" s="292">
        <v>178495.68</v>
      </c>
      <c r="Y83" s="292">
        <v>178625.04</v>
      </c>
      <c r="Z83" s="292">
        <v>187726.23</v>
      </c>
      <c r="AA83" s="290">
        <v>192611.24816999998</v>
      </c>
      <c r="AB83" s="285">
        <v>191105.00185</v>
      </c>
      <c r="AC83" s="290">
        <v>15000</v>
      </c>
      <c r="AD83" s="192">
        <v>12</v>
      </c>
      <c r="AE83" s="290">
        <v>12000</v>
      </c>
      <c r="AF83" s="194">
        <v>192000</v>
      </c>
    </row>
    <row r="84" spans="1:33" x14ac:dyDescent="0.3">
      <c r="A84" s="192">
        <v>5830</v>
      </c>
      <c r="B84" s="192">
        <v>71</v>
      </c>
      <c r="C84" s="192">
        <v>2300</v>
      </c>
      <c r="D84" s="192" t="s">
        <v>1149</v>
      </c>
      <c r="E84" s="192">
        <v>5924418</v>
      </c>
      <c r="F84" s="192" t="s">
        <v>1158</v>
      </c>
      <c r="G84" s="290">
        <v>1</v>
      </c>
      <c r="H84" s="192">
        <v>6547.99</v>
      </c>
      <c r="I84" s="192">
        <v>376.02</v>
      </c>
      <c r="J84" s="192">
        <v>453.6</v>
      </c>
      <c r="K84" s="192">
        <v>0</v>
      </c>
      <c r="L84" s="192">
        <v>0</v>
      </c>
      <c r="M84" s="192">
        <v>0</v>
      </c>
      <c r="N84" s="192">
        <v>391.8</v>
      </c>
      <c r="O84" s="192">
        <v>7769.41</v>
      </c>
      <c r="P84" s="192">
        <v>520</v>
      </c>
      <c r="Q84" s="192">
        <v>765.71</v>
      </c>
      <c r="R84" s="192">
        <v>0</v>
      </c>
      <c r="S84" s="285">
        <v>1</v>
      </c>
      <c r="T84" s="192">
        <v>1527.08</v>
      </c>
      <c r="U84" s="291">
        <v>10582.2</v>
      </c>
      <c r="V84" s="291">
        <v>10582.2</v>
      </c>
      <c r="W84" s="292">
        <v>134400.12</v>
      </c>
      <c r="X84" s="292">
        <v>126986.40000000001</v>
      </c>
      <c r="Y84" s="292">
        <v>127972.75999999998</v>
      </c>
      <c r="Z84" s="292">
        <v>132464.81</v>
      </c>
      <c r="AA84" s="290">
        <v>134121.45845999999</v>
      </c>
      <c r="AB84" s="285">
        <v>133072.6103</v>
      </c>
      <c r="AC84" s="290">
        <v>11000</v>
      </c>
      <c r="AD84" s="192">
        <v>12</v>
      </c>
      <c r="AE84" s="290">
        <v>10000</v>
      </c>
      <c r="AF84" s="194">
        <v>142000</v>
      </c>
    </row>
    <row r="85" spans="1:33" s="205" customFormat="1" x14ac:dyDescent="0.3">
      <c r="A85" s="205">
        <v>5830</v>
      </c>
      <c r="B85" s="205">
        <v>71</v>
      </c>
      <c r="C85" s="205">
        <v>2300</v>
      </c>
      <c r="D85" s="205" t="s">
        <v>1149</v>
      </c>
      <c r="E85" s="205">
        <v>6140616</v>
      </c>
      <c r="F85" s="205" t="s">
        <v>1159</v>
      </c>
      <c r="G85" s="302">
        <v>1</v>
      </c>
      <c r="H85" s="205">
        <v>6676.53</v>
      </c>
      <c r="I85" s="205">
        <v>378.35</v>
      </c>
      <c r="J85" s="205">
        <v>48.6</v>
      </c>
      <c r="K85" s="205">
        <v>0</v>
      </c>
      <c r="L85" s="205">
        <v>0</v>
      </c>
      <c r="M85" s="205">
        <v>0</v>
      </c>
      <c r="N85" s="205">
        <v>391.8</v>
      </c>
      <c r="O85" s="205">
        <v>7495.28</v>
      </c>
      <c r="P85" s="205">
        <v>287</v>
      </c>
      <c r="Q85" s="205">
        <v>562.44000000000005</v>
      </c>
      <c r="R85" s="205">
        <v>0</v>
      </c>
      <c r="S85" s="285">
        <v>0.83333333333333337</v>
      </c>
      <c r="T85" s="205">
        <v>606.85</v>
      </c>
      <c r="U85" s="303">
        <v>8951.57</v>
      </c>
      <c r="V85" s="303">
        <v>8951.57</v>
      </c>
      <c r="W85" s="304">
        <v>106108.56</v>
      </c>
      <c r="X85" s="304">
        <v>89515.7</v>
      </c>
      <c r="Y85" s="304">
        <v>102771.2</v>
      </c>
      <c r="Z85" s="304">
        <v>113248.83</v>
      </c>
      <c r="AA85" s="302">
        <v>116069.14010999999</v>
      </c>
      <c r="AB85" s="302">
        <v>19193.577258333335</v>
      </c>
      <c r="AC85" s="302">
        <v>8900</v>
      </c>
      <c r="AD85" s="205">
        <v>10</v>
      </c>
      <c r="AE85" s="302">
        <v>10000</v>
      </c>
      <c r="AF85" s="206">
        <v>99000</v>
      </c>
      <c r="AG85" s="205" t="s">
        <v>1160</v>
      </c>
    </row>
    <row r="86" spans="1:33" x14ac:dyDescent="0.3">
      <c r="A86" s="192">
        <v>5830</v>
      </c>
      <c r="B86" s="192">
        <v>71</v>
      </c>
      <c r="C86" s="192">
        <v>2300</v>
      </c>
      <c r="D86" s="192" t="s">
        <v>1149</v>
      </c>
      <c r="E86" s="192">
        <v>6755633</v>
      </c>
      <c r="F86" s="192" t="s">
        <v>1161</v>
      </c>
      <c r="G86" s="290">
        <v>1</v>
      </c>
      <c r="H86" s="192">
        <v>6681.92</v>
      </c>
      <c r="I86" s="192">
        <v>1352.37</v>
      </c>
      <c r="J86" s="192">
        <v>197.6</v>
      </c>
      <c r="K86" s="192">
        <v>1062.18</v>
      </c>
      <c r="L86" s="192">
        <v>0</v>
      </c>
      <c r="M86" s="192">
        <v>0</v>
      </c>
      <c r="N86" s="192">
        <v>759.3</v>
      </c>
      <c r="O86" s="192">
        <v>10053.370000000001</v>
      </c>
      <c r="P86" s="192">
        <v>511</v>
      </c>
      <c r="Q86" s="192">
        <v>757.42</v>
      </c>
      <c r="R86" s="192">
        <v>0</v>
      </c>
      <c r="S86" s="285">
        <v>1</v>
      </c>
      <c r="T86" s="192">
        <v>931.51</v>
      </c>
      <c r="U86" s="291">
        <v>12253.3</v>
      </c>
      <c r="V86" s="291">
        <v>12253.3</v>
      </c>
      <c r="W86" s="292">
        <v>135311.28</v>
      </c>
      <c r="X86" s="292">
        <v>147039.59999999998</v>
      </c>
      <c r="Y86" s="292">
        <v>146419.96</v>
      </c>
      <c r="Z86" s="292">
        <v>157661.23000000001</v>
      </c>
      <c r="AA86" s="290">
        <v>161176.08473999999</v>
      </c>
      <c r="AB86" s="285">
        <v>159915.66569999998</v>
      </c>
      <c r="AC86" s="290">
        <v>12200</v>
      </c>
      <c r="AD86" s="192">
        <v>12</v>
      </c>
      <c r="AE86" s="290">
        <v>11200</v>
      </c>
      <c r="AF86" s="194">
        <v>157600</v>
      </c>
    </row>
    <row r="87" spans="1:33" x14ac:dyDescent="0.3">
      <c r="A87" s="192">
        <v>5830</v>
      </c>
      <c r="B87" s="192">
        <v>71</v>
      </c>
      <c r="C87" s="192">
        <v>2300</v>
      </c>
      <c r="D87" s="192" t="s">
        <v>1149</v>
      </c>
      <c r="E87" s="192">
        <v>6762359</v>
      </c>
      <c r="F87" s="192" t="s">
        <v>1162</v>
      </c>
      <c r="G87" s="290">
        <v>1</v>
      </c>
      <c r="H87" s="192">
        <v>7004.67</v>
      </c>
      <c r="I87" s="192">
        <v>1736.92</v>
      </c>
      <c r="J87" s="192">
        <v>502.4</v>
      </c>
      <c r="K87" s="192">
        <v>0</v>
      </c>
      <c r="L87" s="192">
        <v>0</v>
      </c>
      <c r="M87" s="192">
        <v>0</v>
      </c>
      <c r="N87" s="192">
        <v>36.5</v>
      </c>
      <c r="O87" s="192">
        <v>9280.49</v>
      </c>
      <c r="P87" s="192">
        <v>468</v>
      </c>
      <c r="Q87" s="192">
        <v>715.2</v>
      </c>
      <c r="R87" s="192">
        <v>0</v>
      </c>
      <c r="S87" s="285">
        <v>1</v>
      </c>
      <c r="T87" s="192">
        <v>914.17</v>
      </c>
      <c r="U87" s="291">
        <v>11377.86</v>
      </c>
      <c r="V87" s="291">
        <v>11377.86</v>
      </c>
      <c r="W87" s="292">
        <v>134610</v>
      </c>
      <c r="X87" s="292">
        <v>136534.32</v>
      </c>
      <c r="Y87" s="292">
        <v>134155.96</v>
      </c>
      <c r="Z87" s="292">
        <v>147010.43</v>
      </c>
      <c r="AA87" s="290">
        <v>150391.66988999999</v>
      </c>
      <c r="AB87" s="285">
        <v>149215.58644999997</v>
      </c>
      <c r="AC87" s="290">
        <v>11200</v>
      </c>
      <c r="AD87" s="192">
        <v>12</v>
      </c>
      <c r="AE87" s="290">
        <v>12000</v>
      </c>
      <c r="AF87" s="194">
        <v>146400</v>
      </c>
    </row>
    <row r="88" spans="1:33" x14ac:dyDescent="0.3">
      <c r="A88" s="192">
        <v>5830</v>
      </c>
      <c r="B88" s="192">
        <v>71</v>
      </c>
      <c r="C88" s="192">
        <v>2300</v>
      </c>
      <c r="D88" s="192" t="s">
        <v>1149</v>
      </c>
      <c r="E88" s="192">
        <v>30701852</v>
      </c>
      <c r="F88" s="192" t="s">
        <v>1163</v>
      </c>
      <c r="G88" s="290">
        <v>1</v>
      </c>
      <c r="H88" s="192">
        <v>6334.06</v>
      </c>
      <c r="I88" s="192">
        <v>1386.72</v>
      </c>
      <c r="J88" s="192">
        <v>197.6</v>
      </c>
      <c r="K88" s="192">
        <v>0</v>
      </c>
      <c r="L88" s="192">
        <v>0</v>
      </c>
      <c r="M88" s="192">
        <v>0</v>
      </c>
      <c r="N88" s="192">
        <v>124</v>
      </c>
      <c r="O88" s="192">
        <v>8042.38</v>
      </c>
      <c r="P88" s="192">
        <v>356</v>
      </c>
      <c r="Q88" s="192">
        <v>604.28</v>
      </c>
      <c r="R88" s="192">
        <v>0</v>
      </c>
      <c r="S88" s="285">
        <v>1</v>
      </c>
      <c r="T88" s="192">
        <v>1591.58</v>
      </c>
      <c r="U88" s="291">
        <v>10594.24</v>
      </c>
      <c r="V88" s="291">
        <v>10594.24</v>
      </c>
      <c r="W88" s="292">
        <v>124390.32</v>
      </c>
      <c r="X88" s="292">
        <v>127130.88</v>
      </c>
      <c r="Y88" s="292">
        <v>126210.4</v>
      </c>
      <c r="Z88" s="292">
        <v>130986.01</v>
      </c>
      <c r="AA88" s="290">
        <v>134296.18685999999</v>
      </c>
      <c r="AB88" s="285">
        <v>133245.97229999999</v>
      </c>
      <c r="AC88" s="290">
        <v>11000</v>
      </c>
      <c r="AD88" s="192">
        <v>12</v>
      </c>
      <c r="AE88" s="290">
        <v>10000</v>
      </c>
      <c r="AF88" s="194">
        <v>142000</v>
      </c>
    </row>
    <row r="89" spans="1:33" s="196" customFormat="1" x14ac:dyDescent="0.3">
      <c r="G89" s="288">
        <f>SUM(G75:G88)</f>
        <v>14</v>
      </c>
      <c r="H89" s="288">
        <f t="shared" ref="H89:AE89" si="10">SUM(H75:H88)</f>
        <v>87828.89</v>
      </c>
      <c r="I89" s="288">
        <f t="shared" si="10"/>
        <v>20625.410000000003</v>
      </c>
      <c r="J89" s="288">
        <f t="shared" si="10"/>
        <v>2807.2999999999997</v>
      </c>
      <c r="K89" s="288">
        <f t="shared" si="10"/>
        <v>6857.37</v>
      </c>
      <c r="L89" s="288">
        <f t="shared" si="10"/>
        <v>0</v>
      </c>
      <c r="M89" s="288">
        <f t="shared" si="10"/>
        <v>0</v>
      </c>
      <c r="N89" s="288">
        <f t="shared" si="10"/>
        <v>3498.8</v>
      </c>
      <c r="O89" s="288">
        <f t="shared" si="10"/>
        <v>121617.77</v>
      </c>
      <c r="P89" s="288">
        <f t="shared" si="10"/>
        <v>6510</v>
      </c>
      <c r="Q89" s="288">
        <f t="shared" si="10"/>
        <v>9740.2100000000009</v>
      </c>
      <c r="R89" s="288">
        <f t="shared" si="10"/>
        <v>0</v>
      </c>
      <c r="S89" s="288">
        <f t="shared" si="10"/>
        <v>13.416666666666668</v>
      </c>
      <c r="T89" s="288">
        <f t="shared" si="10"/>
        <v>14685.880000000001</v>
      </c>
      <c r="U89" s="288">
        <f t="shared" si="10"/>
        <v>152553.85999999999</v>
      </c>
      <c r="V89" s="288">
        <f t="shared" si="10"/>
        <v>152553.85999999999</v>
      </c>
      <c r="W89" s="288">
        <f t="shared" si="10"/>
        <v>1828071.96</v>
      </c>
      <c r="X89" s="288">
        <f t="shared" si="10"/>
        <v>1812743.1800000002</v>
      </c>
      <c r="Y89" s="288">
        <f t="shared" si="10"/>
        <v>1803114.9599999997</v>
      </c>
      <c r="Z89" s="288">
        <f t="shared" si="10"/>
        <v>1785009.54</v>
      </c>
      <c r="AA89" s="288">
        <f t="shared" si="10"/>
        <v>1826207.3963100002</v>
      </c>
      <c r="AB89" s="288">
        <f t="shared" si="10"/>
        <v>1799946.8613583334</v>
      </c>
      <c r="AC89" s="288">
        <f t="shared" si="10"/>
        <v>162700</v>
      </c>
      <c r="AD89" s="288">
        <f t="shared" si="10"/>
        <v>161</v>
      </c>
      <c r="AE89" s="288">
        <f t="shared" si="10"/>
        <v>174200</v>
      </c>
      <c r="AF89" s="288">
        <f>SUM(AF75:AF88)</f>
        <v>2063800</v>
      </c>
      <c r="AG89" s="288" t="s">
        <v>911</v>
      </c>
    </row>
    <row r="90" spans="1:33" s="193" customFormat="1" x14ac:dyDescent="0.3"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301"/>
      <c r="AG90" s="285"/>
    </row>
    <row r="91" spans="1:33" x14ac:dyDescent="0.3">
      <c r="A91" s="192">
        <v>5830</v>
      </c>
      <c r="B91" s="192">
        <v>71</v>
      </c>
      <c r="C91" s="192">
        <v>4000</v>
      </c>
      <c r="D91" s="192" t="s">
        <v>1164</v>
      </c>
      <c r="E91" s="192">
        <v>30658857</v>
      </c>
      <c r="F91" s="192" t="s">
        <v>1165</v>
      </c>
      <c r="G91" s="290">
        <v>0.5</v>
      </c>
      <c r="H91" s="192">
        <v>16271.5</v>
      </c>
      <c r="I91" s="192">
        <v>0</v>
      </c>
      <c r="J91" s="192">
        <v>173.3</v>
      </c>
      <c r="K91" s="192">
        <v>1367.29</v>
      </c>
      <c r="L91" s="192">
        <v>0</v>
      </c>
      <c r="M91" s="192">
        <v>0</v>
      </c>
      <c r="N91" s="192">
        <v>145</v>
      </c>
      <c r="O91" s="192">
        <v>17957.09</v>
      </c>
      <c r="P91" s="192">
        <v>1112</v>
      </c>
      <c r="Q91" s="192">
        <v>1349.62</v>
      </c>
      <c r="R91" s="192">
        <v>0</v>
      </c>
      <c r="S91" s="285">
        <v>0.5</v>
      </c>
      <c r="T91" s="192">
        <v>3531.53</v>
      </c>
      <c r="U91" s="291">
        <v>23950.240000000002</v>
      </c>
      <c r="V91" s="291">
        <v>23950.240000000002</v>
      </c>
      <c r="W91" s="292">
        <v>272608.68</v>
      </c>
      <c r="X91" s="292">
        <v>287402.88</v>
      </c>
      <c r="Y91" s="292">
        <v>280925.76</v>
      </c>
      <c r="Z91" s="292">
        <v>304624.40999999997</v>
      </c>
      <c r="AA91" s="290">
        <v>311631.07832999999</v>
      </c>
      <c r="AB91" s="285">
        <v>309194.08065000002</v>
      </c>
      <c r="AC91" s="290">
        <v>24000</v>
      </c>
      <c r="AD91" s="192">
        <v>12</v>
      </c>
      <c r="AE91" s="290">
        <v>15000</v>
      </c>
      <c r="AF91" s="194">
        <v>303000</v>
      </c>
    </row>
    <row r="92" spans="1:33" s="196" customFormat="1" x14ac:dyDescent="0.3">
      <c r="G92" s="288">
        <f>SUM(G91)</f>
        <v>0.5</v>
      </c>
      <c r="H92" s="288">
        <f t="shared" ref="H92:AF92" si="11">SUM(H91)</f>
        <v>16271.5</v>
      </c>
      <c r="I92" s="288">
        <f t="shared" si="11"/>
        <v>0</v>
      </c>
      <c r="J92" s="288">
        <f t="shared" si="11"/>
        <v>173.3</v>
      </c>
      <c r="K92" s="288">
        <f t="shared" si="11"/>
        <v>1367.29</v>
      </c>
      <c r="L92" s="288">
        <f t="shared" si="11"/>
        <v>0</v>
      </c>
      <c r="M92" s="288">
        <f t="shared" si="11"/>
        <v>0</v>
      </c>
      <c r="N92" s="288">
        <f t="shared" si="11"/>
        <v>145</v>
      </c>
      <c r="O92" s="288">
        <f t="shared" si="11"/>
        <v>17957.09</v>
      </c>
      <c r="P92" s="288">
        <f t="shared" si="11"/>
        <v>1112</v>
      </c>
      <c r="Q92" s="288">
        <f t="shared" si="11"/>
        <v>1349.62</v>
      </c>
      <c r="R92" s="288">
        <f t="shared" si="11"/>
        <v>0</v>
      </c>
      <c r="S92" s="288">
        <f t="shared" si="11"/>
        <v>0.5</v>
      </c>
      <c r="T92" s="288">
        <f t="shared" si="11"/>
        <v>3531.53</v>
      </c>
      <c r="U92" s="288">
        <f t="shared" si="11"/>
        <v>23950.240000000002</v>
      </c>
      <c r="V92" s="288">
        <f t="shared" si="11"/>
        <v>23950.240000000002</v>
      </c>
      <c r="W92" s="288">
        <f t="shared" si="11"/>
        <v>272608.68</v>
      </c>
      <c r="X92" s="288">
        <f t="shared" si="11"/>
        <v>287402.88</v>
      </c>
      <c r="Y92" s="288">
        <f t="shared" si="11"/>
        <v>280925.76</v>
      </c>
      <c r="Z92" s="288">
        <f t="shared" si="11"/>
        <v>304624.40999999997</v>
      </c>
      <c r="AA92" s="288">
        <f t="shared" si="11"/>
        <v>311631.07832999999</v>
      </c>
      <c r="AB92" s="288">
        <f t="shared" si="11"/>
        <v>309194.08065000002</v>
      </c>
      <c r="AC92" s="288">
        <f t="shared" si="11"/>
        <v>24000</v>
      </c>
      <c r="AD92" s="288">
        <f t="shared" si="11"/>
        <v>12</v>
      </c>
      <c r="AE92" s="288">
        <f t="shared" si="11"/>
        <v>15000</v>
      </c>
      <c r="AF92" s="288">
        <f t="shared" si="11"/>
        <v>303000</v>
      </c>
      <c r="AG92" s="288"/>
    </row>
    <row r="93" spans="1:33" s="193" customFormat="1" x14ac:dyDescent="0.3"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301"/>
      <c r="AG93" s="285"/>
    </row>
    <row r="94" spans="1:33" x14ac:dyDescent="0.3">
      <c r="A94" s="192">
        <v>5830</v>
      </c>
      <c r="B94" s="192">
        <v>71</v>
      </c>
      <c r="C94" s="192">
        <v>5000</v>
      </c>
      <c r="D94" s="192" t="s">
        <v>1166</v>
      </c>
      <c r="E94" s="192">
        <v>20137609</v>
      </c>
      <c r="F94" s="192" t="s">
        <v>1167</v>
      </c>
      <c r="G94" s="290">
        <v>1</v>
      </c>
      <c r="H94" s="192">
        <v>5487.39</v>
      </c>
      <c r="I94" s="192">
        <v>2159.64</v>
      </c>
      <c r="J94" s="192">
        <v>197.6</v>
      </c>
      <c r="K94" s="192">
        <v>1481.26</v>
      </c>
      <c r="L94" s="192">
        <v>0</v>
      </c>
      <c r="M94" s="192">
        <v>0</v>
      </c>
      <c r="N94" s="192">
        <v>36.5</v>
      </c>
      <c r="O94" s="192">
        <v>9362.39</v>
      </c>
      <c r="P94" s="192">
        <v>455</v>
      </c>
      <c r="Q94" s="192">
        <v>702.19</v>
      </c>
      <c r="R94" s="192">
        <v>0</v>
      </c>
      <c r="S94" s="285">
        <v>1</v>
      </c>
      <c r="T94" s="192">
        <v>1583.21</v>
      </c>
      <c r="U94" s="291">
        <v>12102.79</v>
      </c>
      <c r="V94" s="291">
        <v>12102.79</v>
      </c>
      <c r="W94" s="292">
        <v>152737.56</v>
      </c>
      <c r="X94" s="292">
        <v>145233.48000000001</v>
      </c>
      <c r="Y94" s="292">
        <v>151494.32</v>
      </c>
      <c r="Z94" s="292">
        <v>156940.41</v>
      </c>
      <c r="AA94" s="290">
        <v>160491.60566999996</v>
      </c>
      <c r="AB94" s="285">
        <v>159236.53934999998</v>
      </c>
      <c r="AC94" s="290">
        <v>12700</v>
      </c>
      <c r="AD94" s="192">
        <v>12</v>
      </c>
      <c r="AE94" s="290">
        <v>10000</v>
      </c>
      <c r="AF94" s="194">
        <v>162400</v>
      </c>
    </row>
    <row r="95" spans="1:33" s="196" customFormat="1" x14ac:dyDescent="0.3">
      <c r="G95" s="288">
        <f>SUM(G94)</f>
        <v>1</v>
      </c>
      <c r="H95" s="288">
        <f t="shared" ref="H95:AF95" si="12">SUM(H94)</f>
        <v>5487.39</v>
      </c>
      <c r="I95" s="288">
        <f t="shared" si="12"/>
        <v>2159.64</v>
      </c>
      <c r="J95" s="288">
        <f t="shared" si="12"/>
        <v>197.6</v>
      </c>
      <c r="K95" s="288">
        <f t="shared" si="12"/>
        <v>1481.26</v>
      </c>
      <c r="L95" s="288">
        <f t="shared" si="12"/>
        <v>0</v>
      </c>
      <c r="M95" s="288">
        <f t="shared" si="12"/>
        <v>0</v>
      </c>
      <c r="N95" s="288">
        <f t="shared" si="12"/>
        <v>36.5</v>
      </c>
      <c r="O95" s="288">
        <f t="shared" si="12"/>
        <v>9362.39</v>
      </c>
      <c r="P95" s="288">
        <f t="shared" si="12"/>
        <v>455</v>
      </c>
      <c r="Q95" s="288">
        <f t="shared" si="12"/>
        <v>702.19</v>
      </c>
      <c r="R95" s="288">
        <f t="shared" si="12"/>
        <v>0</v>
      </c>
      <c r="S95" s="288">
        <f t="shared" si="12"/>
        <v>1</v>
      </c>
      <c r="T95" s="288">
        <f t="shared" si="12"/>
        <v>1583.21</v>
      </c>
      <c r="U95" s="288">
        <f t="shared" si="12"/>
        <v>12102.79</v>
      </c>
      <c r="V95" s="288">
        <f t="shared" si="12"/>
        <v>12102.79</v>
      </c>
      <c r="W95" s="288">
        <f t="shared" si="12"/>
        <v>152737.56</v>
      </c>
      <c r="X95" s="288">
        <f t="shared" si="12"/>
        <v>145233.48000000001</v>
      </c>
      <c r="Y95" s="288">
        <f t="shared" si="12"/>
        <v>151494.32</v>
      </c>
      <c r="Z95" s="288">
        <f t="shared" si="12"/>
        <v>156940.41</v>
      </c>
      <c r="AA95" s="288">
        <f t="shared" si="12"/>
        <v>160491.60566999996</v>
      </c>
      <c r="AB95" s="288">
        <f t="shared" si="12"/>
        <v>159236.53934999998</v>
      </c>
      <c r="AC95" s="288">
        <f t="shared" si="12"/>
        <v>12700</v>
      </c>
      <c r="AD95" s="288">
        <f t="shared" si="12"/>
        <v>12</v>
      </c>
      <c r="AE95" s="288">
        <f t="shared" si="12"/>
        <v>10000</v>
      </c>
      <c r="AF95" s="288">
        <f t="shared" si="12"/>
        <v>162400</v>
      </c>
      <c r="AG95" s="288"/>
    </row>
    <row r="96" spans="1:33" s="193" customFormat="1" ht="13.5" customHeight="1" x14ac:dyDescent="0.3"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301"/>
      <c r="AG96" s="285"/>
    </row>
    <row r="97" spans="1:33" s="193" customFormat="1" ht="13.5" customHeight="1" x14ac:dyDescent="0.3">
      <c r="F97" s="193" t="s">
        <v>1168</v>
      </c>
      <c r="G97" s="285">
        <v>0</v>
      </c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>
        <v>0</v>
      </c>
      <c r="T97" s="285"/>
      <c r="U97" s="285"/>
      <c r="V97" s="285"/>
      <c r="W97" s="285"/>
      <c r="X97" s="285"/>
      <c r="Y97" s="285"/>
      <c r="Z97" s="285"/>
      <c r="AA97" s="285"/>
      <c r="AB97" s="285"/>
      <c r="AC97" s="285">
        <v>8500</v>
      </c>
      <c r="AD97" s="285">
        <v>5</v>
      </c>
      <c r="AE97" s="285"/>
      <c r="AF97" s="194">
        <v>42500</v>
      </c>
      <c r="AG97" s="285"/>
    </row>
    <row r="98" spans="1:33" x14ac:dyDescent="0.3">
      <c r="A98" s="192">
        <v>5830</v>
      </c>
      <c r="B98" s="192">
        <v>72</v>
      </c>
      <c r="C98" s="192">
        <v>3000</v>
      </c>
      <c r="D98" s="192" t="s">
        <v>1169</v>
      </c>
      <c r="E98" s="192">
        <v>2459702</v>
      </c>
      <c r="F98" s="192" t="s">
        <v>1170</v>
      </c>
      <c r="G98" s="290">
        <v>1</v>
      </c>
      <c r="H98" s="192">
        <v>4863.09</v>
      </c>
      <c r="I98" s="192">
        <v>379.78</v>
      </c>
      <c r="J98" s="192">
        <v>197.6</v>
      </c>
      <c r="K98" s="192">
        <v>0</v>
      </c>
      <c r="L98" s="192">
        <v>0</v>
      </c>
      <c r="M98" s="192">
        <v>0</v>
      </c>
      <c r="N98" s="192">
        <v>36.5</v>
      </c>
      <c r="O98" s="192">
        <v>5476.97</v>
      </c>
      <c r="P98" s="192">
        <v>169</v>
      </c>
      <c r="Q98" s="192">
        <v>410.77</v>
      </c>
      <c r="R98" s="192">
        <v>0</v>
      </c>
      <c r="S98" s="285">
        <v>0.75</v>
      </c>
      <c r="T98" s="192">
        <v>1133.0899999999999</v>
      </c>
      <c r="U98" s="291">
        <v>7189.83</v>
      </c>
      <c r="V98" s="291">
        <v>7189.83</v>
      </c>
      <c r="W98" s="292">
        <v>100663.79999999999</v>
      </c>
      <c r="X98" s="292">
        <v>64708.47</v>
      </c>
      <c r="Y98" s="292">
        <v>101400.32000000001</v>
      </c>
      <c r="Z98" s="292">
        <v>102860.08</v>
      </c>
      <c r="AA98" s="290">
        <v>107353.38470999998</v>
      </c>
      <c r="AB98" s="285">
        <v>26234.942499999997</v>
      </c>
      <c r="AC98" s="290">
        <v>8400</v>
      </c>
      <c r="AD98" s="192">
        <v>9</v>
      </c>
      <c r="AE98" s="290">
        <v>10000</v>
      </c>
      <c r="AF98" s="194">
        <v>85600</v>
      </c>
      <c r="AG98" s="192" t="s">
        <v>1171</v>
      </c>
    </row>
    <row r="99" spans="1:33" s="207" customFormat="1" x14ac:dyDescent="0.3">
      <c r="A99" s="207">
        <v>5830</v>
      </c>
      <c r="B99" s="207">
        <v>72</v>
      </c>
      <c r="C99" s="207">
        <v>3000</v>
      </c>
      <c r="D99" s="207" t="s">
        <v>1169</v>
      </c>
      <c r="E99" s="207">
        <v>5569577</v>
      </c>
      <c r="F99" s="207" t="s">
        <v>1172</v>
      </c>
      <c r="G99" s="305">
        <v>1</v>
      </c>
      <c r="H99" s="207">
        <v>6819.22</v>
      </c>
      <c r="I99" s="207">
        <v>387.99</v>
      </c>
      <c r="J99" s="207">
        <v>197.6</v>
      </c>
      <c r="K99" s="207">
        <v>0</v>
      </c>
      <c r="L99" s="207">
        <v>0</v>
      </c>
      <c r="M99" s="207">
        <v>0</v>
      </c>
      <c r="N99" s="207">
        <v>124</v>
      </c>
      <c r="O99" s="207">
        <v>7528.81</v>
      </c>
      <c r="P99" s="207">
        <v>317</v>
      </c>
      <c r="Q99" s="207">
        <v>565.76</v>
      </c>
      <c r="R99" s="207">
        <v>0</v>
      </c>
      <c r="S99" s="285">
        <v>0.33333333333333331</v>
      </c>
      <c r="T99" s="207">
        <v>702.94</v>
      </c>
      <c r="U99" s="306">
        <v>9114.51</v>
      </c>
      <c r="V99" s="306">
        <v>9114.51</v>
      </c>
      <c r="W99" s="307">
        <v>107683.44</v>
      </c>
      <c r="X99" s="307">
        <v>36458.04</v>
      </c>
      <c r="Y99" s="307">
        <v>108611.23999999999</v>
      </c>
      <c r="Z99" s="307">
        <v>124178.22</v>
      </c>
      <c r="AA99" s="305">
        <v>127232.69921999999</v>
      </c>
      <c r="AB99" s="305">
        <v>126237.72209999998</v>
      </c>
      <c r="AC99" s="305">
        <v>9000</v>
      </c>
      <c r="AD99" s="207">
        <v>4</v>
      </c>
      <c r="AE99" s="305">
        <v>10000</v>
      </c>
      <c r="AF99" s="208">
        <v>46000</v>
      </c>
      <c r="AG99" s="207" t="s">
        <v>1173</v>
      </c>
    </row>
    <row r="100" spans="1:33" x14ac:dyDescent="0.3">
      <c r="A100" s="192">
        <v>5830</v>
      </c>
      <c r="B100" s="192">
        <v>72</v>
      </c>
      <c r="C100" s="192">
        <v>3000</v>
      </c>
      <c r="D100" s="192" t="s">
        <v>1169</v>
      </c>
      <c r="E100" s="192">
        <v>5905570</v>
      </c>
      <c r="F100" s="192" t="s">
        <v>1174</v>
      </c>
      <c r="G100" s="290">
        <v>1</v>
      </c>
      <c r="H100" s="192">
        <v>6359.78</v>
      </c>
      <c r="I100" s="192">
        <v>2858.37</v>
      </c>
      <c r="J100" s="192">
        <v>197.6</v>
      </c>
      <c r="K100" s="192">
        <v>2113.42</v>
      </c>
      <c r="L100" s="192">
        <v>0</v>
      </c>
      <c r="M100" s="192">
        <v>0</v>
      </c>
      <c r="N100" s="192">
        <v>0</v>
      </c>
      <c r="O100" s="192">
        <v>11529.17</v>
      </c>
      <c r="P100" s="192">
        <v>639</v>
      </c>
      <c r="Q100" s="192">
        <v>883.44</v>
      </c>
      <c r="R100" s="192">
        <v>0</v>
      </c>
      <c r="S100" s="285">
        <v>1</v>
      </c>
      <c r="T100" s="192">
        <v>1787.43</v>
      </c>
      <c r="U100" s="291">
        <v>14839.04</v>
      </c>
      <c r="V100" s="291">
        <v>14839.04</v>
      </c>
      <c r="W100" s="292">
        <v>171714.96</v>
      </c>
      <c r="X100" s="292">
        <v>178068.48000000001</v>
      </c>
      <c r="Y100" s="292">
        <v>168470.68</v>
      </c>
      <c r="Z100" s="292">
        <v>176115.21</v>
      </c>
      <c r="AA100" s="290">
        <v>174895.95716999998</v>
      </c>
      <c r="AB100" s="285">
        <v>173528.24685</v>
      </c>
      <c r="AC100" s="290">
        <v>14500</v>
      </c>
      <c r="AD100" s="192">
        <v>12</v>
      </c>
      <c r="AE100" s="290">
        <v>10000</v>
      </c>
      <c r="AF100" s="194">
        <v>184000</v>
      </c>
    </row>
    <row r="101" spans="1:33" x14ac:dyDescent="0.3">
      <c r="A101" s="192">
        <v>5830</v>
      </c>
      <c r="B101" s="192">
        <v>72</v>
      </c>
      <c r="C101" s="192">
        <v>3000</v>
      </c>
      <c r="D101" s="192" t="s">
        <v>1169</v>
      </c>
      <c r="E101" s="192">
        <v>6588449</v>
      </c>
      <c r="F101" s="192" t="s">
        <v>1175</v>
      </c>
      <c r="G101" s="290">
        <v>1</v>
      </c>
      <c r="H101" s="192">
        <v>7022.28</v>
      </c>
      <c r="I101" s="192">
        <v>1005.3</v>
      </c>
      <c r="J101" s="192">
        <v>197.6</v>
      </c>
      <c r="K101" s="192">
        <v>0</v>
      </c>
      <c r="L101" s="192">
        <v>0</v>
      </c>
      <c r="M101" s="192">
        <v>0</v>
      </c>
      <c r="N101" s="192">
        <v>124</v>
      </c>
      <c r="O101" s="192">
        <v>8349.18</v>
      </c>
      <c r="P101" s="192">
        <v>346</v>
      </c>
      <c r="Q101" s="192">
        <v>626.19000000000005</v>
      </c>
      <c r="R101" s="192">
        <v>0</v>
      </c>
      <c r="S101" s="285">
        <v>1</v>
      </c>
      <c r="T101" s="192">
        <v>1670.43</v>
      </c>
      <c r="U101" s="291">
        <v>10991.8</v>
      </c>
      <c r="V101" s="291">
        <v>10991.8</v>
      </c>
      <c r="W101" s="292">
        <v>129901.44</v>
      </c>
      <c r="X101" s="292">
        <v>131901.59999999998</v>
      </c>
      <c r="Y101" s="292">
        <v>129338.36</v>
      </c>
      <c r="Z101" s="292">
        <v>157680.81</v>
      </c>
      <c r="AA101" s="290">
        <v>161228.91245999996</v>
      </c>
      <c r="AB101" s="285">
        <v>159968.08029999997</v>
      </c>
      <c r="AC101" s="290">
        <v>10800</v>
      </c>
      <c r="AD101" s="192">
        <v>12</v>
      </c>
      <c r="AE101" s="290">
        <v>10000</v>
      </c>
      <c r="AF101" s="194">
        <v>139600</v>
      </c>
    </row>
    <row r="102" spans="1:33" s="196" customFormat="1" x14ac:dyDescent="0.3">
      <c r="G102" s="288">
        <f>SUM(G97:G101)</f>
        <v>4</v>
      </c>
      <c r="H102" s="288">
        <f t="shared" ref="H102:AE102" si="13">SUM(H97:H101)</f>
        <v>25064.37</v>
      </c>
      <c r="I102" s="288">
        <f t="shared" si="13"/>
        <v>4631.4399999999996</v>
      </c>
      <c r="J102" s="288">
        <f t="shared" si="13"/>
        <v>790.4</v>
      </c>
      <c r="K102" s="288">
        <f t="shared" si="13"/>
        <v>2113.42</v>
      </c>
      <c r="L102" s="288">
        <f t="shared" si="13"/>
        <v>0</v>
      </c>
      <c r="M102" s="288">
        <f t="shared" si="13"/>
        <v>0</v>
      </c>
      <c r="N102" s="288">
        <f t="shared" si="13"/>
        <v>284.5</v>
      </c>
      <c r="O102" s="288">
        <f t="shared" si="13"/>
        <v>32884.130000000005</v>
      </c>
      <c r="P102" s="288">
        <f t="shared" si="13"/>
        <v>1471</v>
      </c>
      <c r="Q102" s="288">
        <f t="shared" si="13"/>
        <v>2486.16</v>
      </c>
      <c r="R102" s="288">
        <f t="shared" si="13"/>
        <v>0</v>
      </c>
      <c r="S102" s="288">
        <f t="shared" si="13"/>
        <v>3.083333333333333</v>
      </c>
      <c r="T102" s="288">
        <f t="shared" si="13"/>
        <v>5293.89</v>
      </c>
      <c r="U102" s="288">
        <f t="shared" si="13"/>
        <v>42135.18</v>
      </c>
      <c r="V102" s="288">
        <f t="shared" si="13"/>
        <v>42135.18</v>
      </c>
      <c r="W102" s="288">
        <f t="shared" si="13"/>
        <v>509963.63999999996</v>
      </c>
      <c r="X102" s="288">
        <f t="shared" si="13"/>
        <v>411136.58999999997</v>
      </c>
      <c r="Y102" s="288">
        <f t="shared" si="13"/>
        <v>507820.6</v>
      </c>
      <c r="Z102" s="288">
        <f t="shared" si="13"/>
        <v>560834.32000000007</v>
      </c>
      <c r="AA102" s="288">
        <f t="shared" si="13"/>
        <v>570710.95355999982</v>
      </c>
      <c r="AB102" s="288">
        <f t="shared" si="13"/>
        <v>485968.99174999999</v>
      </c>
      <c r="AC102" s="288">
        <f t="shared" si="13"/>
        <v>51200</v>
      </c>
      <c r="AD102" s="288">
        <f t="shared" si="13"/>
        <v>42</v>
      </c>
      <c r="AE102" s="288">
        <f t="shared" si="13"/>
        <v>40000</v>
      </c>
      <c r="AF102" s="288">
        <f>SUM(AF97:AF101)</f>
        <v>497700</v>
      </c>
      <c r="AG102" s="288" t="s">
        <v>1176</v>
      </c>
    </row>
    <row r="103" spans="1:33" s="193" customFormat="1" x14ac:dyDescent="0.3"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301"/>
      <c r="AG103" s="285"/>
    </row>
    <row r="104" spans="1:33" s="193" customFormat="1" x14ac:dyDescent="0.3">
      <c r="F104" s="193" t="s">
        <v>1177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>
        <v>8000</v>
      </c>
      <c r="AD104" s="285">
        <v>6</v>
      </c>
      <c r="AE104" s="285"/>
      <c r="AF104" s="194">
        <v>48000</v>
      </c>
      <c r="AG104" s="285"/>
    </row>
    <row r="105" spans="1:33" x14ac:dyDescent="0.3">
      <c r="A105" s="192">
        <v>5830</v>
      </c>
      <c r="B105" s="192">
        <v>72</v>
      </c>
      <c r="C105" s="192">
        <v>3100</v>
      </c>
      <c r="D105" s="192" t="s">
        <v>1178</v>
      </c>
      <c r="E105" s="192">
        <v>2459026</v>
      </c>
      <c r="F105" s="192" t="s">
        <v>1179</v>
      </c>
      <c r="G105" s="290">
        <v>1</v>
      </c>
      <c r="H105" s="192">
        <v>6856.71</v>
      </c>
      <c r="I105" s="192">
        <v>3856.7</v>
      </c>
      <c r="J105" s="192">
        <v>197.6</v>
      </c>
      <c r="K105" s="192">
        <v>0</v>
      </c>
      <c r="L105" s="192">
        <v>0</v>
      </c>
      <c r="M105" s="192">
        <v>0</v>
      </c>
      <c r="N105" s="192">
        <v>36.5</v>
      </c>
      <c r="O105" s="192">
        <v>10947.51</v>
      </c>
      <c r="P105" s="192">
        <v>577</v>
      </c>
      <c r="Q105" s="192">
        <v>821.86</v>
      </c>
      <c r="R105" s="192">
        <v>0</v>
      </c>
      <c r="S105" s="285">
        <v>1</v>
      </c>
      <c r="T105" s="192">
        <v>1183.8599999999999</v>
      </c>
      <c r="U105" s="291">
        <v>13530.23</v>
      </c>
      <c r="V105" s="291">
        <v>13530.23</v>
      </c>
      <c r="W105" s="292">
        <v>163362.96</v>
      </c>
      <c r="X105" s="292">
        <v>162362.76</v>
      </c>
      <c r="Y105" s="292">
        <v>163198.07999999999</v>
      </c>
      <c r="Z105" s="292">
        <v>175724.56</v>
      </c>
      <c r="AA105" s="290">
        <v>179736.34305</v>
      </c>
      <c r="AB105" s="285">
        <v>178330.78024999998</v>
      </c>
      <c r="AC105" s="290">
        <v>13000</v>
      </c>
      <c r="AD105" s="192">
        <v>12</v>
      </c>
      <c r="AE105" s="290">
        <v>10000</v>
      </c>
      <c r="AF105" s="194">
        <v>166000</v>
      </c>
    </row>
    <row r="106" spans="1:33" x14ac:dyDescent="0.3">
      <c r="A106" s="192">
        <v>5830</v>
      </c>
      <c r="B106" s="192">
        <v>72</v>
      </c>
      <c r="C106" s="192">
        <v>3100</v>
      </c>
      <c r="D106" s="192" t="s">
        <v>1178</v>
      </c>
      <c r="E106" s="192">
        <v>5981631</v>
      </c>
      <c r="F106" s="192" t="s">
        <v>1180</v>
      </c>
      <c r="G106" s="290">
        <v>0.9</v>
      </c>
      <c r="H106" s="192">
        <v>5281.67</v>
      </c>
      <c r="I106" s="192">
        <v>335.21</v>
      </c>
      <c r="J106" s="192">
        <v>192.74</v>
      </c>
      <c r="K106" s="192">
        <v>0</v>
      </c>
      <c r="L106" s="192">
        <v>0</v>
      </c>
      <c r="M106" s="192">
        <v>0</v>
      </c>
      <c r="N106" s="192">
        <v>36.5</v>
      </c>
      <c r="O106" s="192">
        <v>5846.12</v>
      </c>
      <c r="P106" s="192">
        <v>208</v>
      </c>
      <c r="Q106" s="192">
        <v>438.47</v>
      </c>
      <c r="R106" s="192">
        <v>0</v>
      </c>
      <c r="S106" s="285">
        <v>0.9</v>
      </c>
      <c r="T106" s="192">
        <v>1216.98</v>
      </c>
      <c r="U106" s="291">
        <v>7709.57</v>
      </c>
      <c r="V106" s="291">
        <v>7709.57</v>
      </c>
      <c r="W106" s="292">
        <v>94881.24</v>
      </c>
      <c r="X106" s="292">
        <v>92514.84</v>
      </c>
      <c r="Y106" s="292">
        <v>93667.520000000004</v>
      </c>
      <c r="Z106" s="292">
        <v>103493.2</v>
      </c>
      <c r="AA106" s="290">
        <v>105696.51345</v>
      </c>
      <c r="AB106" s="285">
        <v>104869.95225</v>
      </c>
      <c r="AC106" s="290">
        <v>8500</v>
      </c>
      <c r="AD106" s="192">
        <v>12</v>
      </c>
      <c r="AE106" s="290">
        <v>8000</v>
      </c>
      <c r="AF106" s="194">
        <v>110000</v>
      </c>
    </row>
    <row r="107" spans="1:33" s="196" customFormat="1" x14ac:dyDescent="0.3">
      <c r="G107" s="288">
        <f>SUM(G104:G106)</f>
        <v>1.9</v>
      </c>
      <c r="H107" s="288">
        <f t="shared" ref="H107:AF107" si="14">SUM(H104:H106)</f>
        <v>12138.380000000001</v>
      </c>
      <c r="I107" s="288">
        <f t="shared" si="14"/>
        <v>4191.91</v>
      </c>
      <c r="J107" s="288">
        <f t="shared" si="14"/>
        <v>390.34000000000003</v>
      </c>
      <c r="K107" s="288">
        <f t="shared" si="14"/>
        <v>0</v>
      </c>
      <c r="L107" s="288">
        <f t="shared" si="14"/>
        <v>0</v>
      </c>
      <c r="M107" s="288">
        <f t="shared" si="14"/>
        <v>0</v>
      </c>
      <c r="N107" s="288">
        <f t="shared" si="14"/>
        <v>73</v>
      </c>
      <c r="O107" s="288">
        <f t="shared" si="14"/>
        <v>16793.63</v>
      </c>
      <c r="P107" s="288">
        <f t="shared" si="14"/>
        <v>785</v>
      </c>
      <c r="Q107" s="288">
        <f t="shared" si="14"/>
        <v>1260.33</v>
      </c>
      <c r="R107" s="288">
        <f t="shared" si="14"/>
        <v>0</v>
      </c>
      <c r="S107" s="288">
        <f t="shared" si="14"/>
        <v>1.9</v>
      </c>
      <c r="T107" s="288">
        <f t="shared" si="14"/>
        <v>2400.84</v>
      </c>
      <c r="U107" s="288">
        <f t="shared" si="14"/>
        <v>21239.8</v>
      </c>
      <c r="V107" s="288">
        <f t="shared" si="14"/>
        <v>21239.8</v>
      </c>
      <c r="W107" s="288">
        <f t="shared" si="14"/>
        <v>258244.2</v>
      </c>
      <c r="X107" s="288">
        <f t="shared" si="14"/>
        <v>254877.6</v>
      </c>
      <c r="Y107" s="288">
        <f t="shared" si="14"/>
        <v>256865.59999999998</v>
      </c>
      <c r="Z107" s="288">
        <f t="shared" si="14"/>
        <v>279217.76</v>
      </c>
      <c r="AA107" s="288">
        <f t="shared" si="14"/>
        <v>285432.85649999999</v>
      </c>
      <c r="AB107" s="288">
        <f t="shared" si="14"/>
        <v>283200.73249999998</v>
      </c>
      <c r="AC107" s="288">
        <f t="shared" si="14"/>
        <v>29500</v>
      </c>
      <c r="AD107" s="288">
        <f t="shared" si="14"/>
        <v>30</v>
      </c>
      <c r="AE107" s="288">
        <f t="shared" si="14"/>
        <v>18000</v>
      </c>
      <c r="AF107" s="288">
        <f t="shared" si="14"/>
        <v>324000</v>
      </c>
      <c r="AG107" s="288"/>
    </row>
    <row r="108" spans="1:33" x14ac:dyDescent="0.3">
      <c r="W108" s="292"/>
      <c r="X108" s="292"/>
      <c r="Y108" s="292"/>
      <c r="Z108" s="292"/>
      <c r="AA108" s="290"/>
      <c r="AB108" s="285"/>
      <c r="AC108" s="290"/>
      <c r="AE108" s="290"/>
      <c r="AF108" s="194"/>
    </row>
    <row r="109" spans="1:33" x14ac:dyDescent="0.3">
      <c r="A109" s="192">
        <v>5830</v>
      </c>
      <c r="B109" s="192">
        <v>72</v>
      </c>
      <c r="C109" s="192">
        <v>6000</v>
      </c>
      <c r="D109" s="192" t="s">
        <v>1181</v>
      </c>
      <c r="E109" s="192">
        <v>2955240</v>
      </c>
      <c r="F109" s="192" t="s">
        <v>1182</v>
      </c>
      <c r="G109" s="290">
        <v>1</v>
      </c>
      <c r="H109" s="192">
        <v>18548</v>
      </c>
      <c r="I109" s="192">
        <v>0</v>
      </c>
      <c r="J109" s="192">
        <v>0</v>
      </c>
      <c r="K109" s="192">
        <v>0</v>
      </c>
      <c r="L109" s="192">
        <v>0</v>
      </c>
      <c r="M109" s="192">
        <v>0</v>
      </c>
      <c r="N109" s="192">
        <v>693.6</v>
      </c>
      <c r="O109" s="192">
        <v>19241.599999999999</v>
      </c>
      <c r="P109" s="192">
        <v>1465</v>
      </c>
      <c r="Q109" s="192">
        <v>1698.32</v>
      </c>
      <c r="R109" s="192">
        <v>0</v>
      </c>
      <c r="S109" s="285">
        <v>1</v>
      </c>
      <c r="T109" s="192">
        <v>4003.95</v>
      </c>
      <c r="U109" s="291">
        <v>26408.87</v>
      </c>
      <c r="V109" s="291">
        <v>26408.87</v>
      </c>
      <c r="W109" s="292">
        <v>316906.44</v>
      </c>
      <c r="X109" s="292">
        <v>316906.44</v>
      </c>
      <c r="Y109" s="292">
        <v>316906.44</v>
      </c>
      <c r="Z109" s="292">
        <v>323669.34000000003</v>
      </c>
      <c r="AA109" s="290">
        <v>331113.73482000001</v>
      </c>
      <c r="AB109" s="285">
        <v>328524.38010000001</v>
      </c>
      <c r="AC109" s="290">
        <v>26500</v>
      </c>
      <c r="AD109" s="192">
        <v>12</v>
      </c>
      <c r="AE109" s="290">
        <v>15000</v>
      </c>
      <c r="AF109" s="194">
        <v>333000</v>
      </c>
    </row>
    <row r="110" spans="1:33" s="196" customFormat="1" x14ac:dyDescent="0.3">
      <c r="G110" s="288">
        <f>SUM(G109)</f>
        <v>1</v>
      </c>
      <c r="H110" s="288">
        <f t="shared" ref="H110:AE110" si="15">SUM(H109)</f>
        <v>18548</v>
      </c>
      <c r="I110" s="288">
        <f t="shared" si="15"/>
        <v>0</v>
      </c>
      <c r="J110" s="288">
        <f t="shared" si="15"/>
        <v>0</v>
      </c>
      <c r="K110" s="288">
        <f t="shared" si="15"/>
        <v>0</v>
      </c>
      <c r="L110" s="288">
        <f t="shared" si="15"/>
        <v>0</v>
      </c>
      <c r="M110" s="288">
        <f t="shared" si="15"/>
        <v>0</v>
      </c>
      <c r="N110" s="288">
        <f t="shared" si="15"/>
        <v>693.6</v>
      </c>
      <c r="O110" s="288">
        <f t="shared" si="15"/>
        <v>19241.599999999999</v>
      </c>
      <c r="P110" s="288">
        <f t="shared" si="15"/>
        <v>1465</v>
      </c>
      <c r="Q110" s="288">
        <f t="shared" si="15"/>
        <v>1698.32</v>
      </c>
      <c r="R110" s="288">
        <f t="shared" si="15"/>
        <v>0</v>
      </c>
      <c r="S110" s="288">
        <f t="shared" si="15"/>
        <v>1</v>
      </c>
      <c r="T110" s="288">
        <f t="shared" si="15"/>
        <v>4003.95</v>
      </c>
      <c r="U110" s="288">
        <f t="shared" si="15"/>
        <v>26408.87</v>
      </c>
      <c r="V110" s="288">
        <f t="shared" si="15"/>
        <v>26408.87</v>
      </c>
      <c r="W110" s="288">
        <f t="shared" si="15"/>
        <v>316906.44</v>
      </c>
      <c r="X110" s="288">
        <f t="shared" si="15"/>
        <v>316906.44</v>
      </c>
      <c r="Y110" s="288">
        <f t="shared" si="15"/>
        <v>316906.44</v>
      </c>
      <c r="Z110" s="288">
        <f t="shared" si="15"/>
        <v>323669.34000000003</v>
      </c>
      <c r="AA110" s="288">
        <f t="shared" si="15"/>
        <v>331113.73482000001</v>
      </c>
      <c r="AB110" s="288">
        <f t="shared" si="15"/>
        <v>328524.38010000001</v>
      </c>
      <c r="AC110" s="288">
        <f t="shared" si="15"/>
        <v>26500</v>
      </c>
      <c r="AD110" s="288">
        <f t="shared" si="15"/>
        <v>12</v>
      </c>
      <c r="AE110" s="288">
        <f t="shared" si="15"/>
        <v>15000</v>
      </c>
      <c r="AF110" s="288">
        <f>SUM(AF109)</f>
        <v>333000</v>
      </c>
      <c r="AG110" s="288" t="s">
        <v>1183</v>
      </c>
    </row>
    <row r="111" spans="1:33" s="193" customFormat="1" x14ac:dyDescent="0.3"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85"/>
      <c r="AE111" s="285"/>
      <c r="AF111" s="301"/>
      <c r="AG111" s="285"/>
    </row>
    <row r="112" spans="1:33" s="193" customFormat="1" x14ac:dyDescent="0.3">
      <c r="F112" s="193" t="s">
        <v>1184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>
        <v>23400</v>
      </c>
      <c r="AD112" s="285">
        <v>5</v>
      </c>
      <c r="AE112" s="285"/>
      <c r="AF112" s="194">
        <v>117000</v>
      </c>
      <c r="AG112" s="285"/>
    </row>
    <row r="113" spans="1:33" x14ac:dyDescent="0.3">
      <c r="A113" s="192">
        <v>5830</v>
      </c>
      <c r="B113" s="192">
        <v>73</v>
      </c>
      <c r="C113" s="192">
        <v>1000</v>
      </c>
      <c r="D113" s="192" t="s">
        <v>1185</v>
      </c>
      <c r="E113" s="192">
        <v>2391710</v>
      </c>
      <c r="F113" s="192" t="s">
        <v>1186</v>
      </c>
      <c r="G113" s="290">
        <v>1</v>
      </c>
      <c r="H113" s="192">
        <v>7427.12</v>
      </c>
      <c r="I113" s="192">
        <v>1514.58</v>
      </c>
      <c r="J113" s="192">
        <v>197.6</v>
      </c>
      <c r="K113" s="192">
        <v>0</v>
      </c>
      <c r="L113" s="192">
        <v>0</v>
      </c>
      <c r="M113" s="192">
        <v>0</v>
      </c>
      <c r="N113" s="192">
        <v>36.5</v>
      </c>
      <c r="O113" s="192">
        <v>9175.7999999999993</v>
      </c>
      <c r="P113" s="192">
        <v>441</v>
      </c>
      <c r="Q113" s="192">
        <v>688.19</v>
      </c>
      <c r="R113" s="192">
        <v>0</v>
      </c>
      <c r="S113" s="285">
        <v>1</v>
      </c>
      <c r="T113" s="192">
        <v>877.32</v>
      </c>
      <c r="U113" s="291">
        <v>11182.31</v>
      </c>
      <c r="V113" s="291">
        <v>11182.31</v>
      </c>
      <c r="W113" s="292">
        <v>133882.20000000001</v>
      </c>
      <c r="X113" s="292">
        <v>134187.72</v>
      </c>
      <c r="Y113" s="292">
        <v>133226.35999999999</v>
      </c>
      <c r="Z113" s="292">
        <v>139151.65</v>
      </c>
      <c r="AA113" s="290">
        <v>142364.25026999999</v>
      </c>
      <c r="AB113" s="285">
        <v>141250.94234999997</v>
      </c>
      <c r="AC113" s="290">
        <v>11100</v>
      </c>
      <c r="AD113" s="192">
        <v>12</v>
      </c>
      <c r="AE113" s="290">
        <v>10000</v>
      </c>
      <c r="AF113" s="194">
        <v>143200</v>
      </c>
    </row>
    <row r="114" spans="1:33" x14ac:dyDescent="0.3">
      <c r="A114" s="192">
        <v>5830</v>
      </c>
      <c r="B114" s="192">
        <v>73</v>
      </c>
      <c r="C114" s="192">
        <v>1000</v>
      </c>
      <c r="D114" s="192" t="s">
        <v>1185</v>
      </c>
      <c r="E114" s="192">
        <v>2704002</v>
      </c>
      <c r="F114" s="192" t="s">
        <v>1187</v>
      </c>
      <c r="G114" s="290">
        <v>1</v>
      </c>
      <c r="H114" s="192">
        <v>9108.1</v>
      </c>
      <c r="I114" s="192">
        <v>2937.22</v>
      </c>
      <c r="J114" s="192">
        <v>197.6</v>
      </c>
      <c r="K114" s="192">
        <v>2488.9499999999998</v>
      </c>
      <c r="L114" s="192">
        <v>0</v>
      </c>
      <c r="M114" s="192">
        <v>0</v>
      </c>
      <c r="N114" s="192">
        <v>36.5</v>
      </c>
      <c r="O114" s="192">
        <v>14768.37</v>
      </c>
      <c r="P114" s="192">
        <v>893</v>
      </c>
      <c r="Q114" s="192">
        <v>1134.26</v>
      </c>
      <c r="R114" s="192">
        <v>0</v>
      </c>
      <c r="S114" s="285">
        <v>1</v>
      </c>
      <c r="T114" s="192">
        <v>1300.67</v>
      </c>
      <c r="U114" s="291">
        <v>18096.3</v>
      </c>
      <c r="V114" s="291">
        <v>18096.3</v>
      </c>
      <c r="W114" s="292">
        <v>225371.27999999997</v>
      </c>
      <c r="X114" s="292">
        <v>217155.59999999998</v>
      </c>
      <c r="Y114" s="292">
        <v>222613.24</v>
      </c>
      <c r="Z114" s="292">
        <v>236151.74</v>
      </c>
      <c r="AA114" s="290">
        <v>240906.81218999997</v>
      </c>
      <c r="AB114" s="285">
        <v>239022.88794999997</v>
      </c>
      <c r="AC114" s="290">
        <v>18800</v>
      </c>
      <c r="AD114" s="192">
        <v>12</v>
      </c>
      <c r="AE114" s="290">
        <v>12000</v>
      </c>
      <c r="AF114" s="194">
        <v>237600</v>
      </c>
    </row>
    <row r="115" spans="1:33" x14ac:dyDescent="0.3">
      <c r="A115" s="192">
        <v>5830</v>
      </c>
      <c r="B115" s="192">
        <v>73</v>
      </c>
      <c r="C115" s="192">
        <v>1000</v>
      </c>
      <c r="D115" s="192" t="s">
        <v>1185</v>
      </c>
      <c r="E115" s="192">
        <v>3580862</v>
      </c>
      <c r="F115" s="192" t="s">
        <v>1188</v>
      </c>
      <c r="G115" s="290">
        <v>1</v>
      </c>
      <c r="H115" s="192">
        <v>24731</v>
      </c>
      <c r="I115" s="192">
        <v>0</v>
      </c>
      <c r="J115" s="192">
        <v>0</v>
      </c>
      <c r="K115" s="192">
        <v>0</v>
      </c>
      <c r="L115" s="192">
        <v>0</v>
      </c>
      <c r="M115" s="192">
        <v>0</v>
      </c>
      <c r="N115" s="192">
        <v>936.8</v>
      </c>
      <c r="O115" s="192">
        <v>25667.8</v>
      </c>
      <c r="P115" s="192">
        <v>1988</v>
      </c>
      <c r="Q115" s="192">
        <v>2215.0700000000002</v>
      </c>
      <c r="R115" s="192">
        <v>0</v>
      </c>
      <c r="S115" s="285">
        <v>1</v>
      </c>
      <c r="T115" s="192">
        <v>5915.51</v>
      </c>
      <c r="U115" s="291">
        <v>35786.379999999997</v>
      </c>
      <c r="V115" s="291">
        <v>35786.379999999997</v>
      </c>
      <c r="W115" s="292">
        <v>429436.55999999994</v>
      </c>
      <c r="X115" s="292">
        <v>429436.55999999994</v>
      </c>
      <c r="Y115" s="292">
        <v>429436.55999999994</v>
      </c>
      <c r="Z115" s="292">
        <v>433325.71</v>
      </c>
      <c r="AA115" s="290">
        <v>443292.20133000001</v>
      </c>
      <c r="AB115" s="285">
        <v>439825.59564999997</v>
      </c>
      <c r="AC115" s="290">
        <v>35800</v>
      </c>
      <c r="AD115" s="192">
        <v>12</v>
      </c>
      <c r="AE115" s="290">
        <v>14000</v>
      </c>
      <c r="AF115" s="194">
        <v>443600</v>
      </c>
    </row>
    <row r="116" spans="1:33" x14ac:dyDescent="0.3">
      <c r="A116" s="192">
        <v>5830</v>
      </c>
      <c r="B116" s="192">
        <v>73</v>
      </c>
      <c r="C116" s="192">
        <v>1000</v>
      </c>
      <c r="D116" s="192" t="s">
        <v>1185</v>
      </c>
      <c r="E116" s="192">
        <v>5865809</v>
      </c>
      <c r="F116" s="192" t="s">
        <v>1189</v>
      </c>
      <c r="G116" s="290">
        <v>1</v>
      </c>
      <c r="H116" s="192">
        <v>6624.01</v>
      </c>
      <c r="I116" s="192">
        <v>2253.4899999999998</v>
      </c>
      <c r="J116" s="192">
        <v>197.6</v>
      </c>
      <c r="K116" s="192">
        <v>0</v>
      </c>
      <c r="L116" s="192">
        <v>0</v>
      </c>
      <c r="M116" s="192">
        <v>0</v>
      </c>
      <c r="N116" s="192">
        <v>36.5</v>
      </c>
      <c r="O116" s="192">
        <v>9111.6</v>
      </c>
      <c r="P116" s="192">
        <v>437</v>
      </c>
      <c r="Q116" s="192">
        <v>684.17</v>
      </c>
      <c r="R116" s="192">
        <v>0</v>
      </c>
      <c r="S116" s="285">
        <v>1</v>
      </c>
      <c r="T116" s="192">
        <v>931.23</v>
      </c>
      <c r="U116" s="291">
        <v>11164</v>
      </c>
      <c r="V116" s="291">
        <v>11164</v>
      </c>
      <c r="W116" s="292">
        <v>139290.12</v>
      </c>
      <c r="X116" s="292">
        <v>133968</v>
      </c>
      <c r="Y116" s="292">
        <v>139692.48000000001</v>
      </c>
      <c r="Z116" s="292">
        <v>151052.49</v>
      </c>
      <c r="AA116" s="290">
        <v>154960.08098999999</v>
      </c>
      <c r="AB116" s="285">
        <v>153748.27194999999</v>
      </c>
      <c r="AC116" s="290">
        <v>12000</v>
      </c>
      <c r="AD116" s="192">
        <v>12</v>
      </c>
      <c r="AE116" s="290">
        <v>10000</v>
      </c>
      <c r="AF116" s="194">
        <v>154000</v>
      </c>
    </row>
    <row r="117" spans="1:33" x14ac:dyDescent="0.3">
      <c r="A117" s="192">
        <v>5830</v>
      </c>
      <c r="B117" s="192">
        <v>73</v>
      </c>
      <c r="C117" s="192">
        <v>3000</v>
      </c>
      <c r="D117" s="192" t="s">
        <v>1190</v>
      </c>
      <c r="E117" s="192">
        <v>20158631</v>
      </c>
      <c r="F117" s="192" t="s">
        <v>1191</v>
      </c>
      <c r="G117" s="290">
        <v>1</v>
      </c>
      <c r="H117" s="192">
        <v>5024.8599999999997</v>
      </c>
      <c r="I117" s="192">
        <v>2323.81</v>
      </c>
      <c r="J117" s="192">
        <v>197.6</v>
      </c>
      <c r="K117" s="192">
        <v>0</v>
      </c>
      <c r="L117" s="192">
        <v>0</v>
      </c>
      <c r="M117" s="192">
        <v>0</v>
      </c>
      <c r="N117" s="192">
        <v>36.5</v>
      </c>
      <c r="O117" s="192">
        <v>7582.77</v>
      </c>
      <c r="P117" s="192">
        <v>331</v>
      </c>
      <c r="Q117" s="192">
        <v>579.96</v>
      </c>
      <c r="R117" s="192">
        <v>0</v>
      </c>
      <c r="S117" s="285">
        <v>1</v>
      </c>
      <c r="T117" s="192">
        <v>771</v>
      </c>
      <c r="U117" s="291">
        <v>9264.73</v>
      </c>
      <c r="V117" s="291">
        <v>9264.73</v>
      </c>
      <c r="W117" s="292">
        <v>117285.48000000001</v>
      </c>
      <c r="X117" s="292">
        <v>111176.76</v>
      </c>
      <c r="Y117" s="292">
        <v>122665.16</v>
      </c>
      <c r="Z117" s="292">
        <v>11954.49</v>
      </c>
      <c r="AA117" s="290">
        <v>6496.33644</v>
      </c>
      <c r="AB117" s="285">
        <v>115632.883548</v>
      </c>
      <c r="AC117" s="290">
        <v>13000</v>
      </c>
      <c r="AD117" s="192">
        <v>12</v>
      </c>
      <c r="AE117" s="290">
        <v>12000</v>
      </c>
      <c r="AF117" s="194">
        <v>168000</v>
      </c>
    </row>
    <row r="118" spans="1:33" x14ac:dyDescent="0.3">
      <c r="A118" s="192">
        <v>5830</v>
      </c>
      <c r="B118" s="192">
        <v>73</v>
      </c>
      <c r="C118" s="192">
        <v>3000</v>
      </c>
      <c r="D118" s="192" t="s">
        <v>1190</v>
      </c>
      <c r="E118" s="192">
        <v>30765737</v>
      </c>
      <c r="F118" s="192" t="s">
        <v>1192</v>
      </c>
      <c r="G118" s="290">
        <v>1</v>
      </c>
      <c r="H118" s="192">
        <v>8336.0499999999993</v>
      </c>
      <c r="I118" s="192">
        <v>0</v>
      </c>
      <c r="J118" s="192">
        <v>620.6</v>
      </c>
      <c r="K118" s="192">
        <v>2318.21</v>
      </c>
      <c r="L118" s="192">
        <v>0</v>
      </c>
      <c r="M118" s="192">
        <v>0</v>
      </c>
      <c r="N118" s="192">
        <v>651.29999999999995</v>
      </c>
      <c r="O118" s="192">
        <v>11926.16</v>
      </c>
      <c r="P118" s="192">
        <v>650</v>
      </c>
      <c r="Q118" s="192">
        <v>894.46</v>
      </c>
      <c r="R118" s="192">
        <v>0</v>
      </c>
      <c r="S118" s="285">
        <v>0.83333333333333337</v>
      </c>
      <c r="T118" s="192">
        <v>1978.16</v>
      </c>
      <c r="U118" s="291">
        <v>15448.78</v>
      </c>
      <c r="V118" s="291">
        <v>15448.78</v>
      </c>
      <c r="W118" s="292">
        <v>184743.59999999998</v>
      </c>
      <c r="X118" s="292">
        <v>154487.80000000002</v>
      </c>
      <c r="Y118" s="292">
        <v>199762.60000000003</v>
      </c>
      <c r="Z118" s="292">
        <v>87037.71</v>
      </c>
      <c r="AA118" s="290">
        <v>101838.48378</v>
      </c>
      <c r="AB118" s="285">
        <v>213287.80655000001</v>
      </c>
      <c r="AC118" s="290">
        <v>15500</v>
      </c>
      <c r="AD118" s="192">
        <v>10</v>
      </c>
      <c r="AE118" s="290">
        <v>12000</v>
      </c>
      <c r="AF118" s="194">
        <v>167000</v>
      </c>
    </row>
    <row r="119" spans="1:33" x14ac:dyDescent="0.3">
      <c r="A119" s="192">
        <v>5830</v>
      </c>
      <c r="B119" s="192">
        <v>73</v>
      </c>
      <c r="C119" s="192">
        <v>3000</v>
      </c>
      <c r="D119" s="192" t="s">
        <v>1190</v>
      </c>
      <c r="E119" s="192">
        <v>30765737</v>
      </c>
      <c r="F119" s="192" t="s">
        <v>1192</v>
      </c>
      <c r="H119" s="192">
        <v>8336.0499999999993</v>
      </c>
      <c r="I119" s="192">
        <v>0</v>
      </c>
      <c r="J119" s="192">
        <v>620.6</v>
      </c>
      <c r="K119" s="192">
        <v>2318.21</v>
      </c>
      <c r="L119" s="192">
        <v>0</v>
      </c>
      <c r="M119" s="192">
        <v>0</v>
      </c>
      <c r="N119" s="192">
        <v>651.29999999999995</v>
      </c>
      <c r="O119" s="192">
        <v>11926.16</v>
      </c>
      <c r="P119" s="192">
        <v>650</v>
      </c>
      <c r="Q119" s="192">
        <v>894.46</v>
      </c>
      <c r="R119" s="192">
        <v>0</v>
      </c>
      <c r="S119" s="285">
        <v>0</v>
      </c>
      <c r="T119" s="192">
        <v>1978.16</v>
      </c>
      <c r="U119" s="291">
        <v>15448.78</v>
      </c>
      <c r="V119" s="291">
        <v>15448.78</v>
      </c>
      <c r="W119" s="292">
        <v>184743.59999999998</v>
      </c>
      <c r="X119" s="292">
        <v>30897.56</v>
      </c>
      <c r="Y119" s="292">
        <v>199762.60000000003</v>
      </c>
      <c r="Z119" s="292">
        <v>87037.71</v>
      </c>
      <c r="AA119" s="290">
        <v>101838.48378</v>
      </c>
      <c r="AB119" s="285">
        <v>213287.80655000001</v>
      </c>
      <c r="AC119" s="290">
        <v>20000</v>
      </c>
      <c r="AD119" s="192">
        <v>2</v>
      </c>
      <c r="AE119" s="290"/>
      <c r="AF119" s="194">
        <v>40000</v>
      </c>
    </row>
    <row r="120" spans="1:33" x14ac:dyDescent="0.3">
      <c r="A120" s="192">
        <v>5830</v>
      </c>
      <c r="B120" s="192">
        <v>73</v>
      </c>
      <c r="C120" s="192">
        <v>1000</v>
      </c>
      <c r="D120" s="192" t="s">
        <v>1185</v>
      </c>
      <c r="E120" s="192">
        <v>6841457</v>
      </c>
      <c r="F120" s="192" t="s">
        <v>1193</v>
      </c>
      <c r="G120" s="290">
        <v>1</v>
      </c>
      <c r="H120" s="192">
        <v>6165.14</v>
      </c>
      <c r="I120" s="192">
        <v>2432.1</v>
      </c>
      <c r="J120" s="192">
        <v>197.6</v>
      </c>
      <c r="K120" s="192">
        <v>2309.3000000000002</v>
      </c>
      <c r="L120" s="192">
        <v>0</v>
      </c>
      <c r="M120" s="192">
        <v>0</v>
      </c>
      <c r="N120" s="192">
        <v>36.5</v>
      </c>
      <c r="O120" s="192">
        <v>11140.64</v>
      </c>
      <c r="P120" s="192">
        <v>609</v>
      </c>
      <c r="Q120" s="192">
        <v>854.3</v>
      </c>
      <c r="R120" s="192">
        <v>0</v>
      </c>
      <c r="S120" s="285">
        <v>1</v>
      </c>
      <c r="T120" s="192">
        <v>1140.54</v>
      </c>
      <c r="U120" s="291">
        <v>13744.48</v>
      </c>
      <c r="V120" s="291">
        <v>13744.48</v>
      </c>
      <c r="W120" s="292">
        <v>172435.20000000001</v>
      </c>
      <c r="X120" s="292">
        <v>164933.76000000001</v>
      </c>
      <c r="Y120" s="292">
        <v>192597.04</v>
      </c>
      <c r="Z120" s="292">
        <v>179636.76</v>
      </c>
      <c r="AA120" s="290">
        <v>186909.93617999999</v>
      </c>
      <c r="AB120" s="285">
        <v>92724.137449999995</v>
      </c>
      <c r="AC120" s="290">
        <v>14100</v>
      </c>
      <c r="AD120" s="192">
        <v>12</v>
      </c>
      <c r="AE120" s="290">
        <v>13000</v>
      </c>
      <c r="AF120" s="194">
        <v>182200</v>
      </c>
    </row>
    <row r="121" spans="1:33" x14ac:dyDescent="0.3">
      <c r="A121" s="192">
        <v>5830</v>
      </c>
      <c r="B121" s="192">
        <v>73</v>
      </c>
      <c r="C121" s="192">
        <v>3000</v>
      </c>
      <c r="D121" s="192" t="s">
        <v>1190</v>
      </c>
      <c r="E121" s="192">
        <v>3467130</v>
      </c>
      <c r="F121" s="192" t="s">
        <v>1194</v>
      </c>
      <c r="G121" s="290">
        <v>1</v>
      </c>
      <c r="H121" s="192">
        <v>2606.4299999999998</v>
      </c>
      <c r="I121" s="192">
        <v>2323.6</v>
      </c>
      <c r="J121" s="192">
        <v>197.6</v>
      </c>
      <c r="K121" s="192">
        <v>0</v>
      </c>
      <c r="L121" s="192">
        <v>0</v>
      </c>
      <c r="M121" s="192">
        <v>0</v>
      </c>
      <c r="N121" s="192">
        <v>567.5</v>
      </c>
      <c r="O121" s="192">
        <v>5695.13</v>
      </c>
      <c r="P121" s="192">
        <v>188</v>
      </c>
      <c r="Q121" s="192">
        <v>438.38</v>
      </c>
      <c r="R121" s="192">
        <v>0</v>
      </c>
      <c r="S121" s="285">
        <v>1</v>
      </c>
      <c r="T121" s="192">
        <v>792.46</v>
      </c>
      <c r="U121" s="291">
        <v>7113.97</v>
      </c>
      <c r="V121" s="291">
        <v>7113.97</v>
      </c>
      <c r="W121" s="292">
        <v>124259.51999999999</v>
      </c>
      <c r="X121" s="292">
        <v>85367.64</v>
      </c>
      <c r="Y121" s="292">
        <v>118261.52</v>
      </c>
      <c r="Z121" s="292">
        <v>12307.37</v>
      </c>
      <c r="AA121" s="290">
        <v>7069.2266699999982</v>
      </c>
      <c r="AB121" s="285">
        <v>120197.58425999999</v>
      </c>
      <c r="AC121" s="290">
        <v>13000</v>
      </c>
      <c r="AD121" s="192">
        <v>12</v>
      </c>
      <c r="AE121" s="290">
        <v>10000</v>
      </c>
      <c r="AF121" s="194">
        <v>166000</v>
      </c>
      <c r="AG121" s="192" t="s">
        <v>1195</v>
      </c>
    </row>
    <row r="122" spans="1:33" x14ac:dyDescent="0.3">
      <c r="A122" s="192">
        <v>5830</v>
      </c>
      <c r="B122" s="192">
        <v>73</v>
      </c>
      <c r="C122" s="192">
        <v>1000</v>
      </c>
      <c r="D122" s="192" t="s">
        <v>1185</v>
      </c>
      <c r="E122" s="192">
        <v>30586211</v>
      </c>
      <c r="F122" s="192" t="s">
        <v>1196</v>
      </c>
      <c r="G122" s="290">
        <v>1</v>
      </c>
      <c r="H122" s="192">
        <v>9062.44</v>
      </c>
      <c r="I122" s="192">
        <v>6600.7</v>
      </c>
      <c r="J122" s="192">
        <v>48.6</v>
      </c>
      <c r="K122" s="192">
        <v>0</v>
      </c>
      <c r="L122" s="192">
        <v>0</v>
      </c>
      <c r="M122" s="192">
        <v>0</v>
      </c>
      <c r="N122" s="192">
        <v>335.3</v>
      </c>
      <c r="O122" s="192">
        <v>16047.04</v>
      </c>
      <c r="P122" s="192">
        <v>1111</v>
      </c>
      <c r="Q122" s="192">
        <v>1450.65</v>
      </c>
      <c r="R122" s="192">
        <v>0</v>
      </c>
      <c r="S122" s="285">
        <v>0.66666666666666663</v>
      </c>
      <c r="T122" s="192">
        <v>1982.21</v>
      </c>
      <c r="U122" s="291">
        <v>20590.900000000001</v>
      </c>
      <c r="V122" s="291">
        <v>20590.900000000001</v>
      </c>
      <c r="W122" s="292">
        <v>242996.27999999997</v>
      </c>
      <c r="X122" s="292">
        <v>164727.20000000001</v>
      </c>
      <c r="Y122" s="292">
        <v>295013.08</v>
      </c>
      <c r="Z122" s="292">
        <v>272305.03000000003</v>
      </c>
      <c r="AA122" s="290">
        <v>280400.63765999995</v>
      </c>
      <c r="AB122" s="285">
        <v>278207.86629999994</v>
      </c>
      <c r="AC122" s="290">
        <v>21000</v>
      </c>
      <c r="AD122" s="192">
        <v>8</v>
      </c>
      <c r="AE122" s="290">
        <v>24000</v>
      </c>
      <c r="AF122" s="194">
        <v>192000</v>
      </c>
      <c r="AG122" s="192" t="s">
        <v>1197</v>
      </c>
    </row>
    <row r="123" spans="1:33" s="196" customFormat="1" x14ac:dyDescent="0.3">
      <c r="G123" s="288">
        <f>SUM(G112:G122)</f>
        <v>9</v>
      </c>
      <c r="H123" s="288">
        <f t="shared" ref="H123:AF123" si="16">SUM(H112:H122)</f>
        <v>87421.2</v>
      </c>
      <c r="I123" s="288">
        <f t="shared" si="16"/>
        <v>20385.5</v>
      </c>
      <c r="J123" s="288">
        <f t="shared" si="16"/>
        <v>2475.3999999999996</v>
      </c>
      <c r="K123" s="288">
        <f t="shared" si="16"/>
        <v>9434.67</v>
      </c>
      <c r="L123" s="288">
        <f t="shared" si="16"/>
        <v>0</v>
      </c>
      <c r="M123" s="288">
        <f t="shared" si="16"/>
        <v>0</v>
      </c>
      <c r="N123" s="288">
        <f t="shared" si="16"/>
        <v>3324.7</v>
      </c>
      <c r="O123" s="288">
        <f t="shared" si="16"/>
        <v>123041.47</v>
      </c>
      <c r="P123" s="288">
        <f t="shared" si="16"/>
        <v>7298</v>
      </c>
      <c r="Q123" s="288">
        <f t="shared" si="16"/>
        <v>9833.9</v>
      </c>
      <c r="R123" s="288">
        <f t="shared" si="16"/>
        <v>0</v>
      </c>
      <c r="S123" s="288">
        <f t="shared" si="16"/>
        <v>8.5</v>
      </c>
      <c r="T123" s="288">
        <f t="shared" si="16"/>
        <v>17667.259999999998</v>
      </c>
      <c r="U123" s="288">
        <f t="shared" si="16"/>
        <v>157840.62999999998</v>
      </c>
      <c r="V123" s="288">
        <f t="shared" si="16"/>
        <v>157840.62999999998</v>
      </c>
      <c r="W123" s="288">
        <f t="shared" si="16"/>
        <v>1954443.8399999999</v>
      </c>
      <c r="X123" s="288">
        <f t="shared" si="16"/>
        <v>1626338.5999999999</v>
      </c>
      <c r="Y123" s="288">
        <f t="shared" si="16"/>
        <v>2053030.6400000001</v>
      </c>
      <c r="Z123" s="288">
        <f t="shared" si="16"/>
        <v>1609960.6600000001</v>
      </c>
      <c r="AA123" s="288">
        <f t="shared" si="16"/>
        <v>1666076.4492899997</v>
      </c>
      <c r="AB123" s="288">
        <f t="shared" si="16"/>
        <v>2007185.7825579997</v>
      </c>
      <c r="AC123" s="288">
        <f t="shared" si="16"/>
        <v>197700</v>
      </c>
      <c r="AD123" s="288">
        <f t="shared" si="16"/>
        <v>109</v>
      </c>
      <c r="AE123" s="288">
        <f t="shared" si="16"/>
        <v>117000</v>
      </c>
      <c r="AF123" s="288">
        <f t="shared" si="16"/>
        <v>2010600</v>
      </c>
      <c r="AG123" s="288" t="s">
        <v>1198</v>
      </c>
    </row>
    <row r="124" spans="1:33" x14ac:dyDescent="0.3">
      <c r="W124" s="292"/>
      <c r="X124" s="292"/>
      <c r="Y124" s="292"/>
      <c r="Z124" s="292"/>
      <c r="AA124" s="290"/>
      <c r="AB124" s="285"/>
      <c r="AC124" s="290"/>
      <c r="AE124" s="290"/>
      <c r="AF124" s="194"/>
    </row>
    <row r="125" spans="1:33" x14ac:dyDescent="0.3">
      <c r="A125" s="192">
        <v>5830</v>
      </c>
      <c r="B125" s="192">
        <v>73</v>
      </c>
      <c r="C125" s="192">
        <v>3000</v>
      </c>
      <c r="D125" s="192" t="s">
        <v>1190</v>
      </c>
      <c r="E125" s="192">
        <v>2733580</v>
      </c>
      <c r="F125" s="192" t="s">
        <v>1199</v>
      </c>
      <c r="G125" s="290">
        <v>1</v>
      </c>
      <c r="H125" s="192">
        <v>6486.95</v>
      </c>
      <c r="I125" s="192">
        <v>2749.78</v>
      </c>
      <c r="J125" s="192">
        <v>197.6</v>
      </c>
      <c r="K125" s="192">
        <v>1759.45</v>
      </c>
      <c r="L125" s="192">
        <v>0</v>
      </c>
      <c r="M125" s="192">
        <v>0</v>
      </c>
      <c r="N125" s="192">
        <v>36.5</v>
      </c>
      <c r="O125" s="192">
        <v>11230.28</v>
      </c>
      <c r="P125" s="192">
        <v>622</v>
      </c>
      <c r="Q125" s="192">
        <v>866.65</v>
      </c>
      <c r="R125" s="192">
        <v>0</v>
      </c>
      <c r="S125" s="285">
        <v>1</v>
      </c>
      <c r="T125" s="192">
        <v>2120.8000000000002</v>
      </c>
      <c r="U125" s="291">
        <v>14839.73</v>
      </c>
      <c r="V125" s="291">
        <v>14839.73</v>
      </c>
      <c r="W125" s="292">
        <v>182208.72</v>
      </c>
      <c r="X125" s="292">
        <v>178076.76</v>
      </c>
      <c r="Y125" s="292">
        <v>199910.6</v>
      </c>
      <c r="Z125" s="292">
        <v>218193.44</v>
      </c>
      <c r="AA125" s="290">
        <v>224179.54481999998</v>
      </c>
      <c r="AB125" s="285">
        <v>222426.43009999997</v>
      </c>
      <c r="AC125" s="290">
        <v>15500</v>
      </c>
      <c r="AD125" s="192">
        <v>12</v>
      </c>
      <c r="AE125" s="290">
        <v>14000</v>
      </c>
      <c r="AF125" s="194">
        <v>200000</v>
      </c>
      <c r="AG125" s="192" t="s">
        <v>1200</v>
      </c>
    </row>
    <row r="126" spans="1:33" x14ac:dyDescent="0.3">
      <c r="A126" s="192">
        <v>5830</v>
      </c>
      <c r="B126" s="192">
        <v>73</v>
      </c>
      <c r="C126" s="192">
        <v>3000</v>
      </c>
      <c r="D126" s="192" t="s">
        <v>1190</v>
      </c>
      <c r="E126" s="192">
        <v>3467598</v>
      </c>
      <c r="F126" s="192" t="s">
        <v>1201</v>
      </c>
      <c r="G126" s="290">
        <v>1</v>
      </c>
      <c r="H126" s="192">
        <v>5397.49</v>
      </c>
      <c r="I126" s="192">
        <v>2355.5500000000002</v>
      </c>
      <c r="J126" s="192">
        <v>197.6</v>
      </c>
      <c r="K126" s="192">
        <v>1403.66</v>
      </c>
      <c r="L126" s="192">
        <v>0</v>
      </c>
      <c r="M126" s="192">
        <v>0</v>
      </c>
      <c r="N126" s="192">
        <v>467.1</v>
      </c>
      <c r="O126" s="192">
        <v>9821.4</v>
      </c>
      <c r="P126" s="192">
        <v>484</v>
      </c>
      <c r="Q126" s="192">
        <v>736.6</v>
      </c>
      <c r="R126" s="192">
        <v>0</v>
      </c>
      <c r="S126" s="285">
        <v>1</v>
      </c>
      <c r="T126" s="192">
        <v>1819.33</v>
      </c>
      <c r="U126" s="291">
        <v>12861.33</v>
      </c>
      <c r="V126" s="291">
        <v>12861.33</v>
      </c>
      <c r="W126" s="292">
        <v>169748.63999999998</v>
      </c>
      <c r="X126" s="292">
        <v>154335.96</v>
      </c>
      <c r="Y126" s="292">
        <v>186017.8</v>
      </c>
      <c r="Z126" s="292">
        <v>184012.12</v>
      </c>
      <c r="AA126" s="290">
        <v>187928.92602000001</v>
      </c>
      <c r="AB126" s="285">
        <v>186459.29610000001</v>
      </c>
      <c r="AC126" s="290">
        <v>15000</v>
      </c>
      <c r="AD126" s="192">
        <v>12</v>
      </c>
      <c r="AE126" s="290">
        <v>12000</v>
      </c>
      <c r="AF126" s="194">
        <v>192000</v>
      </c>
      <c r="AG126" s="192" t="s">
        <v>1202</v>
      </c>
    </row>
    <row r="127" spans="1:33" x14ac:dyDescent="0.3">
      <c r="A127" s="192">
        <v>5830</v>
      </c>
      <c r="B127" s="192">
        <v>73</v>
      </c>
      <c r="C127" s="192">
        <v>3000</v>
      </c>
      <c r="D127" s="192" t="s">
        <v>1190</v>
      </c>
      <c r="E127" s="192">
        <v>5286084</v>
      </c>
      <c r="F127" s="192" t="s">
        <v>1203</v>
      </c>
      <c r="G127" s="290">
        <v>1</v>
      </c>
      <c r="H127" s="192">
        <v>3623.15</v>
      </c>
      <c r="I127" s="192">
        <v>2379.71</v>
      </c>
      <c r="J127" s="192">
        <v>197.6</v>
      </c>
      <c r="K127" s="192">
        <v>1342.29</v>
      </c>
      <c r="L127" s="192">
        <v>0</v>
      </c>
      <c r="M127" s="192">
        <v>0</v>
      </c>
      <c r="N127" s="192">
        <v>353.5</v>
      </c>
      <c r="O127" s="192">
        <v>7896.25</v>
      </c>
      <c r="P127" s="192">
        <v>366</v>
      </c>
      <c r="Q127" s="192">
        <v>615.04</v>
      </c>
      <c r="R127" s="192">
        <v>0</v>
      </c>
      <c r="S127" s="285">
        <v>1</v>
      </c>
      <c r="T127" s="192">
        <v>1433.87</v>
      </c>
      <c r="U127" s="291">
        <v>10311.16</v>
      </c>
      <c r="V127" s="291">
        <v>10311.16</v>
      </c>
      <c r="W127" s="292">
        <v>153512.88</v>
      </c>
      <c r="X127" s="292">
        <v>123733.92</v>
      </c>
      <c r="Y127" s="292">
        <v>172753.84</v>
      </c>
      <c r="Z127" s="292">
        <v>140739.47</v>
      </c>
      <c r="AA127" s="290">
        <v>144607.12662</v>
      </c>
      <c r="AB127" s="285">
        <v>173373.72</v>
      </c>
      <c r="AC127" s="290">
        <v>13000</v>
      </c>
      <c r="AD127" s="192">
        <v>12</v>
      </c>
      <c r="AE127" s="290">
        <v>12000</v>
      </c>
      <c r="AF127" s="194">
        <v>168000</v>
      </c>
      <c r="AG127" s="192" t="s">
        <v>1204</v>
      </c>
    </row>
    <row r="128" spans="1:33" x14ac:dyDescent="0.3">
      <c r="A128" s="192">
        <v>5830</v>
      </c>
      <c r="B128" s="192">
        <v>73</v>
      </c>
      <c r="C128" s="192">
        <v>3000</v>
      </c>
      <c r="D128" s="192" t="s">
        <v>1190</v>
      </c>
      <c r="E128" s="192">
        <v>30401913</v>
      </c>
      <c r="F128" s="192" t="s">
        <v>1205</v>
      </c>
      <c r="G128" s="290">
        <v>1</v>
      </c>
      <c r="H128" s="192">
        <v>5292.01</v>
      </c>
      <c r="I128" s="192">
        <v>2360.52</v>
      </c>
      <c r="J128" s="192">
        <v>197.6</v>
      </c>
      <c r="K128" s="192">
        <v>1250.81</v>
      </c>
      <c r="L128" s="192">
        <v>0</v>
      </c>
      <c r="M128" s="192">
        <v>0</v>
      </c>
      <c r="N128" s="192">
        <v>317</v>
      </c>
      <c r="O128" s="192">
        <v>9417.94</v>
      </c>
      <c r="P128" s="192">
        <v>458</v>
      </c>
      <c r="Q128" s="192">
        <v>706.35</v>
      </c>
      <c r="R128" s="192">
        <v>0</v>
      </c>
      <c r="S128" s="285">
        <v>1</v>
      </c>
      <c r="T128" s="192">
        <v>1708.04</v>
      </c>
      <c r="U128" s="291">
        <v>12290.33</v>
      </c>
      <c r="V128" s="291">
        <v>12290.33</v>
      </c>
      <c r="W128" s="292">
        <v>155771.04</v>
      </c>
      <c r="X128" s="292">
        <v>147483.96</v>
      </c>
      <c r="Y128" s="292">
        <v>176749.6</v>
      </c>
      <c r="Z128" s="292">
        <v>168059.07</v>
      </c>
      <c r="AA128" s="290">
        <v>173787.99701999998</v>
      </c>
      <c r="AB128" s="285">
        <v>172428.95109999998</v>
      </c>
      <c r="AC128" s="290">
        <v>13000</v>
      </c>
      <c r="AD128" s="192">
        <v>12</v>
      </c>
      <c r="AE128" s="290">
        <v>12000</v>
      </c>
      <c r="AF128" s="194">
        <v>168000</v>
      </c>
    </row>
    <row r="129" spans="1:34" x14ac:dyDescent="0.3">
      <c r="A129" s="192">
        <v>5830</v>
      </c>
      <c r="B129" s="192">
        <v>73</v>
      </c>
      <c r="C129" s="192">
        <v>3000</v>
      </c>
      <c r="D129" s="192" t="s">
        <v>1190</v>
      </c>
      <c r="E129" s="192">
        <v>31045058</v>
      </c>
      <c r="F129" s="192" t="s">
        <v>1206</v>
      </c>
      <c r="G129" s="290">
        <v>1</v>
      </c>
      <c r="H129" s="192">
        <v>5422.32</v>
      </c>
      <c r="I129" s="192">
        <v>2343.19</v>
      </c>
      <c r="J129" s="192">
        <v>197.6</v>
      </c>
      <c r="K129" s="192">
        <v>1406.83</v>
      </c>
      <c r="L129" s="192">
        <v>0</v>
      </c>
      <c r="M129" s="192">
        <v>0</v>
      </c>
      <c r="N129" s="192">
        <v>227.2</v>
      </c>
      <c r="O129" s="192">
        <v>9597.14</v>
      </c>
      <c r="P129" s="192">
        <v>481</v>
      </c>
      <c r="Q129" s="192">
        <v>738.54</v>
      </c>
      <c r="R129" s="192">
        <v>0</v>
      </c>
      <c r="S129" s="285">
        <v>1</v>
      </c>
      <c r="T129" s="192">
        <v>1804.48</v>
      </c>
      <c r="U129" s="291">
        <v>12621.16</v>
      </c>
      <c r="V129" s="291">
        <v>12621.16</v>
      </c>
      <c r="W129" s="292">
        <v>153750.96</v>
      </c>
      <c r="X129" s="292">
        <v>151453.91999999998</v>
      </c>
      <c r="Y129" s="292">
        <v>189993</v>
      </c>
      <c r="Z129" s="292">
        <v>169047.05</v>
      </c>
      <c r="AA129" s="290">
        <v>171081.93695999996</v>
      </c>
      <c r="AB129" s="285">
        <v>169744.05279999998</v>
      </c>
      <c r="AC129" s="290">
        <v>14000</v>
      </c>
      <c r="AD129" s="192">
        <v>12</v>
      </c>
      <c r="AE129" s="290">
        <v>12000</v>
      </c>
      <c r="AF129" s="194">
        <v>180000</v>
      </c>
    </row>
    <row r="130" spans="1:34" x14ac:dyDescent="0.3">
      <c r="A130" s="192">
        <v>5830</v>
      </c>
      <c r="B130" s="192">
        <v>73</v>
      </c>
      <c r="C130" s="192">
        <v>3000</v>
      </c>
      <c r="D130" s="192" t="s">
        <v>1190</v>
      </c>
      <c r="E130" s="192">
        <v>33255134</v>
      </c>
      <c r="F130" s="192" t="s">
        <v>1207</v>
      </c>
      <c r="G130" s="290">
        <v>1</v>
      </c>
      <c r="H130" s="192">
        <v>5821.98</v>
      </c>
      <c r="I130" s="192">
        <v>6117.91</v>
      </c>
      <c r="J130" s="192">
        <v>337.83</v>
      </c>
      <c r="K130" s="192">
        <v>0</v>
      </c>
      <c r="L130" s="192">
        <v>0</v>
      </c>
      <c r="M130" s="192">
        <v>0</v>
      </c>
      <c r="N130" s="192">
        <v>36.5</v>
      </c>
      <c r="O130" s="192">
        <v>12314.22</v>
      </c>
      <c r="P130" s="192">
        <v>829</v>
      </c>
      <c r="Q130" s="192">
        <v>1071.32</v>
      </c>
      <c r="R130" s="192">
        <v>0</v>
      </c>
      <c r="S130" s="285">
        <v>1</v>
      </c>
      <c r="T130" s="192">
        <v>2412.9699999999998</v>
      </c>
      <c r="U130" s="291">
        <v>16627.509999999998</v>
      </c>
      <c r="V130" s="291">
        <v>16627.509999999998</v>
      </c>
      <c r="W130" s="292">
        <v>172838.40000000002</v>
      </c>
      <c r="X130" s="292">
        <v>199530.12</v>
      </c>
      <c r="Y130" s="292">
        <v>195880.76</v>
      </c>
      <c r="Z130" s="292">
        <v>172488.74</v>
      </c>
      <c r="AA130" s="290">
        <v>175818.26327999998</v>
      </c>
      <c r="AB130" s="285">
        <v>218700</v>
      </c>
      <c r="AC130" s="290">
        <v>17000</v>
      </c>
      <c r="AD130" s="192">
        <v>12</v>
      </c>
      <c r="AE130" s="290">
        <v>12000</v>
      </c>
      <c r="AF130" s="194">
        <v>216000</v>
      </c>
      <c r="AG130" s="192" t="s">
        <v>1208</v>
      </c>
    </row>
    <row r="131" spans="1:34" s="196" customFormat="1" x14ac:dyDescent="0.3">
      <c r="G131" s="288">
        <f>SUM(G125:G130)</f>
        <v>6</v>
      </c>
      <c r="H131" s="288">
        <f t="shared" ref="H131:AF131" si="17">SUM(H125:H130)</f>
        <v>32043.899999999998</v>
      </c>
      <c r="I131" s="288">
        <f t="shared" si="17"/>
        <v>18306.66</v>
      </c>
      <c r="J131" s="288">
        <f t="shared" si="17"/>
        <v>1325.83</v>
      </c>
      <c r="K131" s="288">
        <f t="shared" si="17"/>
        <v>7163.0399999999991</v>
      </c>
      <c r="L131" s="288">
        <f t="shared" si="17"/>
        <v>0</v>
      </c>
      <c r="M131" s="288">
        <f t="shared" si="17"/>
        <v>0</v>
      </c>
      <c r="N131" s="288">
        <f t="shared" si="17"/>
        <v>1437.8</v>
      </c>
      <c r="O131" s="288">
        <f t="shared" si="17"/>
        <v>60277.23</v>
      </c>
      <c r="P131" s="288">
        <f t="shared" si="17"/>
        <v>3240</v>
      </c>
      <c r="Q131" s="288">
        <f t="shared" si="17"/>
        <v>4734.5</v>
      </c>
      <c r="R131" s="288">
        <f t="shared" si="17"/>
        <v>0</v>
      </c>
      <c r="S131" s="288">
        <f t="shared" si="17"/>
        <v>6</v>
      </c>
      <c r="T131" s="288">
        <f t="shared" si="17"/>
        <v>11299.49</v>
      </c>
      <c r="U131" s="288">
        <f t="shared" si="17"/>
        <v>79551.22</v>
      </c>
      <c r="V131" s="288">
        <f t="shared" si="17"/>
        <v>79551.22</v>
      </c>
      <c r="W131" s="288">
        <f t="shared" si="17"/>
        <v>987830.64</v>
      </c>
      <c r="X131" s="288">
        <f t="shared" si="17"/>
        <v>954614.64</v>
      </c>
      <c r="Y131" s="288">
        <f t="shared" si="17"/>
        <v>1121305.6000000001</v>
      </c>
      <c r="Z131" s="288">
        <f t="shared" si="17"/>
        <v>1052539.8900000001</v>
      </c>
      <c r="AA131" s="288">
        <f t="shared" si="17"/>
        <v>1077403.7947199999</v>
      </c>
      <c r="AB131" s="288">
        <f t="shared" si="17"/>
        <v>1143132.4501</v>
      </c>
      <c r="AC131" s="288">
        <f t="shared" si="17"/>
        <v>87500</v>
      </c>
      <c r="AD131" s="288">
        <f t="shared" si="17"/>
        <v>72</v>
      </c>
      <c r="AE131" s="288">
        <f t="shared" si="17"/>
        <v>74000</v>
      </c>
      <c r="AF131" s="288">
        <f t="shared" si="17"/>
        <v>1124000</v>
      </c>
      <c r="AG131" s="288" t="s">
        <v>1209</v>
      </c>
    </row>
    <row r="132" spans="1:34" s="209" customFormat="1" x14ac:dyDescent="0.3"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85"/>
      <c r="AC132" s="210"/>
      <c r="AD132" s="210"/>
      <c r="AE132" s="210"/>
      <c r="AF132" s="211"/>
      <c r="AG132" s="210"/>
    </row>
    <row r="133" spans="1:34" x14ac:dyDescent="0.3">
      <c r="A133" s="192">
        <v>5830</v>
      </c>
      <c r="B133" s="192">
        <v>74</v>
      </c>
      <c r="C133" s="192">
        <v>1000</v>
      </c>
      <c r="D133" s="192" t="s">
        <v>641</v>
      </c>
      <c r="E133" s="192">
        <v>2458549</v>
      </c>
      <c r="F133" s="192" t="s">
        <v>1210</v>
      </c>
      <c r="G133" s="290">
        <v>1</v>
      </c>
      <c r="H133" s="192">
        <v>5407.89</v>
      </c>
      <c r="I133" s="192">
        <v>2711.75</v>
      </c>
      <c r="J133" s="192">
        <v>48.6</v>
      </c>
      <c r="K133" s="192">
        <v>0</v>
      </c>
      <c r="L133" s="192">
        <v>0</v>
      </c>
      <c r="M133" s="192">
        <v>0</v>
      </c>
      <c r="N133" s="192">
        <v>36.5</v>
      </c>
      <c r="O133" s="192">
        <v>8204.74</v>
      </c>
      <c r="P133" s="192">
        <v>532</v>
      </c>
      <c r="Q133" s="192">
        <v>778.85</v>
      </c>
      <c r="R133" s="192">
        <v>0</v>
      </c>
      <c r="S133" s="285">
        <v>1</v>
      </c>
      <c r="T133" s="192">
        <v>783.74</v>
      </c>
      <c r="U133" s="291">
        <v>10299.33</v>
      </c>
      <c r="V133" s="291">
        <v>10299.33</v>
      </c>
      <c r="W133" s="292">
        <v>130074.48000000001</v>
      </c>
      <c r="X133" s="292">
        <v>123591.95999999999</v>
      </c>
      <c r="Y133" s="292">
        <v>131309.79999999999</v>
      </c>
      <c r="Z133" s="292">
        <v>146248.34</v>
      </c>
      <c r="AA133" s="290">
        <v>149905.84718999997</v>
      </c>
      <c r="AB133" s="285">
        <v>160733.56294999999</v>
      </c>
      <c r="AC133" s="290">
        <v>11000</v>
      </c>
      <c r="AD133" s="192">
        <v>12</v>
      </c>
      <c r="AE133" s="290">
        <v>10000</v>
      </c>
      <c r="AF133" s="194">
        <v>142000</v>
      </c>
    </row>
    <row r="134" spans="1:34" x14ac:dyDescent="0.3">
      <c r="A134" s="192">
        <v>5830</v>
      </c>
      <c r="B134" s="192">
        <v>74</v>
      </c>
      <c r="C134" s="192">
        <v>1000</v>
      </c>
      <c r="D134" s="192" t="s">
        <v>641</v>
      </c>
      <c r="E134" s="192">
        <v>3594477</v>
      </c>
      <c r="F134" s="192" t="s">
        <v>1211</v>
      </c>
      <c r="G134" s="290">
        <v>1</v>
      </c>
      <c r="H134" s="192">
        <v>6007.52</v>
      </c>
      <c r="I134" s="192">
        <v>366.28</v>
      </c>
      <c r="J134" s="192">
        <v>197.6</v>
      </c>
      <c r="K134" s="192">
        <v>0</v>
      </c>
      <c r="L134" s="192">
        <v>0</v>
      </c>
      <c r="M134" s="192">
        <v>0</v>
      </c>
      <c r="N134" s="192">
        <v>36.5</v>
      </c>
      <c r="O134" s="192">
        <v>6607.9</v>
      </c>
      <c r="P134" s="192">
        <v>273.04000000000002</v>
      </c>
      <c r="Q134" s="192">
        <v>495.59</v>
      </c>
      <c r="R134" s="192">
        <v>0</v>
      </c>
      <c r="S134" s="285">
        <v>1</v>
      </c>
      <c r="T134" s="192">
        <v>1379.98</v>
      </c>
      <c r="U134" s="291">
        <v>8756.51</v>
      </c>
      <c r="V134" s="291">
        <v>8756.51</v>
      </c>
      <c r="W134" s="292">
        <v>103296.59999999999</v>
      </c>
      <c r="X134" s="292">
        <v>105078.12</v>
      </c>
      <c r="Y134" s="292">
        <v>102799.6</v>
      </c>
      <c r="Z134" s="292">
        <v>118377.73</v>
      </c>
      <c r="AA134" s="290">
        <v>121461.73115999998</v>
      </c>
      <c r="AB134" s="285">
        <v>120511.88379999998</v>
      </c>
      <c r="AC134" s="290">
        <v>10000</v>
      </c>
      <c r="AD134" s="192">
        <v>12</v>
      </c>
      <c r="AE134" s="290">
        <v>10000</v>
      </c>
      <c r="AF134" s="194">
        <v>130000</v>
      </c>
    </row>
    <row r="135" spans="1:34" x14ac:dyDescent="0.3">
      <c r="A135" s="192">
        <v>5830</v>
      </c>
      <c r="B135" s="192">
        <v>74</v>
      </c>
      <c r="C135" s="192">
        <v>1000</v>
      </c>
      <c r="D135" s="192" t="s">
        <v>641</v>
      </c>
      <c r="E135" s="192">
        <v>5569818</v>
      </c>
      <c r="F135" s="192" t="s">
        <v>1212</v>
      </c>
      <c r="G135" s="290">
        <v>1</v>
      </c>
      <c r="H135" s="192">
        <v>6959.4</v>
      </c>
      <c r="I135" s="192">
        <v>1552.82</v>
      </c>
      <c r="J135" s="192">
        <v>197.6</v>
      </c>
      <c r="K135" s="192">
        <v>0</v>
      </c>
      <c r="L135" s="192">
        <v>0</v>
      </c>
      <c r="M135" s="192">
        <v>0</v>
      </c>
      <c r="N135" s="192">
        <v>36.5</v>
      </c>
      <c r="O135" s="192">
        <v>8746.32</v>
      </c>
      <c r="P135" s="192">
        <v>409</v>
      </c>
      <c r="Q135" s="192">
        <v>656.78</v>
      </c>
      <c r="R135" s="192">
        <v>0</v>
      </c>
      <c r="S135" s="285">
        <v>1</v>
      </c>
      <c r="T135" s="192">
        <v>874.15</v>
      </c>
      <c r="U135" s="291">
        <v>10686.25</v>
      </c>
      <c r="V135" s="291">
        <v>10686.25</v>
      </c>
      <c r="W135" s="292">
        <v>123271.92</v>
      </c>
      <c r="X135" s="292">
        <v>128235</v>
      </c>
      <c r="Y135" s="292">
        <v>125726.08000000002</v>
      </c>
      <c r="Z135" s="292">
        <v>133557.98000000001</v>
      </c>
      <c r="AA135" s="290">
        <v>136629.75215999997</v>
      </c>
      <c r="AB135" s="285">
        <v>135561.28879999998</v>
      </c>
      <c r="AC135" s="290">
        <v>10400</v>
      </c>
      <c r="AD135" s="192">
        <v>12</v>
      </c>
      <c r="AE135" s="290">
        <v>22000</v>
      </c>
      <c r="AF135" s="194">
        <v>146800</v>
      </c>
      <c r="AG135" s="192" t="s">
        <v>2200</v>
      </c>
    </row>
    <row r="136" spans="1:34" x14ac:dyDescent="0.3">
      <c r="A136" s="192">
        <v>5830</v>
      </c>
      <c r="B136" s="192">
        <v>74</v>
      </c>
      <c r="C136" s="192">
        <v>1000</v>
      </c>
      <c r="D136" s="192" t="s">
        <v>641</v>
      </c>
      <c r="E136" s="192">
        <v>5663767</v>
      </c>
      <c r="F136" s="192" t="s">
        <v>1213</v>
      </c>
      <c r="G136" s="290">
        <v>1</v>
      </c>
      <c r="H136" s="192">
        <v>6128.81</v>
      </c>
      <c r="I136" s="192">
        <v>388.87</v>
      </c>
      <c r="J136" s="192">
        <v>197.6</v>
      </c>
      <c r="K136" s="192">
        <v>1214.46</v>
      </c>
      <c r="L136" s="192">
        <v>0</v>
      </c>
      <c r="M136" s="192">
        <v>0</v>
      </c>
      <c r="N136" s="192">
        <v>36.5</v>
      </c>
      <c r="O136" s="192">
        <v>7966.24</v>
      </c>
      <c r="P136" s="192">
        <v>371</v>
      </c>
      <c r="Q136" s="192">
        <v>618.9</v>
      </c>
      <c r="R136" s="192">
        <v>0</v>
      </c>
      <c r="S136" s="285">
        <v>1</v>
      </c>
      <c r="T136" s="192">
        <v>581.48</v>
      </c>
      <c r="U136" s="291">
        <v>9537.6200000000008</v>
      </c>
      <c r="V136" s="291">
        <v>9537.6200000000008</v>
      </c>
      <c r="W136" s="292">
        <v>119293.32</v>
      </c>
      <c r="X136" s="292">
        <v>114451.44</v>
      </c>
      <c r="Y136" s="292">
        <v>126378</v>
      </c>
      <c r="Z136" s="292">
        <v>126765.7</v>
      </c>
      <c r="AA136" s="290">
        <v>130723.22636999999</v>
      </c>
      <c r="AB136" s="285">
        <v>129700.95284999999</v>
      </c>
      <c r="AC136" s="290">
        <v>10000</v>
      </c>
      <c r="AD136" s="192">
        <v>12</v>
      </c>
      <c r="AE136" s="290">
        <v>10000</v>
      </c>
      <c r="AF136" s="194">
        <v>130000</v>
      </c>
    </row>
    <row r="137" spans="1:34" s="196" customFormat="1" x14ac:dyDescent="0.3">
      <c r="G137" s="288">
        <f>SUM(G133:G136)</f>
        <v>4</v>
      </c>
      <c r="H137" s="288">
        <f t="shared" ref="H137:AF137" si="18">SUM(H133:H136)</f>
        <v>24503.62</v>
      </c>
      <c r="I137" s="288">
        <f t="shared" si="18"/>
        <v>5019.7199999999993</v>
      </c>
      <c r="J137" s="288">
        <f t="shared" si="18"/>
        <v>641.4</v>
      </c>
      <c r="K137" s="288">
        <f t="shared" si="18"/>
        <v>1214.46</v>
      </c>
      <c r="L137" s="288">
        <f t="shared" si="18"/>
        <v>0</v>
      </c>
      <c r="M137" s="288">
        <f t="shared" si="18"/>
        <v>0</v>
      </c>
      <c r="N137" s="288">
        <f t="shared" si="18"/>
        <v>146</v>
      </c>
      <c r="O137" s="288">
        <f t="shared" si="18"/>
        <v>31525.199999999997</v>
      </c>
      <c r="P137" s="288">
        <f t="shared" si="18"/>
        <v>1585.04</v>
      </c>
      <c r="Q137" s="288">
        <f t="shared" si="18"/>
        <v>2550.12</v>
      </c>
      <c r="R137" s="288">
        <f t="shared" si="18"/>
        <v>0</v>
      </c>
      <c r="S137" s="288">
        <f t="shared" si="18"/>
        <v>4</v>
      </c>
      <c r="T137" s="288">
        <f t="shared" si="18"/>
        <v>3619.3500000000004</v>
      </c>
      <c r="U137" s="288">
        <f t="shared" si="18"/>
        <v>39279.71</v>
      </c>
      <c r="V137" s="288">
        <f t="shared" si="18"/>
        <v>39279.71</v>
      </c>
      <c r="W137" s="288">
        <f t="shared" si="18"/>
        <v>475936.32</v>
      </c>
      <c r="X137" s="288">
        <f t="shared" si="18"/>
        <v>471356.51999999996</v>
      </c>
      <c r="Y137" s="288">
        <f t="shared" si="18"/>
        <v>486213.48</v>
      </c>
      <c r="Z137" s="288">
        <f t="shared" si="18"/>
        <v>524949.75</v>
      </c>
      <c r="AA137" s="288">
        <f t="shared" si="18"/>
        <v>538720.55687999993</v>
      </c>
      <c r="AB137" s="288">
        <f t="shared" si="18"/>
        <v>546507.68839999998</v>
      </c>
      <c r="AC137" s="288">
        <f t="shared" si="18"/>
        <v>41400</v>
      </c>
      <c r="AD137" s="288">
        <f t="shared" si="18"/>
        <v>48</v>
      </c>
      <c r="AE137" s="288">
        <f t="shared" si="18"/>
        <v>52000</v>
      </c>
      <c r="AF137" s="288">
        <f t="shared" si="18"/>
        <v>548800</v>
      </c>
      <c r="AG137" s="288" t="s">
        <v>1214</v>
      </c>
      <c r="AH137" s="288">
        <v>0</v>
      </c>
    </row>
    <row r="138" spans="1:34" x14ac:dyDescent="0.3">
      <c r="W138" s="292"/>
      <c r="X138" s="292"/>
      <c r="Y138" s="292"/>
      <c r="Z138" s="292"/>
      <c r="AA138" s="290"/>
      <c r="AB138" s="285"/>
      <c r="AC138" s="290"/>
      <c r="AE138" s="290"/>
      <c r="AF138" s="194"/>
    </row>
    <row r="139" spans="1:34" x14ac:dyDescent="0.3">
      <c r="A139" s="192">
        <v>5830</v>
      </c>
      <c r="B139" s="192">
        <v>74</v>
      </c>
      <c r="C139" s="192">
        <v>3000</v>
      </c>
      <c r="D139" s="192" t="s">
        <v>1215</v>
      </c>
      <c r="E139" s="192">
        <v>5399822</v>
      </c>
      <c r="F139" s="192" t="s">
        <v>1216</v>
      </c>
      <c r="G139" s="290">
        <v>1</v>
      </c>
      <c r="H139" s="192">
        <v>7220.95</v>
      </c>
      <c r="I139" s="192">
        <v>2462.44</v>
      </c>
      <c r="J139" s="192">
        <v>197.6</v>
      </c>
      <c r="K139" s="192">
        <v>0</v>
      </c>
      <c r="L139" s="192">
        <v>0</v>
      </c>
      <c r="M139" s="192">
        <v>0</v>
      </c>
      <c r="N139" s="192">
        <v>391.8</v>
      </c>
      <c r="O139" s="192">
        <v>10272.790000000001</v>
      </c>
      <c r="P139" s="192">
        <v>525</v>
      </c>
      <c r="Q139" s="192">
        <v>771.26</v>
      </c>
      <c r="R139" s="192">
        <v>0</v>
      </c>
      <c r="S139" s="285">
        <v>1</v>
      </c>
      <c r="T139" s="192">
        <v>1066.48</v>
      </c>
      <c r="U139" s="291">
        <v>12635.53</v>
      </c>
      <c r="V139" s="291">
        <v>12635.53</v>
      </c>
      <c r="W139" s="292">
        <v>149355.96</v>
      </c>
      <c r="X139" s="292">
        <v>151626.36000000002</v>
      </c>
      <c r="Y139" s="292">
        <v>149161.68</v>
      </c>
      <c r="Z139" s="292">
        <v>162738.56</v>
      </c>
      <c r="AA139" s="290">
        <v>166564.29734999998</v>
      </c>
      <c r="AB139" s="285">
        <v>165261.74174999996</v>
      </c>
      <c r="AC139" s="290">
        <v>12500</v>
      </c>
      <c r="AD139" s="192">
        <v>12</v>
      </c>
      <c r="AE139" s="290">
        <v>12000</v>
      </c>
      <c r="AF139" s="194">
        <v>162000</v>
      </c>
    </row>
    <row r="140" spans="1:34" x14ac:dyDescent="0.3">
      <c r="A140" s="192">
        <v>5830</v>
      </c>
      <c r="B140" s="192">
        <v>74</v>
      </c>
      <c r="C140" s="192">
        <v>3000</v>
      </c>
      <c r="D140" s="192" t="s">
        <v>1215</v>
      </c>
      <c r="E140" s="192">
        <v>5829113</v>
      </c>
      <c r="F140" s="192" t="s">
        <v>1217</v>
      </c>
      <c r="G140" s="290">
        <v>1</v>
      </c>
      <c r="H140" s="192">
        <v>8549.6</v>
      </c>
      <c r="I140" s="192">
        <v>5392.15</v>
      </c>
      <c r="J140" s="192">
        <v>48.6</v>
      </c>
      <c r="K140" s="192">
        <v>0</v>
      </c>
      <c r="L140" s="192">
        <v>0</v>
      </c>
      <c r="M140" s="192">
        <v>0</v>
      </c>
      <c r="N140" s="192">
        <v>124</v>
      </c>
      <c r="O140" s="192">
        <v>14114.35</v>
      </c>
      <c r="P140" s="192">
        <v>1112</v>
      </c>
      <c r="Q140" s="192">
        <v>1350.18</v>
      </c>
      <c r="R140" s="192">
        <v>0</v>
      </c>
      <c r="S140" s="285">
        <v>1</v>
      </c>
      <c r="T140" s="192">
        <v>1552.29</v>
      </c>
      <c r="U140" s="291">
        <v>18128.82</v>
      </c>
      <c r="V140" s="291">
        <v>18128.82</v>
      </c>
      <c r="W140" s="292">
        <v>211114.80000000002</v>
      </c>
      <c r="X140" s="292">
        <v>217545.84</v>
      </c>
      <c r="Y140" s="292">
        <v>213549.95999999996</v>
      </c>
      <c r="Z140" s="292">
        <v>225190.79</v>
      </c>
      <c r="AA140" s="290">
        <v>230355.05823</v>
      </c>
      <c r="AB140" s="285">
        <v>228553.65015</v>
      </c>
      <c r="AC140" s="290">
        <v>18000</v>
      </c>
      <c r="AD140" s="192">
        <v>12</v>
      </c>
      <c r="AE140" s="290">
        <v>12000</v>
      </c>
      <c r="AF140" s="194">
        <v>228000</v>
      </c>
    </row>
    <row r="141" spans="1:34" s="196" customFormat="1" x14ac:dyDescent="0.3">
      <c r="G141" s="288">
        <f>SUM(G139:G140)</f>
        <v>2</v>
      </c>
      <c r="H141" s="288">
        <f t="shared" ref="H141:AF141" si="19">SUM(H139:H140)</f>
        <v>15770.55</v>
      </c>
      <c r="I141" s="288">
        <f t="shared" si="19"/>
        <v>7854.59</v>
      </c>
      <c r="J141" s="288">
        <f t="shared" si="19"/>
        <v>246.2</v>
      </c>
      <c r="K141" s="288">
        <f t="shared" si="19"/>
        <v>0</v>
      </c>
      <c r="L141" s="288">
        <f t="shared" si="19"/>
        <v>0</v>
      </c>
      <c r="M141" s="288">
        <f t="shared" si="19"/>
        <v>0</v>
      </c>
      <c r="N141" s="288">
        <f t="shared" si="19"/>
        <v>515.79999999999995</v>
      </c>
      <c r="O141" s="288">
        <f t="shared" si="19"/>
        <v>24387.14</v>
      </c>
      <c r="P141" s="288">
        <f t="shared" si="19"/>
        <v>1637</v>
      </c>
      <c r="Q141" s="288">
        <f t="shared" si="19"/>
        <v>2121.44</v>
      </c>
      <c r="R141" s="288">
        <f t="shared" si="19"/>
        <v>0</v>
      </c>
      <c r="S141" s="288">
        <f t="shared" si="19"/>
        <v>2</v>
      </c>
      <c r="T141" s="288">
        <f t="shared" si="19"/>
        <v>2618.77</v>
      </c>
      <c r="U141" s="288">
        <f t="shared" si="19"/>
        <v>30764.35</v>
      </c>
      <c r="V141" s="288">
        <f t="shared" si="19"/>
        <v>30764.35</v>
      </c>
      <c r="W141" s="288">
        <f t="shared" si="19"/>
        <v>360470.76</v>
      </c>
      <c r="X141" s="288">
        <f t="shared" si="19"/>
        <v>369172.2</v>
      </c>
      <c r="Y141" s="288">
        <f t="shared" si="19"/>
        <v>362711.63999999996</v>
      </c>
      <c r="Z141" s="288">
        <f t="shared" si="19"/>
        <v>387929.35</v>
      </c>
      <c r="AA141" s="288">
        <f t="shared" si="19"/>
        <v>396919.35557999997</v>
      </c>
      <c r="AB141" s="288">
        <f t="shared" si="19"/>
        <v>393815.39189999993</v>
      </c>
      <c r="AC141" s="288">
        <f t="shared" si="19"/>
        <v>30500</v>
      </c>
      <c r="AD141" s="288">
        <f t="shared" si="19"/>
        <v>24</v>
      </c>
      <c r="AE141" s="288">
        <f t="shared" si="19"/>
        <v>24000</v>
      </c>
      <c r="AF141" s="288">
        <f t="shared" si="19"/>
        <v>390000</v>
      </c>
      <c r="AG141" s="288">
        <v>0</v>
      </c>
      <c r="AH141" s="288">
        <v>0</v>
      </c>
    </row>
    <row r="142" spans="1:34" x14ac:dyDescent="0.3">
      <c r="W142" s="292"/>
      <c r="X142" s="292"/>
      <c r="Y142" s="292"/>
      <c r="Z142" s="292"/>
      <c r="AA142" s="290"/>
      <c r="AB142" s="285"/>
      <c r="AC142" s="290"/>
      <c r="AE142" s="290"/>
      <c r="AF142" s="194"/>
    </row>
    <row r="143" spans="1:34" x14ac:dyDescent="0.3">
      <c r="A143" s="192">
        <v>5830</v>
      </c>
      <c r="B143" s="192">
        <v>77</v>
      </c>
      <c r="C143" s="192">
        <v>0</v>
      </c>
      <c r="D143" s="192" t="s">
        <v>79</v>
      </c>
      <c r="E143" s="192">
        <v>2528082</v>
      </c>
      <c r="F143" s="192" t="s">
        <v>1218</v>
      </c>
      <c r="G143" s="290">
        <v>1</v>
      </c>
      <c r="H143" s="192">
        <v>6185.14</v>
      </c>
      <c r="I143" s="192">
        <v>3073.81</v>
      </c>
      <c r="J143" s="192">
        <v>197.6</v>
      </c>
      <c r="K143" s="192">
        <v>0</v>
      </c>
      <c r="L143" s="192">
        <v>0</v>
      </c>
      <c r="M143" s="192">
        <v>0</v>
      </c>
      <c r="N143" s="192">
        <v>924.6</v>
      </c>
      <c r="O143" s="192">
        <v>10381.15</v>
      </c>
      <c r="P143" s="192">
        <v>533</v>
      </c>
      <c r="Q143" s="192">
        <v>778.59</v>
      </c>
      <c r="R143" s="192">
        <v>0</v>
      </c>
      <c r="S143" s="285">
        <v>1</v>
      </c>
      <c r="T143" s="192">
        <v>1829.34</v>
      </c>
      <c r="U143" s="291">
        <v>13522.08</v>
      </c>
      <c r="V143" s="291">
        <v>13522.08</v>
      </c>
      <c r="W143" s="292">
        <v>150297.24</v>
      </c>
      <c r="X143" s="292">
        <v>162264.95999999999</v>
      </c>
      <c r="Y143" s="292">
        <v>157169.20000000001</v>
      </c>
      <c r="Z143" s="292">
        <v>174004.16</v>
      </c>
      <c r="AA143" s="290">
        <v>183540.06164999996</v>
      </c>
      <c r="AB143" s="285">
        <v>182104.75324999998</v>
      </c>
      <c r="AC143" s="290">
        <v>13300</v>
      </c>
      <c r="AD143" s="192">
        <v>12</v>
      </c>
      <c r="AE143" s="290">
        <v>10000</v>
      </c>
      <c r="AF143" s="194">
        <v>169600</v>
      </c>
    </row>
    <row r="144" spans="1:34" x14ac:dyDescent="0.3">
      <c r="A144" s="192">
        <v>5830</v>
      </c>
      <c r="B144" s="192">
        <v>77</v>
      </c>
      <c r="C144" s="192">
        <v>0</v>
      </c>
      <c r="D144" s="192" t="s">
        <v>79</v>
      </c>
      <c r="E144" s="192">
        <v>2530531</v>
      </c>
      <c r="F144" s="192" t="s">
        <v>1219</v>
      </c>
      <c r="G144" s="290">
        <v>1</v>
      </c>
      <c r="H144" s="192">
        <v>6474.55</v>
      </c>
      <c r="I144" s="192">
        <v>4158.17</v>
      </c>
      <c r="J144" s="192">
        <v>197.6</v>
      </c>
      <c r="K144" s="192">
        <v>2124.2199999999998</v>
      </c>
      <c r="L144" s="192">
        <v>0</v>
      </c>
      <c r="M144" s="192">
        <v>0</v>
      </c>
      <c r="N144" s="192">
        <v>736.5</v>
      </c>
      <c r="O144" s="192">
        <v>13691.04</v>
      </c>
      <c r="P144" s="192">
        <v>803</v>
      </c>
      <c r="Q144" s="192">
        <v>1045.58</v>
      </c>
      <c r="R144" s="192">
        <v>0</v>
      </c>
      <c r="S144" s="285">
        <v>1</v>
      </c>
      <c r="T144" s="192">
        <v>2137.36</v>
      </c>
      <c r="U144" s="291">
        <v>17676.98</v>
      </c>
      <c r="V144" s="291">
        <v>17676.98</v>
      </c>
      <c r="W144" s="292">
        <v>227647.56</v>
      </c>
      <c r="X144" s="292">
        <v>212123.76</v>
      </c>
      <c r="Y144" s="292">
        <v>223984.91999999998</v>
      </c>
      <c r="Z144" s="292">
        <v>236357.88</v>
      </c>
      <c r="AA144" s="290">
        <v>248404.05183000001</v>
      </c>
      <c r="AB144" s="285">
        <v>276461.49815</v>
      </c>
      <c r="AC144" s="290">
        <v>18500</v>
      </c>
      <c r="AD144" s="192">
        <v>12</v>
      </c>
      <c r="AE144" s="290">
        <v>32000</v>
      </c>
      <c r="AF144" s="194">
        <v>254000</v>
      </c>
      <c r="AG144" s="192" t="s">
        <v>1220</v>
      </c>
    </row>
    <row r="145" spans="1:34" x14ac:dyDescent="0.3">
      <c r="A145" s="192">
        <v>5830</v>
      </c>
      <c r="B145" s="192">
        <v>77</v>
      </c>
      <c r="C145" s="192">
        <v>0</v>
      </c>
      <c r="D145" s="192" t="s">
        <v>79</v>
      </c>
      <c r="E145" s="192">
        <v>3368700</v>
      </c>
      <c r="F145" s="192" t="s">
        <v>1221</v>
      </c>
      <c r="G145" s="290">
        <v>1</v>
      </c>
      <c r="H145" s="192">
        <v>6201.8</v>
      </c>
      <c r="I145" s="192">
        <v>4026.88</v>
      </c>
      <c r="J145" s="192">
        <v>197.6</v>
      </c>
      <c r="K145" s="192">
        <v>0</v>
      </c>
      <c r="L145" s="192">
        <v>0</v>
      </c>
      <c r="M145" s="192">
        <v>0</v>
      </c>
      <c r="N145" s="192">
        <v>1241.5999999999999</v>
      </c>
      <c r="O145" s="192">
        <v>11667.88</v>
      </c>
      <c r="P145" s="192">
        <v>630</v>
      </c>
      <c r="Q145" s="192">
        <v>875.09</v>
      </c>
      <c r="R145" s="192">
        <v>0</v>
      </c>
      <c r="S145" s="285">
        <v>1</v>
      </c>
      <c r="T145" s="192">
        <v>1995.02</v>
      </c>
      <c r="U145" s="291">
        <v>15167.99</v>
      </c>
      <c r="V145" s="291">
        <v>15167.99</v>
      </c>
      <c r="W145" s="292">
        <v>157762.08000000002</v>
      </c>
      <c r="X145" s="292">
        <v>182015.88</v>
      </c>
      <c r="Y145" s="292">
        <v>170437.84</v>
      </c>
      <c r="Z145" s="292">
        <v>176682.16</v>
      </c>
      <c r="AA145" s="290">
        <v>181819.43702999997</v>
      </c>
      <c r="AB145" s="285">
        <v>180397.58414999998</v>
      </c>
      <c r="AC145" s="290">
        <v>14500</v>
      </c>
      <c r="AD145" s="192">
        <v>12</v>
      </c>
      <c r="AE145" s="290">
        <v>12000</v>
      </c>
      <c r="AF145" s="194">
        <v>186000</v>
      </c>
    </row>
    <row r="146" spans="1:34" x14ac:dyDescent="0.3">
      <c r="A146" s="192">
        <v>5830</v>
      </c>
      <c r="B146" s="192">
        <v>77</v>
      </c>
      <c r="C146" s="192">
        <v>0</v>
      </c>
      <c r="D146" s="192" t="s">
        <v>79</v>
      </c>
      <c r="E146" s="192">
        <v>3388629</v>
      </c>
      <c r="F146" s="192" t="s">
        <v>1222</v>
      </c>
      <c r="G146" s="290">
        <v>1</v>
      </c>
      <c r="H146" s="192">
        <v>6541.77</v>
      </c>
      <c r="I146" s="192">
        <v>2865.58</v>
      </c>
      <c r="J146" s="192">
        <v>197.6</v>
      </c>
      <c r="K146" s="192">
        <v>0</v>
      </c>
      <c r="L146" s="192">
        <v>0</v>
      </c>
      <c r="M146" s="192">
        <v>0</v>
      </c>
      <c r="N146" s="192">
        <v>924.6</v>
      </c>
      <c r="O146" s="192">
        <v>10529.55</v>
      </c>
      <c r="P146" s="192">
        <v>544</v>
      </c>
      <c r="Q146" s="192">
        <v>789.72</v>
      </c>
      <c r="R146" s="192">
        <v>0</v>
      </c>
      <c r="S146" s="285">
        <v>1</v>
      </c>
      <c r="T146" s="192">
        <v>1854.28</v>
      </c>
      <c r="U146" s="291">
        <v>13717.55</v>
      </c>
      <c r="V146" s="291">
        <v>13717.55</v>
      </c>
      <c r="W146" s="292">
        <v>164290.91999999998</v>
      </c>
      <c r="X146" s="292">
        <v>164610.59999999998</v>
      </c>
      <c r="Y146" s="292">
        <v>160379.35999999999</v>
      </c>
      <c r="Z146" s="292">
        <v>172911.57</v>
      </c>
      <c r="AA146" s="290">
        <v>178232.26706999997</v>
      </c>
      <c r="AB146" s="285">
        <v>176838.46634999997</v>
      </c>
      <c r="AC146" s="290">
        <v>13500</v>
      </c>
      <c r="AD146" s="192">
        <v>12</v>
      </c>
      <c r="AE146" s="290">
        <v>12000</v>
      </c>
      <c r="AF146" s="194">
        <v>174000</v>
      </c>
    </row>
    <row r="147" spans="1:34" x14ac:dyDescent="0.3">
      <c r="A147" s="192">
        <v>5830</v>
      </c>
      <c r="B147" s="192">
        <v>77</v>
      </c>
      <c r="C147" s="192">
        <v>0</v>
      </c>
      <c r="D147" s="192" t="s">
        <v>79</v>
      </c>
      <c r="E147" s="192">
        <v>3655921</v>
      </c>
      <c r="F147" s="192" t="s">
        <v>1223</v>
      </c>
      <c r="G147" s="290">
        <v>1</v>
      </c>
      <c r="H147" s="192">
        <v>6249.38</v>
      </c>
      <c r="I147" s="192">
        <v>2184.5300000000002</v>
      </c>
      <c r="J147" s="192">
        <v>197.6</v>
      </c>
      <c r="K147" s="192">
        <v>0</v>
      </c>
      <c r="L147" s="192">
        <v>0</v>
      </c>
      <c r="M147" s="192">
        <v>0</v>
      </c>
      <c r="N147" s="192">
        <v>1074.4000000000001</v>
      </c>
      <c r="O147" s="192">
        <v>9705.91</v>
      </c>
      <c r="P147" s="192">
        <v>481</v>
      </c>
      <c r="Q147" s="192">
        <v>727.94</v>
      </c>
      <c r="R147" s="192">
        <v>0</v>
      </c>
      <c r="S147" s="285">
        <v>1</v>
      </c>
      <c r="T147" s="192">
        <v>1734.77</v>
      </c>
      <c r="U147" s="291">
        <v>12649.62</v>
      </c>
      <c r="V147" s="291">
        <v>12649.62</v>
      </c>
      <c r="W147" s="292">
        <v>188693.52</v>
      </c>
      <c r="X147" s="292">
        <v>151795.44</v>
      </c>
      <c r="Y147" s="292">
        <v>170995</v>
      </c>
      <c r="Z147" s="292">
        <v>183505.45</v>
      </c>
      <c r="AA147" s="290">
        <v>191274.71912999998</v>
      </c>
      <c r="AB147" s="285">
        <v>189778.92464999997</v>
      </c>
      <c r="AC147" s="290">
        <v>14500</v>
      </c>
      <c r="AD147" s="192">
        <v>12</v>
      </c>
      <c r="AE147" s="290">
        <v>12000</v>
      </c>
      <c r="AF147" s="194">
        <v>186000</v>
      </c>
    </row>
    <row r="148" spans="1:34" x14ac:dyDescent="0.3">
      <c r="A148" s="192">
        <v>5830</v>
      </c>
      <c r="B148" s="192">
        <v>77</v>
      </c>
      <c r="C148" s="192">
        <v>0</v>
      </c>
      <c r="D148" s="192" t="s">
        <v>79</v>
      </c>
      <c r="E148" s="192">
        <v>3800789</v>
      </c>
      <c r="F148" s="192" t="s">
        <v>1224</v>
      </c>
      <c r="G148" s="290">
        <v>1</v>
      </c>
      <c r="H148" s="192">
        <v>5898.89</v>
      </c>
      <c r="I148" s="192">
        <v>1987.37</v>
      </c>
      <c r="J148" s="192">
        <v>197.6</v>
      </c>
      <c r="K148" s="192">
        <v>0</v>
      </c>
      <c r="L148" s="192">
        <v>0</v>
      </c>
      <c r="M148" s="192">
        <v>0</v>
      </c>
      <c r="N148" s="192">
        <v>796.5</v>
      </c>
      <c r="O148" s="192">
        <v>8880.36</v>
      </c>
      <c r="P148" s="192">
        <v>426</v>
      </c>
      <c r="Q148" s="192">
        <v>677.27</v>
      </c>
      <c r="R148" s="192">
        <v>0</v>
      </c>
      <c r="S148" s="285">
        <v>1</v>
      </c>
      <c r="T148" s="192">
        <v>823.35</v>
      </c>
      <c r="U148" s="291">
        <v>10806.98</v>
      </c>
      <c r="V148" s="291">
        <v>10806.98</v>
      </c>
      <c r="W148" s="292">
        <v>132036.36000000002</v>
      </c>
      <c r="X148" s="292">
        <v>129683.76</v>
      </c>
      <c r="Y148" s="292">
        <v>128925.91999999998</v>
      </c>
      <c r="Z148" s="292">
        <v>20166.3</v>
      </c>
      <c r="AA148" s="290">
        <v>0</v>
      </c>
      <c r="AB148" s="285">
        <v>0</v>
      </c>
      <c r="AC148" s="290">
        <v>11000</v>
      </c>
      <c r="AD148" s="192">
        <v>12</v>
      </c>
      <c r="AE148" s="290">
        <v>11000</v>
      </c>
      <c r="AF148" s="194">
        <v>143000</v>
      </c>
    </row>
    <row r="149" spans="1:34" x14ac:dyDescent="0.3">
      <c r="A149" s="192">
        <v>5830</v>
      </c>
      <c r="B149" s="192">
        <v>77</v>
      </c>
      <c r="C149" s="192">
        <v>0</v>
      </c>
      <c r="D149" s="192" t="s">
        <v>79</v>
      </c>
      <c r="E149" s="192">
        <v>6653884</v>
      </c>
      <c r="F149" s="192" t="s">
        <v>1225</v>
      </c>
      <c r="G149" s="290">
        <v>1</v>
      </c>
      <c r="H149" s="192">
        <v>6078.58</v>
      </c>
      <c r="I149" s="192">
        <v>4569.42</v>
      </c>
      <c r="J149" s="192">
        <v>197.6</v>
      </c>
      <c r="K149" s="192">
        <v>0</v>
      </c>
      <c r="L149" s="192">
        <v>0</v>
      </c>
      <c r="M149" s="192">
        <v>0</v>
      </c>
      <c r="N149" s="192">
        <v>924.6</v>
      </c>
      <c r="O149" s="192">
        <v>11770.2</v>
      </c>
      <c r="P149" s="192">
        <v>638</v>
      </c>
      <c r="Q149" s="192">
        <v>882.76</v>
      </c>
      <c r="R149" s="192">
        <v>0</v>
      </c>
      <c r="S149" s="285">
        <v>1</v>
      </c>
      <c r="T149" s="192">
        <v>1960.88</v>
      </c>
      <c r="U149" s="291">
        <v>15251.84</v>
      </c>
      <c r="V149" s="291">
        <v>15251.84</v>
      </c>
      <c r="W149" s="292">
        <v>165898.32</v>
      </c>
      <c r="X149" s="292">
        <v>183022.08000000002</v>
      </c>
      <c r="Y149" s="292">
        <v>171692.88</v>
      </c>
      <c r="Z149" s="292">
        <v>174964.2</v>
      </c>
      <c r="AA149" s="290">
        <v>178170.20165999996</v>
      </c>
      <c r="AB149" s="285">
        <v>176776.88629999995</v>
      </c>
      <c r="AC149" s="290">
        <v>14000</v>
      </c>
      <c r="AD149" s="192">
        <v>12</v>
      </c>
      <c r="AE149" s="290">
        <v>12000</v>
      </c>
      <c r="AF149" s="194">
        <v>180000</v>
      </c>
    </row>
    <row r="150" spans="1:34" x14ac:dyDescent="0.3">
      <c r="A150" s="192">
        <v>5830</v>
      </c>
      <c r="B150" s="192">
        <v>77</v>
      </c>
      <c r="C150" s="192">
        <v>0</v>
      </c>
      <c r="D150" s="192" t="s">
        <v>79</v>
      </c>
      <c r="E150" s="192">
        <v>20049327</v>
      </c>
      <c r="F150" s="192" t="s">
        <v>1226</v>
      </c>
      <c r="G150" s="290">
        <v>1</v>
      </c>
      <c r="H150" s="192">
        <v>5997.71</v>
      </c>
      <c r="I150" s="192">
        <v>2880.89</v>
      </c>
      <c r="J150" s="192">
        <v>197.6</v>
      </c>
      <c r="K150" s="192">
        <v>0</v>
      </c>
      <c r="L150" s="192">
        <v>0</v>
      </c>
      <c r="M150" s="192">
        <v>0</v>
      </c>
      <c r="N150" s="192">
        <v>924.6</v>
      </c>
      <c r="O150" s="192">
        <v>10000.799999999999</v>
      </c>
      <c r="P150" s="192">
        <v>504</v>
      </c>
      <c r="Q150" s="192">
        <v>750.06</v>
      </c>
      <c r="R150" s="192">
        <v>0</v>
      </c>
      <c r="S150" s="285">
        <v>1</v>
      </c>
      <c r="T150" s="192">
        <v>1724.94</v>
      </c>
      <c r="U150" s="291">
        <v>12979.8</v>
      </c>
      <c r="V150" s="291">
        <v>12979.8</v>
      </c>
      <c r="W150" s="292">
        <v>163754.88</v>
      </c>
      <c r="X150" s="292">
        <v>155757.59999999998</v>
      </c>
      <c r="Y150" s="292">
        <v>161004.28</v>
      </c>
      <c r="Z150" s="292">
        <v>161949.48000000001</v>
      </c>
      <c r="AA150" s="290">
        <v>167411.61755999998</v>
      </c>
      <c r="AB150" s="285">
        <v>166102.43579999998</v>
      </c>
      <c r="AC150" s="290">
        <v>13500</v>
      </c>
      <c r="AD150" s="192">
        <v>12</v>
      </c>
      <c r="AE150" s="290">
        <v>12000</v>
      </c>
      <c r="AF150" s="194">
        <v>174000</v>
      </c>
    </row>
    <row r="151" spans="1:34" x14ac:dyDescent="0.3">
      <c r="A151" s="192">
        <v>5830</v>
      </c>
      <c r="B151" s="192">
        <v>77</v>
      </c>
      <c r="C151" s="192">
        <v>0</v>
      </c>
      <c r="D151" s="192" t="s">
        <v>79</v>
      </c>
      <c r="E151" s="192">
        <v>20347081</v>
      </c>
      <c r="F151" s="192" t="s">
        <v>1227</v>
      </c>
      <c r="G151" s="290">
        <v>1</v>
      </c>
      <c r="H151" s="192">
        <v>6207.88</v>
      </c>
      <c r="I151" s="192">
        <v>2186.06</v>
      </c>
      <c r="J151" s="192">
        <v>197.6</v>
      </c>
      <c r="K151" s="192">
        <v>0</v>
      </c>
      <c r="L151" s="192">
        <v>0</v>
      </c>
      <c r="M151" s="192">
        <v>0</v>
      </c>
      <c r="N151" s="192">
        <v>736.5</v>
      </c>
      <c r="O151" s="192">
        <v>9328.0400000000009</v>
      </c>
      <c r="P151" s="192">
        <v>453</v>
      </c>
      <c r="Q151" s="192">
        <v>699.6</v>
      </c>
      <c r="R151" s="192">
        <v>0</v>
      </c>
      <c r="S151" s="285">
        <v>1</v>
      </c>
      <c r="T151" s="192">
        <v>1707.56</v>
      </c>
      <c r="U151" s="291">
        <v>12188.2</v>
      </c>
      <c r="V151" s="291">
        <v>12188.2</v>
      </c>
      <c r="W151" s="292">
        <v>176173.44</v>
      </c>
      <c r="X151" s="292">
        <v>146258.40000000002</v>
      </c>
      <c r="Y151" s="292">
        <v>157661.64000000001</v>
      </c>
      <c r="Z151" s="292">
        <v>158541.82</v>
      </c>
      <c r="AA151" s="290">
        <v>165556.81625999999</v>
      </c>
      <c r="AB151" s="285">
        <v>164262.13929999998</v>
      </c>
      <c r="AC151" s="290">
        <v>13000</v>
      </c>
      <c r="AD151" s="192">
        <v>12</v>
      </c>
      <c r="AE151" s="290">
        <v>12000</v>
      </c>
      <c r="AF151" s="194">
        <v>168000</v>
      </c>
    </row>
    <row r="152" spans="1:34" x14ac:dyDescent="0.3">
      <c r="A152" s="192">
        <v>5830</v>
      </c>
      <c r="B152" s="192">
        <v>77</v>
      </c>
      <c r="C152" s="192">
        <v>0</v>
      </c>
      <c r="D152" s="192" t="s">
        <v>79</v>
      </c>
      <c r="E152" s="192">
        <v>31127715</v>
      </c>
      <c r="F152" s="192" t="s">
        <v>1228</v>
      </c>
      <c r="G152" s="290">
        <v>1</v>
      </c>
      <c r="H152" s="192">
        <v>5910.55</v>
      </c>
      <c r="I152" s="192">
        <v>2112.4</v>
      </c>
      <c r="J152" s="192">
        <v>149</v>
      </c>
      <c r="K152" s="192">
        <v>0</v>
      </c>
      <c r="L152" s="192">
        <v>0</v>
      </c>
      <c r="M152" s="192">
        <v>0</v>
      </c>
      <c r="N152" s="192">
        <v>924.6</v>
      </c>
      <c r="O152" s="192">
        <v>9096.5499999999993</v>
      </c>
      <c r="P152" s="192">
        <v>435</v>
      </c>
      <c r="Q152" s="192">
        <v>682.25</v>
      </c>
      <c r="R152" s="192">
        <v>0</v>
      </c>
      <c r="S152" s="285">
        <v>1</v>
      </c>
      <c r="T152" s="192">
        <v>1579.07</v>
      </c>
      <c r="U152" s="291">
        <v>11792.87</v>
      </c>
      <c r="V152" s="291">
        <v>11792.87</v>
      </c>
      <c r="W152" s="292">
        <v>169115.04</v>
      </c>
      <c r="X152" s="292">
        <v>141514.44</v>
      </c>
      <c r="Y152" s="292">
        <v>154837.07999999999</v>
      </c>
      <c r="Z152" s="292">
        <v>158051.87</v>
      </c>
      <c r="AA152" s="290">
        <v>164611.04253000001</v>
      </c>
      <c r="AB152" s="285">
        <v>163323.76165</v>
      </c>
      <c r="AC152" s="290">
        <v>13000</v>
      </c>
      <c r="AD152" s="192">
        <v>12</v>
      </c>
      <c r="AE152" s="290">
        <v>12000</v>
      </c>
      <c r="AF152" s="194">
        <v>168000</v>
      </c>
    </row>
    <row r="153" spans="1:34" s="196" customFormat="1" x14ac:dyDescent="0.3">
      <c r="G153" s="288">
        <f>SUM(G143:G152)</f>
        <v>10</v>
      </c>
      <c r="H153" s="288">
        <f t="shared" ref="H153:AF153" si="20">SUM(H143:H152)</f>
        <v>61746.250000000007</v>
      </c>
      <c r="I153" s="288">
        <f t="shared" si="20"/>
        <v>30045.110000000004</v>
      </c>
      <c r="J153" s="288">
        <f t="shared" si="20"/>
        <v>1927.3999999999996</v>
      </c>
      <c r="K153" s="288">
        <f t="shared" si="20"/>
        <v>2124.2199999999998</v>
      </c>
      <c r="L153" s="288">
        <f t="shared" si="20"/>
        <v>0</v>
      </c>
      <c r="M153" s="288">
        <f t="shared" si="20"/>
        <v>0</v>
      </c>
      <c r="N153" s="288">
        <f t="shared" si="20"/>
        <v>9208.5000000000018</v>
      </c>
      <c r="O153" s="288">
        <f t="shared" si="20"/>
        <v>105051.48</v>
      </c>
      <c r="P153" s="288">
        <f t="shared" si="20"/>
        <v>5447</v>
      </c>
      <c r="Q153" s="288">
        <f t="shared" si="20"/>
        <v>7908.8600000000006</v>
      </c>
      <c r="R153" s="288">
        <f t="shared" si="20"/>
        <v>0</v>
      </c>
      <c r="S153" s="288">
        <f t="shared" si="20"/>
        <v>10</v>
      </c>
      <c r="T153" s="288">
        <f t="shared" si="20"/>
        <v>17346.57</v>
      </c>
      <c r="U153" s="288">
        <f t="shared" si="20"/>
        <v>135753.90999999997</v>
      </c>
      <c r="V153" s="288">
        <f t="shared" si="20"/>
        <v>135753.90999999997</v>
      </c>
      <c r="W153" s="288">
        <f t="shared" si="20"/>
        <v>1695669.3599999999</v>
      </c>
      <c r="X153" s="288">
        <f t="shared" si="20"/>
        <v>1629046.92</v>
      </c>
      <c r="Y153" s="288">
        <f t="shared" si="20"/>
        <v>1657088.12</v>
      </c>
      <c r="Z153" s="288">
        <f t="shared" si="20"/>
        <v>1617134.8900000001</v>
      </c>
      <c r="AA153" s="288">
        <f t="shared" si="20"/>
        <v>1659020.2147199998</v>
      </c>
      <c r="AB153" s="288">
        <f t="shared" si="20"/>
        <v>1676046.4495999997</v>
      </c>
      <c r="AC153" s="288">
        <f t="shared" si="20"/>
        <v>138800</v>
      </c>
      <c r="AD153" s="288">
        <f t="shared" si="20"/>
        <v>120</v>
      </c>
      <c r="AE153" s="288">
        <f t="shared" si="20"/>
        <v>137000</v>
      </c>
      <c r="AF153" s="288">
        <f t="shared" si="20"/>
        <v>1802600</v>
      </c>
      <c r="AG153" s="288">
        <v>0</v>
      </c>
      <c r="AH153" s="288">
        <v>0</v>
      </c>
    </row>
    <row r="154" spans="1:34" x14ac:dyDescent="0.3">
      <c r="W154" s="292"/>
      <c r="X154" s="292"/>
      <c r="Y154" s="292"/>
      <c r="Z154" s="292"/>
      <c r="AA154" s="290"/>
      <c r="AB154" s="285"/>
      <c r="AC154" s="290"/>
      <c r="AE154" s="290"/>
      <c r="AF154" s="194"/>
    </row>
    <row r="155" spans="1:34" x14ac:dyDescent="0.3">
      <c r="A155" s="192">
        <v>5830</v>
      </c>
      <c r="B155" s="192">
        <v>77</v>
      </c>
      <c r="C155" s="192">
        <v>2100</v>
      </c>
      <c r="D155" s="192" t="s">
        <v>1229</v>
      </c>
      <c r="E155" s="192">
        <v>3196056</v>
      </c>
      <c r="F155" s="192" t="s">
        <v>1230</v>
      </c>
      <c r="G155" s="290">
        <v>1</v>
      </c>
      <c r="H155" s="192">
        <v>6710.13</v>
      </c>
      <c r="I155" s="192">
        <v>1923.89</v>
      </c>
      <c r="J155" s="192">
        <v>48.6</v>
      </c>
      <c r="K155" s="192">
        <v>0</v>
      </c>
      <c r="L155" s="192">
        <v>0</v>
      </c>
      <c r="M155" s="192">
        <v>0</v>
      </c>
      <c r="N155" s="192">
        <v>138</v>
      </c>
      <c r="O155" s="192">
        <v>8820.6200000000008</v>
      </c>
      <c r="P155" s="192">
        <v>564</v>
      </c>
      <c r="Q155" s="192">
        <v>809.3</v>
      </c>
      <c r="R155" s="192">
        <v>0</v>
      </c>
      <c r="S155" s="285">
        <v>1</v>
      </c>
      <c r="T155" s="192">
        <v>1730.02</v>
      </c>
      <c r="U155" s="291">
        <v>11923.94</v>
      </c>
      <c r="V155" s="291">
        <v>11923.94</v>
      </c>
      <c r="W155" s="292">
        <v>140975.28</v>
      </c>
      <c r="X155" s="292">
        <v>143087.28</v>
      </c>
      <c r="Y155" s="292">
        <v>140617</v>
      </c>
      <c r="Z155" s="292">
        <v>149249.44</v>
      </c>
      <c r="AA155" s="290">
        <v>152341.95800999997</v>
      </c>
      <c r="AB155" s="285">
        <v>151150.62304999999</v>
      </c>
      <c r="AC155" s="290">
        <v>11500</v>
      </c>
      <c r="AD155" s="192">
        <v>12</v>
      </c>
      <c r="AE155" s="290">
        <v>20000</v>
      </c>
      <c r="AF155" s="194">
        <v>158000</v>
      </c>
      <c r="AG155" s="192" t="s">
        <v>1119</v>
      </c>
    </row>
    <row r="156" spans="1:34" x14ac:dyDescent="0.3">
      <c r="A156" s="192">
        <v>5830</v>
      </c>
      <c r="B156" s="192">
        <v>77</v>
      </c>
      <c r="C156" s="192">
        <v>2100</v>
      </c>
      <c r="D156" s="192" t="s">
        <v>1229</v>
      </c>
      <c r="E156" s="192">
        <v>3634013</v>
      </c>
      <c r="F156" s="192" t="s">
        <v>1231</v>
      </c>
      <c r="G156" s="290">
        <v>1</v>
      </c>
      <c r="H156" s="192">
        <v>5755.02</v>
      </c>
      <c r="I156" s="192">
        <v>2645.12</v>
      </c>
      <c r="J156" s="192">
        <v>48.6</v>
      </c>
      <c r="K156" s="192">
        <v>0</v>
      </c>
      <c r="L156" s="192">
        <v>0</v>
      </c>
      <c r="M156" s="192">
        <v>0</v>
      </c>
      <c r="N156" s="192">
        <v>961.5</v>
      </c>
      <c r="O156" s="192">
        <v>9410.24</v>
      </c>
      <c r="P156" s="192">
        <v>609</v>
      </c>
      <c r="Q156" s="192">
        <v>853.51</v>
      </c>
      <c r="R156" s="192">
        <v>0</v>
      </c>
      <c r="S156" s="285">
        <v>1</v>
      </c>
      <c r="T156" s="192">
        <v>1627.62</v>
      </c>
      <c r="U156" s="291">
        <v>12500.37</v>
      </c>
      <c r="V156" s="291">
        <v>12500.37</v>
      </c>
      <c r="W156" s="292">
        <v>154398.59999999998</v>
      </c>
      <c r="X156" s="292">
        <v>150004.44</v>
      </c>
      <c r="Y156" s="292">
        <v>154398.39999999999</v>
      </c>
      <c r="Z156" s="292">
        <v>65681.570000000007</v>
      </c>
      <c r="AA156" s="290">
        <v>0</v>
      </c>
      <c r="AB156" s="285">
        <v>0</v>
      </c>
      <c r="AC156" s="290">
        <v>13000</v>
      </c>
      <c r="AD156" s="192">
        <v>12</v>
      </c>
      <c r="AE156" s="290">
        <v>10000</v>
      </c>
      <c r="AF156" s="194">
        <v>166000</v>
      </c>
      <c r="AG156" s="192" t="s">
        <v>1232</v>
      </c>
    </row>
    <row r="157" spans="1:34" x14ac:dyDescent="0.3">
      <c r="A157" s="192">
        <v>5830</v>
      </c>
      <c r="B157" s="192">
        <v>77</v>
      </c>
      <c r="C157" s="192">
        <v>2100</v>
      </c>
      <c r="D157" s="192" t="s">
        <v>1229</v>
      </c>
      <c r="E157" s="192">
        <v>3827875</v>
      </c>
      <c r="F157" s="192" t="s">
        <v>1233</v>
      </c>
      <c r="G157" s="290">
        <v>1</v>
      </c>
      <c r="H157" s="192">
        <v>6165.22</v>
      </c>
      <c r="I157" s="192">
        <v>900.46</v>
      </c>
      <c r="J157" s="192">
        <v>197.6</v>
      </c>
      <c r="K157" s="192">
        <v>0</v>
      </c>
      <c r="L157" s="192">
        <v>0</v>
      </c>
      <c r="M157" s="192">
        <v>0</v>
      </c>
      <c r="N157" s="192">
        <v>36.5</v>
      </c>
      <c r="O157" s="192">
        <v>7299.78</v>
      </c>
      <c r="P157" s="192">
        <v>298</v>
      </c>
      <c r="Q157" s="192">
        <v>547.48</v>
      </c>
      <c r="R157" s="192">
        <v>0</v>
      </c>
      <c r="S157" s="285">
        <v>1</v>
      </c>
      <c r="T157" s="192">
        <v>1488.1</v>
      </c>
      <c r="U157" s="291">
        <v>9633.36</v>
      </c>
      <c r="V157" s="291">
        <v>9633.36</v>
      </c>
      <c r="W157" s="292">
        <v>105723.72</v>
      </c>
      <c r="X157" s="292">
        <v>115600.32000000001</v>
      </c>
      <c r="Y157" s="292">
        <v>113940.47999999998</v>
      </c>
      <c r="Z157" s="292">
        <v>46223.79</v>
      </c>
      <c r="AA157" s="290">
        <v>0</v>
      </c>
      <c r="AB157" s="285">
        <v>46917.146849999997</v>
      </c>
      <c r="AC157" s="290">
        <v>8810.31</v>
      </c>
      <c r="AD157" s="192">
        <v>12</v>
      </c>
      <c r="AE157" s="290">
        <v>10000</v>
      </c>
      <c r="AF157" s="194">
        <v>115723.72</v>
      </c>
      <c r="AG157" s="192" t="s">
        <v>1232</v>
      </c>
    </row>
    <row r="158" spans="1:34" x14ac:dyDescent="0.3">
      <c r="A158" s="192">
        <v>5830</v>
      </c>
      <c r="B158" s="192">
        <v>77</v>
      </c>
      <c r="C158" s="192">
        <v>2100</v>
      </c>
      <c r="D158" s="192" t="s">
        <v>1229</v>
      </c>
      <c r="E158" s="192">
        <v>5285675</v>
      </c>
      <c r="F158" s="192" t="s">
        <v>1234</v>
      </c>
      <c r="G158" s="290">
        <v>1</v>
      </c>
      <c r="H158" s="192">
        <v>18548</v>
      </c>
      <c r="I158" s="192">
        <v>0</v>
      </c>
      <c r="J158" s="192">
        <v>149</v>
      </c>
      <c r="K158" s="192">
        <v>245.77</v>
      </c>
      <c r="L158" s="192">
        <v>0</v>
      </c>
      <c r="M158" s="192">
        <v>0</v>
      </c>
      <c r="N158" s="192">
        <v>643.1</v>
      </c>
      <c r="O158" s="192">
        <v>19585.87</v>
      </c>
      <c r="P158" s="192">
        <v>1248</v>
      </c>
      <c r="Q158" s="192">
        <v>1484.89</v>
      </c>
      <c r="R158" s="192">
        <v>0</v>
      </c>
      <c r="S158" s="285">
        <v>1</v>
      </c>
      <c r="T158" s="192">
        <v>4110.45</v>
      </c>
      <c r="U158" s="291">
        <v>26429.21</v>
      </c>
      <c r="V158" s="291">
        <v>26429.21</v>
      </c>
      <c r="W158" s="292">
        <v>365021.04</v>
      </c>
      <c r="X158" s="292">
        <v>317150.52</v>
      </c>
      <c r="Y158" s="292">
        <v>343896.24</v>
      </c>
      <c r="Z158" s="292">
        <v>316113.59000000003</v>
      </c>
      <c r="AA158" s="290">
        <v>321776.96726999996</v>
      </c>
      <c r="AB158" s="285">
        <v>319260.62734999997</v>
      </c>
      <c r="AC158" s="290">
        <v>30418.42</v>
      </c>
      <c r="AD158" s="192">
        <v>12</v>
      </c>
      <c r="AE158" s="290">
        <v>10000</v>
      </c>
      <c r="AF158" s="194">
        <v>375021.04</v>
      </c>
    </row>
    <row r="159" spans="1:34" x14ac:dyDescent="0.3">
      <c r="A159" s="192">
        <v>5830</v>
      </c>
      <c r="B159" s="192">
        <v>77</v>
      </c>
      <c r="C159" s="192">
        <v>2100</v>
      </c>
      <c r="D159" s="192" t="s">
        <v>1229</v>
      </c>
      <c r="E159" s="192">
        <v>5746183</v>
      </c>
      <c r="F159" s="192" t="s">
        <v>1235</v>
      </c>
      <c r="G159" s="290">
        <v>1</v>
      </c>
      <c r="H159" s="192">
        <v>10772.05</v>
      </c>
      <c r="I159" s="192">
        <v>2467.5100000000002</v>
      </c>
      <c r="J159" s="192">
        <v>197.6</v>
      </c>
      <c r="K159" s="192">
        <v>1774.67</v>
      </c>
      <c r="L159" s="192">
        <v>0</v>
      </c>
      <c r="M159" s="192">
        <v>0</v>
      </c>
      <c r="N159" s="192">
        <v>36.5</v>
      </c>
      <c r="O159" s="192">
        <v>15248.33</v>
      </c>
      <c r="P159" s="192">
        <v>922</v>
      </c>
      <c r="Q159" s="192">
        <v>1162.3699999999999</v>
      </c>
      <c r="R159" s="192">
        <v>0</v>
      </c>
      <c r="S159" s="285">
        <v>1</v>
      </c>
      <c r="T159" s="192">
        <v>1497.13</v>
      </c>
      <c r="U159" s="291">
        <v>18829.830000000002</v>
      </c>
      <c r="V159" s="291">
        <v>18829.830000000002</v>
      </c>
      <c r="W159" s="292">
        <v>222967.19999999998</v>
      </c>
      <c r="X159" s="292">
        <v>225957.96000000002</v>
      </c>
      <c r="Y159" s="292">
        <v>222424.03999999998</v>
      </c>
      <c r="Z159" s="292">
        <v>144276.29</v>
      </c>
      <c r="AA159" s="290">
        <v>0</v>
      </c>
      <c r="AB159" s="285">
        <v>0</v>
      </c>
      <c r="AC159" s="290">
        <v>18580.599999999999</v>
      </c>
      <c r="AD159" s="192">
        <v>12</v>
      </c>
      <c r="AE159" s="290">
        <v>15250</v>
      </c>
      <c r="AF159" s="194">
        <v>238217.19999999998</v>
      </c>
      <c r="AG159" s="192" t="s">
        <v>1119</v>
      </c>
    </row>
    <row r="160" spans="1:34" x14ac:dyDescent="0.3">
      <c r="A160" s="192">
        <v>5830</v>
      </c>
      <c r="B160" s="192">
        <v>77</v>
      </c>
      <c r="C160" s="192">
        <v>2100</v>
      </c>
      <c r="D160" s="192" t="s">
        <v>1229</v>
      </c>
      <c r="E160" s="192">
        <v>30244314</v>
      </c>
      <c r="F160" s="192" t="s">
        <v>1236</v>
      </c>
      <c r="G160" s="290">
        <v>1</v>
      </c>
      <c r="H160" s="192">
        <v>7240.07</v>
      </c>
      <c r="I160" s="192">
        <v>2728.97</v>
      </c>
      <c r="J160" s="192">
        <v>197.6</v>
      </c>
      <c r="K160" s="192">
        <v>1369</v>
      </c>
      <c r="L160" s="192">
        <v>0</v>
      </c>
      <c r="M160" s="192">
        <v>0</v>
      </c>
      <c r="N160" s="192">
        <v>0</v>
      </c>
      <c r="O160" s="192">
        <v>11535.64</v>
      </c>
      <c r="P160" s="192">
        <v>620</v>
      </c>
      <c r="Q160" s="192">
        <v>865.18</v>
      </c>
      <c r="R160" s="192">
        <v>0</v>
      </c>
      <c r="S160" s="285">
        <v>1</v>
      </c>
      <c r="T160" s="192">
        <v>1560.3</v>
      </c>
      <c r="U160" s="291">
        <v>14581.12</v>
      </c>
      <c r="V160" s="291">
        <v>14581.12</v>
      </c>
      <c r="W160" s="292">
        <v>138949.20000000001</v>
      </c>
      <c r="X160" s="292">
        <v>174973.44</v>
      </c>
      <c r="Y160" s="292">
        <v>151647.4</v>
      </c>
      <c r="Z160" s="292">
        <v>13763.2</v>
      </c>
      <c r="AA160" s="290">
        <v>0</v>
      </c>
      <c r="AB160" s="285">
        <v>0</v>
      </c>
      <c r="AC160" s="290">
        <v>11579.1</v>
      </c>
      <c r="AD160" s="192">
        <v>12</v>
      </c>
      <c r="AE160" s="290">
        <v>10000</v>
      </c>
      <c r="AF160" s="194">
        <v>148949.20000000001</v>
      </c>
      <c r="AG160" s="192" t="s">
        <v>1232</v>
      </c>
    </row>
    <row r="161" spans="1:34" x14ac:dyDescent="0.3">
      <c r="A161" s="192">
        <v>5830</v>
      </c>
      <c r="B161" s="192">
        <v>77</v>
      </c>
      <c r="C161" s="192">
        <v>2100</v>
      </c>
      <c r="D161" s="192" t="s">
        <v>1229</v>
      </c>
      <c r="E161" s="192">
        <v>30297282</v>
      </c>
      <c r="F161" s="192" t="s">
        <v>1237</v>
      </c>
      <c r="G161" s="290">
        <v>1</v>
      </c>
      <c r="H161" s="192">
        <v>7960.26</v>
      </c>
      <c r="I161" s="192">
        <v>658.12</v>
      </c>
      <c r="J161" s="192">
        <v>197.6</v>
      </c>
      <c r="K161" s="192">
        <v>1448.44</v>
      </c>
      <c r="L161" s="192">
        <v>0</v>
      </c>
      <c r="M161" s="192">
        <v>0</v>
      </c>
      <c r="N161" s="192">
        <v>36.5</v>
      </c>
      <c r="O161" s="192">
        <v>10300.92</v>
      </c>
      <c r="P161" s="192">
        <v>525</v>
      </c>
      <c r="Q161" s="192">
        <v>772.57</v>
      </c>
      <c r="R161" s="192">
        <v>0</v>
      </c>
      <c r="S161" s="285">
        <v>1</v>
      </c>
      <c r="T161" s="192">
        <v>2048.5100000000002</v>
      </c>
      <c r="U161" s="291">
        <v>13647</v>
      </c>
      <c r="V161" s="291">
        <v>13647</v>
      </c>
      <c r="W161" s="292">
        <v>160556.76</v>
      </c>
      <c r="X161" s="292">
        <v>163764</v>
      </c>
      <c r="Y161" s="292">
        <v>165638.92000000001</v>
      </c>
      <c r="Z161" s="292">
        <v>170558.11</v>
      </c>
      <c r="AA161" s="290">
        <v>180776.53967999999</v>
      </c>
      <c r="AB161" s="285">
        <v>179362.84239999999</v>
      </c>
      <c r="AC161" s="290">
        <v>13379.73</v>
      </c>
      <c r="AD161" s="192">
        <v>12</v>
      </c>
      <c r="AE161" s="290">
        <v>10000</v>
      </c>
      <c r="AF161" s="194">
        <v>170556.76</v>
      </c>
    </row>
    <row r="162" spans="1:34" s="196" customFormat="1" x14ac:dyDescent="0.3">
      <c r="G162" s="288">
        <f>SUM(G155:G161)</f>
        <v>7</v>
      </c>
      <c r="H162" s="288">
        <f t="shared" ref="H162:AF162" si="21">SUM(H155:H161)</f>
        <v>63150.75</v>
      </c>
      <c r="I162" s="288">
        <f t="shared" si="21"/>
        <v>11324.070000000002</v>
      </c>
      <c r="J162" s="288">
        <f t="shared" si="21"/>
        <v>1036.5999999999999</v>
      </c>
      <c r="K162" s="288">
        <f t="shared" si="21"/>
        <v>4837.88</v>
      </c>
      <c r="L162" s="288">
        <f t="shared" si="21"/>
        <v>0</v>
      </c>
      <c r="M162" s="288">
        <f t="shared" si="21"/>
        <v>0</v>
      </c>
      <c r="N162" s="288">
        <f t="shared" si="21"/>
        <v>1852.1</v>
      </c>
      <c r="O162" s="288">
        <f t="shared" si="21"/>
        <v>82201.399999999994</v>
      </c>
      <c r="P162" s="288">
        <f t="shared" si="21"/>
        <v>4786</v>
      </c>
      <c r="Q162" s="288">
        <f t="shared" si="21"/>
        <v>6495.3</v>
      </c>
      <c r="R162" s="288">
        <f t="shared" si="21"/>
        <v>0</v>
      </c>
      <c r="S162" s="288">
        <f t="shared" si="21"/>
        <v>7</v>
      </c>
      <c r="T162" s="288">
        <f t="shared" si="21"/>
        <v>14062.13</v>
      </c>
      <c r="U162" s="288">
        <f t="shared" si="21"/>
        <v>107544.82999999999</v>
      </c>
      <c r="V162" s="288">
        <f t="shared" si="21"/>
        <v>107544.82999999999</v>
      </c>
      <c r="W162" s="288">
        <f t="shared" si="21"/>
        <v>1288591.7999999998</v>
      </c>
      <c r="X162" s="288">
        <f t="shared" si="21"/>
        <v>1290537.96</v>
      </c>
      <c r="Y162" s="288">
        <f t="shared" si="21"/>
        <v>1292562.4799999997</v>
      </c>
      <c r="Z162" s="288">
        <f t="shared" si="21"/>
        <v>905865.99</v>
      </c>
      <c r="AA162" s="288">
        <f t="shared" si="21"/>
        <v>654895.46496000001</v>
      </c>
      <c r="AB162" s="288">
        <f t="shared" si="21"/>
        <v>696691.23964999989</v>
      </c>
      <c r="AC162" s="288">
        <f t="shared" si="21"/>
        <v>107268.15999999999</v>
      </c>
      <c r="AD162" s="288">
        <f t="shared" si="21"/>
        <v>84</v>
      </c>
      <c r="AE162" s="288">
        <f t="shared" si="21"/>
        <v>85250</v>
      </c>
      <c r="AF162" s="288">
        <f t="shared" si="21"/>
        <v>1372467.92</v>
      </c>
      <c r="AG162" s="288">
        <v>0</v>
      </c>
      <c r="AH162" s="288">
        <v>0</v>
      </c>
    </row>
    <row r="163" spans="1:34" s="193" customFormat="1" x14ac:dyDescent="0.3"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  <c r="AB163" s="285"/>
      <c r="AC163" s="285"/>
      <c r="AD163" s="285"/>
      <c r="AE163" s="285"/>
      <c r="AF163" s="301"/>
      <c r="AG163" s="285"/>
      <c r="AH163" s="285"/>
    </row>
    <row r="164" spans="1:34" x14ac:dyDescent="0.3">
      <c r="A164" s="192">
        <v>5830</v>
      </c>
      <c r="B164" s="192">
        <v>78</v>
      </c>
      <c r="C164" s="192">
        <v>1000</v>
      </c>
      <c r="D164" s="192" t="s">
        <v>1238</v>
      </c>
      <c r="E164" s="192">
        <v>2244315</v>
      </c>
      <c r="F164" s="192" t="s">
        <v>1143</v>
      </c>
      <c r="G164" s="290">
        <v>0.36</v>
      </c>
      <c r="H164" s="192">
        <v>1953.56</v>
      </c>
      <c r="I164" s="192">
        <v>127.32</v>
      </c>
      <c r="J164" s="192">
        <v>164.31</v>
      </c>
      <c r="K164" s="192">
        <v>0</v>
      </c>
      <c r="L164" s="192">
        <v>0</v>
      </c>
      <c r="M164" s="192">
        <v>0</v>
      </c>
      <c r="N164" s="192">
        <v>36.5</v>
      </c>
      <c r="O164" s="192">
        <v>2281.69</v>
      </c>
      <c r="P164" s="192">
        <v>0</v>
      </c>
      <c r="Q164" s="192">
        <v>0</v>
      </c>
      <c r="R164" s="192">
        <v>0</v>
      </c>
      <c r="S164" s="285">
        <v>0.36000000000000004</v>
      </c>
      <c r="T164" s="192">
        <v>28.59</v>
      </c>
      <c r="U164" s="291">
        <v>2310.2800000000002</v>
      </c>
      <c r="V164" s="291">
        <v>2310.2800000000002</v>
      </c>
      <c r="W164" s="292">
        <v>16832.16</v>
      </c>
      <c r="X164" s="292">
        <v>27723.360000000001</v>
      </c>
      <c r="Y164" s="292">
        <v>2360</v>
      </c>
      <c r="Z164" s="292">
        <v>34759</v>
      </c>
      <c r="AA164" s="290">
        <v>8241.8506499999985</v>
      </c>
      <c r="AB164" s="285">
        <v>8177.3982499999984</v>
      </c>
      <c r="AC164" s="290">
        <v>6710.15</v>
      </c>
      <c r="AD164" s="192">
        <v>12</v>
      </c>
      <c r="AE164" s="290">
        <v>6000</v>
      </c>
      <c r="AF164" s="194">
        <v>86521.799999999988</v>
      </c>
      <c r="AG164" s="192" t="s">
        <v>1239</v>
      </c>
    </row>
    <row r="165" spans="1:34" x14ac:dyDescent="0.3">
      <c r="A165" s="192">
        <v>5830</v>
      </c>
      <c r="B165" s="192">
        <v>78</v>
      </c>
      <c r="C165" s="192">
        <v>1000</v>
      </c>
      <c r="D165" s="192" t="s">
        <v>1238</v>
      </c>
      <c r="E165" s="192">
        <v>2371283</v>
      </c>
      <c r="F165" s="192" t="s">
        <v>1240</v>
      </c>
      <c r="G165" s="290">
        <v>1</v>
      </c>
      <c r="H165" s="192">
        <v>5727.11</v>
      </c>
      <c r="I165" s="192">
        <v>2323.48</v>
      </c>
      <c r="J165" s="192">
        <v>197.6</v>
      </c>
      <c r="K165" s="192">
        <v>0</v>
      </c>
      <c r="L165" s="192">
        <v>0</v>
      </c>
      <c r="M165" s="192">
        <v>0</v>
      </c>
      <c r="N165" s="192">
        <v>736.5</v>
      </c>
      <c r="O165" s="192">
        <v>8984.69</v>
      </c>
      <c r="P165" s="192">
        <v>426</v>
      </c>
      <c r="Q165" s="192">
        <v>673.85</v>
      </c>
      <c r="R165" s="192">
        <v>0</v>
      </c>
      <c r="S165" s="285">
        <v>1</v>
      </c>
      <c r="T165" s="192">
        <v>1626.34</v>
      </c>
      <c r="U165" s="291">
        <v>11710.88</v>
      </c>
      <c r="V165" s="291">
        <v>11710.88</v>
      </c>
      <c r="W165" s="292">
        <v>147922.32</v>
      </c>
      <c r="X165" s="292">
        <v>140530.56</v>
      </c>
      <c r="Y165" s="292">
        <v>144305</v>
      </c>
      <c r="Z165" s="292">
        <v>158044.56</v>
      </c>
      <c r="AA165" s="290">
        <v>162184.31261999998</v>
      </c>
      <c r="AB165" s="285">
        <v>160916.0091</v>
      </c>
      <c r="AC165" s="290">
        <v>12326.86</v>
      </c>
      <c r="AD165" s="192">
        <v>12</v>
      </c>
      <c r="AE165" s="290">
        <v>10000</v>
      </c>
      <c r="AF165" s="194">
        <v>157922.32</v>
      </c>
    </row>
    <row r="166" spans="1:34" x14ac:dyDescent="0.3">
      <c r="A166" s="192">
        <v>5830</v>
      </c>
      <c r="B166" s="192">
        <v>78</v>
      </c>
      <c r="C166" s="192">
        <v>1000</v>
      </c>
      <c r="D166" s="192" t="s">
        <v>1238</v>
      </c>
      <c r="E166" s="192">
        <v>2468106</v>
      </c>
      <c r="F166" s="192" t="s">
        <v>1241</v>
      </c>
      <c r="G166" s="290">
        <v>1</v>
      </c>
      <c r="H166" s="192">
        <v>6526.97</v>
      </c>
      <c r="I166" s="192">
        <v>2436.62</v>
      </c>
      <c r="J166" s="192">
        <v>197.6</v>
      </c>
      <c r="K166" s="192">
        <v>0</v>
      </c>
      <c r="L166" s="192">
        <v>0</v>
      </c>
      <c r="M166" s="192">
        <v>0</v>
      </c>
      <c r="N166" s="192">
        <v>736.5</v>
      </c>
      <c r="O166" s="192">
        <v>9897.69</v>
      </c>
      <c r="P166" s="192">
        <v>496</v>
      </c>
      <c r="Q166" s="192">
        <v>742.32</v>
      </c>
      <c r="R166" s="192">
        <v>0</v>
      </c>
      <c r="S166" s="285">
        <v>1</v>
      </c>
      <c r="T166" s="192">
        <v>1811.14</v>
      </c>
      <c r="U166" s="291">
        <v>12947.15</v>
      </c>
      <c r="V166" s="291">
        <v>12947.15</v>
      </c>
      <c r="W166" s="292">
        <v>150750</v>
      </c>
      <c r="X166" s="292">
        <v>155365.79999999999</v>
      </c>
      <c r="Y166" s="292">
        <v>152179.88</v>
      </c>
      <c r="Z166" s="292">
        <v>160807.48000000001</v>
      </c>
      <c r="AA166" s="290">
        <v>164173.91462999998</v>
      </c>
      <c r="AB166" s="285">
        <v>162890.05214999997</v>
      </c>
      <c r="AC166" s="290">
        <v>12562.5</v>
      </c>
      <c r="AD166" s="192">
        <v>12</v>
      </c>
      <c r="AE166" s="290">
        <v>10000</v>
      </c>
      <c r="AF166" s="194">
        <v>160750</v>
      </c>
    </row>
    <row r="167" spans="1:34" x14ac:dyDescent="0.3">
      <c r="A167" s="192">
        <v>5830</v>
      </c>
      <c r="B167" s="192">
        <v>78</v>
      </c>
      <c r="C167" s="192">
        <v>1000</v>
      </c>
      <c r="D167" s="192" t="s">
        <v>1238</v>
      </c>
      <c r="E167" s="192">
        <v>3633957</v>
      </c>
      <c r="F167" s="192" t="s">
        <v>1242</v>
      </c>
      <c r="G167" s="290">
        <v>1</v>
      </c>
      <c r="H167" s="192">
        <v>5451.84</v>
      </c>
      <c r="I167" s="192">
        <v>1978.14</v>
      </c>
      <c r="J167" s="192">
        <v>191.53</v>
      </c>
      <c r="K167" s="192">
        <v>0</v>
      </c>
      <c r="L167" s="192">
        <v>0</v>
      </c>
      <c r="M167" s="192">
        <v>0</v>
      </c>
      <c r="N167" s="192">
        <v>736.5</v>
      </c>
      <c r="O167" s="192">
        <v>8358.01</v>
      </c>
      <c r="P167" s="192">
        <v>390</v>
      </c>
      <c r="Q167" s="192">
        <v>638.1</v>
      </c>
      <c r="R167" s="192">
        <v>0</v>
      </c>
      <c r="S167" s="285">
        <v>1</v>
      </c>
      <c r="T167" s="192">
        <v>1036.31</v>
      </c>
      <c r="U167" s="291">
        <v>10422.42</v>
      </c>
      <c r="V167" s="291">
        <v>10422.42</v>
      </c>
      <c r="W167" s="292">
        <v>122038.44</v>
      </c>
      <c r="X167" s="292">
        <v>125069.04000000001</v>
      </c>
      <c r="Y167" s="292">
        <v>122897.4</v>
      </c>
      <c r="Z167" s="292">
        <v>59881.71</v>
      </c>
      <c r="AA167" s="290">
        <v>61561.705259999995</v>
      </c>
      <c r="AB167" s="285">
        <v>134537.91</v>
      </c>
      <c r="AC167" s="290">
        <v>10169.870000000001</v>
      </c>
      <c r="AD167" s="192">
        <v>12</v>
      </c>
      <c r="AE167" s="290">
        <v>10000</v>
      </c>
      <c r="AF167" s="194">
        <v>132038.44</v>
      </c>
    </row>
    <row r="168" spans="1:34" x14ac:dyDescent="0.3">
      <c r="A168" s="192">
        <v>5830</v>
      </c>
      <c r="B168" s="192">
        <v>78</v>
      </c>
      <c r="C168" s="192">
        <v>1000</v>
      </c>
      <c r="D168" s="192" t="s">
        <v>1238</v>
      </c>
      <c r="E168" s="192">
        <v>5268120</v>
      </c>
      <c r="F168" s="192" t="s">
        <v>1243</v>
      </c>
      <c r="G168" s="290">
        <v>1</v>
      </c>
      <c r="H168" s="192">
        <v>5554.49</v>
      </c>
      <c r="I168" s="192">
        <v>363.8</v>
      </c>
      <c r="J168" s="192">
        <v>197.6</v>
      </c>
      <c r="K168" s="192">
        <v>0</v>
      </c>
      <c r="L168" s="192">
        <v>0</v>
      </c>
      <c r="M168" s="192">
        <v>0</v>
      </c>
      <c r="N168" s="192">
        <v>223.5</v>
      </c>
      <c r="O168" s="192">
        <v>6339.39</v>
      </c>
      <c r="P168" s="192">
        <v>245</v>
      </c>
      <c r="Q168" s="192">
        <v>494.21</v>
      </c>
      <c r="R168" s="192">
        <v>0</v>
      </c>
      <c r="S168" s="285">
        <v>1</v>
      </c>
      <c r="T168" s="192">
        <v>1291</v>
      </c>
      <c r="U168" s="291">
        <v>8369.6</v>
      </c>
      <c r="V168" s="291">
        <v>8369.6</v>
      </c>
      <c r="W168" s="292">
        <v>101008.20000000001</v>
      </c>
      <c r="X168" s="292">
        <v>100435.20000000001</v>
      </c>
      <c r="Y168" s="292">
        <v>100040.32000000001</v>
      </c>
      <c r="Z168" s="292">
        <v>98256.1</v>
      </c>
      <c r="AA168" s="290">
        <v>100461.52578</v>
      </c>
      <c r="AB168" s="285">
        <v>99675.902899999986</v>
      </c>
      <c r="AC168" s="290">
        <v>8417.35</v>
      </c>
      <c r="AD168" s="192">
        <v>12</v>
      </c>
      <c r="AE168" s="290">
        <v>10000</v>
      </c>
      <c r="AF168" s="194">
        <v>111008.20000000001</v>
      </c>
    </row>
    <row r="169" spans="1:34" x14ac:dyDescent="0.3">
      <c r="A169" s="192">
        <v>5830</v>
      </c>
      <c r="B169" s="192">
        <v>78</v>
      </c>
      <c r="C169" s="192">
        <v>1000</v>
      </c>
      <c r="D169" s="192" t="s">
        <v>1238</v>
      </c>
      <c r="E169" s="192">
        <v>5716916</v>
      </c>
      <c r="F169" s="192" t="s">
        <v>1244</v>
      </c>
      <c r="G169" s="290">
        <v>1</v>
      </c>
      <c r="H169" s="192">
        <v>11385.6</v>
      </c>
      <c r="I169" s="192">
        <v>3021.23</v>
      </c>
      <c r="J169" s="192">
        <v>48.6</v>
      </c>
      <c r="K169" s="192">
        <v>0</v>
      </c>
      <c r="L169" s="192">
        <v>0</v>
      </c>
      <c r="M169" s="192">
        <v>0</v>
      </c>
      <c r="N169" s="192">
        <v>36.5</v>
      </c>
      <c r="O169" s="192">
        <v>14491.93</v>
      </c>
      <c r="P169" s="192">
        <v>1061</v>
      </c>
      <c r="Q169" s="192">
        <v>1300.49</v>
      </c>
      <c r="R169" s="192">
        <v>0</v>
      </c>
      <c r="S169" s="285">
        <v>1</v>
      </c>
      <c r="T169" s="192">
        <v>1531.95</v>
      </c>
      <c r="U169" s="291">
        <v>18385.37</v>
      </c>
      <c r="V169" s="291">
        <v>18385.37</v>
      </c>
      <c r="W169" s="292">
        <v>220624.44</v>
      </c>
      <c r="X169" s="292">
        <v>220624.44</v>
      </c>
      <c r="Y169" s="292">
        <v>218533.56</v>
      </c>
      <c r="Z169" s="292">
        <v>238156.64</v>
      </c>
      <c r="AA169" s="290">
        <v>243416.03681999998</v>
      </c>
      <c r="AB169" s="285">
        <v>259548.49009999997</v>
      </c>
      <c r="AC169" s="290">
        <v>18385.37</v>
      </c>
      <c r="AD169" s="192">
        <v>12</v>
      </c>
      <c r="AE169" s="290">
        <v>10000</v>
      </c>
      <c r="AF169" s="194">
        <v>230624.44</v>
      </c>
    </row>
    <row r="170" spans="1:34" s="196" customFormat="1" x14ac:dyDescent="0.3">
      <c r="G170" s="288">
        <f>SUM(G164:G169)</f>
        <v>5.3599999999999994</v>
      </c>
      <c r="H170" s="288">
        <f t="shared" ref="H170:AE170" si="22">SUM(H164:H169)</f>
        <v>36599.57</v>
      </c>
      <c r="I170" s="288">
        <f t="shared" si="22"/>
        <v>10250.59</v>
      </c>
      <c r="J170" s="288">
        <f t="shared" si="22"/>
        <v>997.24</v>
      </c>
      <c r="K170" s="288">
        <f t="shared" si="22"/>
        <v>0</v>
      </c>
      <c r="L170" s="288">
        <f t="shared" si="22"/>
        <v>0</v>
      </c>
      <c r="M170" s="288">
        <f t="shared" si="22"/>
        <v>0</v>
      </c>
      <c r="N170" s="288">
        <f t="shared" si="22"/>
        <v>2506</v>
      </c>
      <c r="O170" s="288">
        <f t="shared" si="22"/>
        <v>50353.4</v>
      </c>
      <c r="P170" s="288">
        <f t="shared" si="22"/>
        <v>2618</v>
      </c>
      <c r="Q170" s="288">
        <f t="shared" si="22"/>
        <v>3848.9700000000003</v>
      </c>
      <c r="R170" s="288">
        <f t="shared" si="22"/>
        <v>0</v>
      </c>
      <c r="S170" s="288">
        <f t="shared" si="22"/>
        <v>5.36</v>
      </c>
      <c r="T170" s="288">
        <f t="shared" si="22"/>
        <v>7325.329999999999</v>
      </c>
      <c r="U170" s="288">
        <f t="shared" si="22"/>
        <v>64145.7</v>
      </c>
      <c r="V170" s="288">
        <f t="shared" si="22"/>
        <v>64145.7</v>
      </c>
      <c r="W170" s="288">
        <f t="shared" si="22"/>
        <v>759175.56</v>
      </c>
      <c r="X170" s="288">
        <f t="shared" si="22"/>
        <v>769748.39999999991</v>
      </c>
      <c r="Y170" s="288">
        <f t="shared" si="22"/>
        <v>740316.16000000003</v>
      </c>
      <c r="Z170" s="288">
        <f t="shared" si="22"/>
        <v>749905.49000000011</v>
      </c>
      <c r="AA170" s="288">
        <f t="shared" si="22"/>
        <v>740039.34575999994</v>
      </c>
      <c r="AB170" s="288">
        <f t="shared" si="22"/>
        <v>825745.76249999995</v>
      </c>
      <c r="AC170" s="288">
        <f t="shared" si="22"/>
        <v>68572.100000000006</v>
      </c>
      <c r="AD170" s="288">
        <f t="shared" si="22"/>
        <v>72</v>
      </c>
      <c r="AE170" s="288">
        <f t="shared" si="22"/>
        <v>56000</v>
      </c>
      <c r="AF170" s="288">
        <f>SUM(AF164:AF169)</f>
        <v>878865.2</v>
      </c>
      <c r="AG170" s="288" t="s">
        <v>1245</v>
      </c>
      <c r="AH170" s="288">
        <v>0</v>
      </c>
    </row>
    <row r="171" spans="1:34" s="193" customFormat="1" x14ac:dyDescent="0.3"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  <c r="AB171" s="285"/>
      <c r="AC171" s="285"/>
      <c r="AD171" s="285"/>
      <c r="AE171" s="285"/>
      <c r="AF171" s="301"/>
      <c r="AG171" s="285"/>
      <c r="AH171" s="285"/>
    </row>
    <row r="172" spans="1:34" x14ac:dyDescent="0.3">
      <c r="A172" s="192">
        <v>5832</v>
      </c>
      <c r="B172" s="192">
        <v>81</v>
      </c>
      <c r="C172" s="192">
        <v>1000</v>
      </c>
      <c r="D172" s="192" t="s">
        <v>1089</v>
      </c>
      <c r="E172" s="192">
        <v>2528055</v>
      </c>
      <c r="F172" s="192" t="s">
        <v>1246</v>
      </c>
      <c r="G172" s="290">
        <v>1</v>
      </c>
      <c r="H172" s="192">
        <v>6905.51</v>
      </c>
      <c r="I172" s="192">
        <v>421.6</v>
      </c>
      <c r="J172" s="192">
        <v>197.6</v>
      </c>
      <c r="K172" s="192">
        <v>1436.04</v>
      </c>
      <c r="L172" s="192">
        <v>0</v>
      </c>
      <c r="M172" s="192">
        <v>0</v>
      </c>
      <c r="N172" s="192">
        <v>36.5</v>
      </c>
      <c r="O172" s="192">
        <v>8997.25</v>
      </c>
      <c r="P172" s="192">
        <v>449</v>
      </c>
      <c r="Q172" s="192">
        <v>696.2</v>
      </c>
      <c r="R172" s="192">
        <v>0</v>
      </c>
      <c r="S172" s="285">
        <v>1</v>
      </c>
      <c r="T172" s="192">
        <v>767.61</v>
      </c>
      <c r="U172" s="291">
        <v>10910.06</v>
      </c>
      <c r="V172" s="291">
        <v>10910.06</v>
      </c>
      <c r="W172" s="292">
        <v>133126.20000000001</v>
      </c>
      <c r="X172" s="292">
        <v>130920.72</v>
      </c>
      <c r="Y172" s="292">
        <v>132701</v>
      </c>
      <c r="Z172" s="292">
        <v>144086.32999999999</v>
      </c>
      <c r="AA172" s="290">
        <v>151486.44356999997</v>
      </c>
      <c r="AB172" s="285">
        <v>150301.79884999999</v>
      </c>
      <c r="AC172" s="290">
        <v>11093.85</v>
      </c>
      <c r="AD172" s="192">
        <v>12</v>
      </c>
      <c r="AE172" s="290">
        <v>10000</v>
      </c>
      <c r="AF172" s="194">
        <v>143126.20000000001</v>
      </c>
    </row>
    <row r="173" spans="1:34" s="193" customFormat="1" x14ac:dyDescent="0.3">
      <c r="A173" s="193">
        <v>5832</v>
      </c>
      <c r="B173" s="193">
        <v>81</v>
      </c>
      <c r="C173" s="193">
        <v>1000</v>
      </c>
      <c r="D173" s="193" t="s">
        <v>1089</v>
      </c>
      <c r="E173" s="193">
        <v>2885775</v>
      </c>
      <c r="F173" s="193" t="s">
        <v>1247</v>
      </c>
      <c r="G173" s="285">
        <v>1</v>
      </c>
      <c r="H173" s="193">
        <v>6680.81</v>
      </c>
      <c r="I173" s="193">
        <v>398.14</v>
      </c>
      <c r="J173" s="193">
        <v>197.6</v>
      </c>
      <c r="K173" s="193">
        <v>0</v>
      </c>
      <c r="L173" s="193">
        <v>0</v>
      </c>
      <c r="M173" s="193">
        <v>0</v>
      </c>
      <c r="N173" s="193">
        <v>36.5</v>
      </c>
      <c r="O173" s="193">
        <v>7313.05</v>
      </c>
      <c r="P173" s="193">
        <v>299</v>
      </c>
      <c r="Q173" s="193">
        <v>548.48</v>
      </c>
      <c r="R173" s="193">
        <v>0</v>
      </c>
      <c r="S173" s="285">
        <v>0</v>
      </c>
      <c r="T173" s="193">
        <v>574.49</v>
      </c>
      <c r="U173" s="286">
        <v>8735.02</v>
      </c>
      <c r="V173" s="286">
        <v>8735.02</v>
      </c>
      <c r="W173" s="287">
        <v>0</v>
      </c>
      <c r="X173" s="287">
        <v>0</v>
      </c>
      <c r="Y173" s="287">
        <v>55214.8</v>
      </c>
      <c r="Z173" s="287">
        <v>33032.870000000003</v>
      </c>
      <c r="AA173" s="285">
        <v>34113.234210000002</v>
      </c>
      <c r="AB173" s="285">
        <v>125000</v>
      </c>
      <c r="AC173" s="285">
        <v>5068.68</v>
      </c>
      <c r="AE173" s="285"/>
      <c r="AF173" s="194">
        <v>0</v>
      </c>
      <c r="AG173" s="193" t="s">
        <v>1248</v>
      </c>
    </row>
    <row r="174" spans="1:34" x14ac:dyDescent="0.3">
      <c r="A174" s="192">
        <v>5832</v>
      </c>
      <c r="B174" s="192">
        <v>81</v>
      </c>
      <c r="C174" s="192">
        <v>1000</v>
      </c>
      <c r="D174" s="192" t="s">
        <v>1089</v>
      </c>
      <c r="E174" s="192">
        <v>2887922</v>
      </c>
      <c r="F174" s="192" t="s">
        <v>1090</v>
      </c>
      <c r="G174" s="290">
        <v>1</v>
      </c>
      <c r="H174" s="192">
        <v>6042.53</v>
      </c>
      <c r="I174" s="192">
        <v>388.31</v>
      </c>
      <c r="J174" s="192">
        <v>741.6</v>
      </c>
      <c r="K174" s="192">
        <v>0</v>
      </c>
      <c r="L174" s="192">
        <v>0</v>
      </c>
      <c r="M174" s="192">
        <v>0</v>
      </c>
      <c r="N174" s="192">
        <v>36.5</v>
      </c>
      <c r="O174" s="192">
        <v>7208.94</v>
      </c>
      <c r="P174" s="192">
        <v>294</v>
      </c>
      <c r="Q174" s="192">
        <v>543.35</v>
      </c>
      <c r="R174" s="192">
        <v>0</v>
      </c>
      <c r="S174" s="285">
        <v>0</v>
      </c>
      <c r="T174" s="192">
        <v>550.49</v>
      </c>
      <c r="U174" s="291">
        <v>8596.7800000000007</v>
      </c>
      <c r="V174" s="291">
        <v>8596.7800000000007</v>
      </c>
      <c r="W174" s="292">
        <v>105403.32</v>
      </c>
      <c r="X174" s="292">
        <v>0</v>
      </c>
      <c r="Y174" s="292">
        <v>104285.19999999998</v>
      </c>
      <c r="Z174" s="292">
        <v>112029.83</v>
      </c>
      <c r="AA174" s="290">
        <v>114751.81277999998</v>
      </c>
      <c r="AB174" s="285">
        <v>0</v>
      </c>
      <c r="AC174" s="290"/>
      <c r="AE174" s="290"/>
      <c r="AF174" s="194">
        <v>0</v>
      </c>
      <c r="AG174" s="192" t="s">
        <v>1091</v>
      </c>
    </row>
    <row r="175" spans="1:34" x14ac:dyDescent="0.3">
      <c r="A175" s="192">
        <v>5832</v>
      </c>
      <c r="B175" s="192">
        <v>81</v>
      </c>
      <c r="C175" s="192">
        <v>1000</v>
      </c>
      <c r="D175" s="192" t="s">
        <v>1089</v>
      </c>
      <c r="E175" s="192">
        <v>2889056</v>
      </c>
      <c r="F175" s="192" t="s">
        <v>1249</v>
      </c>
      <c r="G175" s="290">
        <v>1</v>
      </c>
      <c r="H175" s="192">
        <v>7804.5</v>
      </c>
      <c r="I175" s="192">
        <v>563.04</v>
      </c>
      <c r="J175" s="192">
        <v>173.3</v>
      </c>
      <c r="K175" s="192">
        <v>1062.18</v>
      </c>
      <c r="L175" s="192">
        <v>0</v>
      </c>
      <c r="M175" s="192">
        <v>0</v>
      </c>
      <c r="N175" s="192">
        <v>36.5</v>
      </c>
      <c r="O175" s="192">
        <v>9639.52</v>
      </c>
      <c r="P175" s="192">
        <v>496</v>
      </c>
      <c r="Q175" s="192">
        <v>741.71</v>
      </c>
      <c r="R175" s="192">
        <v>0</v>
      </c>
      <c r="S175" s="285">
        <v>1</v>
      </c>
      <c r="T175" s="192">
        <v>1848.35</v>
      </c>
      <c r="U175" s="291">
        <v>12725.58</v>
      </c>
      <c r="V175" s="291">
        <v>12725.58</v>
      </c>
      <c r="W175" s="292">
        <v>166388.51999999999</v>
      </c>
      <c r="X175" s="292">
        <v>152706.96</v>
      </c>
      <c r="Y175" s="292">
        <v>158866.72</v>
      </c>
      <c r="Z175" s="292">
        <v>163484.26</v>
      </c>
      <c r="AA175" s="290">
        <v>167540.60762999998</v>
      </c>
      <c r="AB175" s="285">
        <v>166230.41714999999</v>
      </c>
      <c r="AC175" s="290">
        <v>13865.71</v>
      </c>
      <c r="AD175" s="192">
        <v>12</v>
      </c>
      <c r="AE175" s="290">
        <v>10000</v>
      </c>
      <c r="AF175" s="194">
        <v>176388.52</v>
      </c>
    </row>
    <row r="176" spans="1:34" x14ac:dyDescent="0.3">
      <c r="A176" s="192">
        <v>5832</v>
      </c>
      <c r="B176" s="192">
        <v>81</v>
      </c>
      <c r="C176" s="192">
        <v>1000</v>
      </c>
      <c r="D176" s="192" t="s">
        <v>1089</v>
      </c>
      <c r="E176" s="192">
        <v>2908886</v>
      </c>
      <c r="F176" s="192" t="s">
        <v>1250</v>
      </c>
      <c r="G176" s="290">
        <v>1</v>
      </c>
      <c r="H176" s="192">
        <v>20094</v>
      </c>
      <c r="I176" s="192">
        <v>0</v>
      </c>
      <c r="J176" s="192">
        <v>149</v>
      </c>
      <c r="K176" s="192">
        <v>1115.77</v>
      </c>
      <c r="L176" s="192">
        <v>0</v>
      </c>
      <c r="M176" s="192">
        <v>0</v>
      </c>
      <c r="N176" s="192">
        <v>751.65</v>
      </c>
      <c r="O176" s="192">
        <v>22110.42</v>
      </c>
      <c r="P176" s="192">
        <v>0</v>
      </c>
      <c r="Q176" s="192">
        <v>0</v>
      </c>
      <c r="R176" s="192">
        <v>0</v>
      </c>
      <c r="S176" s="285">
        <v>1</v>
      </c>
      <c r="T176" s="192">
        <v>0</v>
      </c>
      <c r="U176" s="291">
        <v>22110.42</v>
      </c>
      <c r="V176" s="291">
        <v>22110.42</v>
      </c>
      <c r="W176" s="292">
        <v>263537.03999999998</v>
      </c>
      <c r="X176" s="292">
        <v>265325.03999999998</v>
      </c>
      <c r="Y176" s="292">
        <v>265325.03999999998</v>
      </c>
      <c r="Z176" s="292">
        <v>341326.53</v>
      </c>
      <c r="AA176" s="290">
        <v>350251.07766000001</v>
      </c>
      <c r="AB176" s="285">
        <v>347512.06630000001</v>
      </c>
      <c r="AC176" s="290">
        <v>27125.33</v>
      </c>
      <c r="AD176" s="192">
        <v>12</v>
      </c>
      <c r="AE176" s="290">
        <v>10000</v>
      </c>
      <c r="AF176" s="194">
        <v>335503.96000000002</v>
      </c>
    </row>
    <row r="177" spans="1:34" x14ac:dyDescent="0.3">
      <c r="A177" s="192">
        <v>5832</v>
      </c>
      <c r="B177" s="192">
        <v>81</v>
      </c>
      <c r="C177" s="192">
        <v>1000</v>
      </c>
      <c r="D177" s="192" t="s">
        <v>1089</v>
      </c>
      <c r="E177" s="192">
        <v>3469330</v>
      </c>
      <c r="F177" s="192" t="s">
        <v>1251</v>
      </c>
      <c r="G177" s="290">
        <v>0</v>
      </c>
      <c r="H177" s="192">
        <v>3166.94</v>
      </c>
      <c r="I177" s="192">
        <v>0</v>
      </c>
      <c r="J177" s="192">
        <v>72.099999999999994</v>
      </c>
      <c r="K177" s="192">
        <v>0</v>
      </c>
      <c r="L177" s="192">
        <v>0</v>
      </c>
      <c r="M177" s="192">
        <v>0</v>
      </c>
      <c r="N177" s="192">
        <v>0</v>
      </c>
      <c r="O177" s="192">
        <v>3239.04</v>
      </c>
      <c r="P177" s="192">
        <v>115</v>
      </c>
      <c r="Q177" s="192">
        <v>242.93</v>
      </c>
      <c r="R177" s="192">
        <v>0</v>
      </c>
      <c r="S177" s="285">
        <v>0</v>
      </c>
      <c r="T177" s="192">
        <v>427.54</v>
      </c>
      <c r="U177" s="291">
        <v>4024.51</v>
      </c>
      <c r="V177" s="291">
        <v>4024.51</v>
      </c>
      <c r="W177" s="292">
        <v>207012.36</v>
      </c>
      <c r="X177" s="292">
        <v>48294.12</v>
      </c>
      <c r="Y177" s="292">
        <v>117105.56</v>
      </c>
      <c r="Z177" s="292">
        <v>1823.07</v>
      </c>
      <c r="AA177" s="290">
        <v>0</v>
      </c>
      <c r="AB177" s="285">
        <v>0</v>
      </c>
      <c r="AC177" s="290">
        <v>9500</v>
      </c>
      <c r="AD177" s="192">
        <v>12</v>
      </c>
      <c r="AE177" s="290">
        <v>10000</v>
      </c>
      <c r="AF177" s="194">
        <v>124000</v>
      </c>
      <c r="AG177" s="192" t="s">
        <v>1252</v>
      </c>
    </row>
    <row r="178" spans="1:34" x14ac:dyDescent="0.3">
      <c r="A178" s="192">
        <v>5832</v>
      </c>
      <c r="B178" s="192">
        <v>81</v>
      </c>
      <c r="C178" s="192">
        <v>1000</v>
      </c>
      <c r="D178" s="192" t="s">
        <v>1089</v>
      </c>
      <c r="E178" s="192">
        <v>3827821</v>
      </c>
      <c r="F178" s="192" t="s">
        <v>1253</v>
      </c>
      <c r="G178" s="290">
        <v>0.5</v>
      </c>
      <c r="H178" s="192">
        <v>4124.41</v>
      </c>
      <c r="I178" s="192">
        <v>292.10000000000002</v>
      </c>
      <c r="J178" s="192">
        <v>161.15</v>
      </c>
      <c r="K178" s="192">
        <v>755.74</v>
      </c>
      <c r="L178" s="192">
        <v>0</v>
      </c>
      <c r="M178" s="192">
        <v>0</v>
      </c>
      <c r="N178" s="192">
        <v>0</v>
      </c>
      <c r="O178" s="192">
        <v>5333.4</v>
      </c>
      <c r="P178" s="192">
        <v>195</v>
      </c>
      <c r="Q178" s="192">
        <v>411.25</v>
      </c>
      <c r="R178" s="192">
        <v>0</v>
      </c>
      <c r="S178" s="285">
        <v>0.5</v>
      </c>
      <c r="T178" s="192">
        <v>960.62</v>
      </c>
      <c r="U178" s="291">
        <v>6900.27</v>
      </c>
      <c r="V178" s="291">
        <v>6900.27</v>
      </c>
      <c r="W178" s="292">
        <v>89993.040000000008</v>
      </c>
      <c r="X178" s="292">
        <v>82803.240000000005</v>
      </c>
      <c r="Y178" s="292">
        <v>85999.64</v>
      </c>
      <c r="Z178" s="292">
        <v>0</v>
      </c>
      <c r="AA178" s="290">
        <v>0</v>
      </c>
      <c r="AB178" s="285">
        <v>0</v>
      </c>
      <c r="AC178" s="290">
        <v>7499.42</v>
      </c>
      <c r="AD178" s="192">
        <v>12</v>
      </c>
      <c r="AE178" s="290">
        <v>10000</v>
      </c>
      <c r="AF178" s="194">
        <v>99993.040000000008</v>
      </c>
      <c r="AG178" s="192" t="s">
        <v>1254</v>
      </c>
    </row>
    <row r="179" spans="1:34" x14ac:dyDescent="0.3">
      <c r="A179" s="192">
        <v>5832</v>
      </c>
      <c r="B179" s="192">
        <v>81</v>
      </c>
      <c r="C179" s="192">
        <v>1000</v>
      </c>
      <c r="D179" s="192" t="s">
        <v>1089</v>
      </c>
      <c r="E179" s="192">
        <v>5324353</v>
      </c>
      <c r="F179" s="192" t="s">
        <v>1255</v>
      </c>
      <c r="G179" s="290">
        <v>1</v>
      </c>
      <c r="H179" s="192">
        <v>11044.36</v>
      </c>
      <c r="I179" s="192">
        <v>698.43</v>
      </c>
      <c r="J179" s="192">
        <v>483.3</v>
      </c>
      <c r="K179" s="192">
        <v>4106.32</v>
      </c>
      <c r="L179" s="192">
        <v>0</v>
      </c>
      <c r="M179" s="192">
        <v>0</v>
      </c>
      <c r="N179" s="192">
        <v>37</v>
      </c>
      <c r="O179" s="192">
        <v>16369.41</v>
      </c>
      <c r="P179" s="192">
        <v>1007</v>
      </c>
      <c r="Q179" s="192">
        <v>1246.46</v>
      </c>
      <c r="R179" s="192">
        <v>0</v>
      </c>
      <c r="S179" s="285">
        <v>0.58333333333333337</v>
      </c>
      <c r="T179" s="192">
        <v>2718.8</v>
      </c>
      <c r="U179" s="291">
        <v>21341.67</v>
      </c>
      <c r="V179" s="291">
        <v>21341.67</v>
      </c>
      <c r="W179" s="292">
        <v>224677.32</v>
      </c>
      <c r="X179" s="292">
        <v>149391.69</v>
      </c>
      <c r="Y179" s="292">
        <v>236895.88</v>
      </c>
      <c r="Z179" s="292">
        <v>246619.71</v>
      </c>
      <c r="AA179" s="290">
        <v>252270.18365999998</v>
      </c>
      <c r="AB179" s="285">
        <v>125148.69815</v>
      </c>
      <c r="AC179" s="290">
        <v>18723.11</v>
      </c>
      <c r="AD179" s="192">
        <v>7</v>
      </c>
      <c r="AE179" s="290">
        <v>10000</v>
      </c>
      <c r="AF179" s="194">
        <v>141061.77000000002</v>
      </c>
      <c r="AG179" s="192" t="s">
        <v>1256</v>
      </c>
    </row>
    <row r="180" spans="1:34" s="207" customFormat="1" x14ac:dyDescent="0.3">
      <c r="A180" s="207">
        <v>5832</v>
      </c>
      <c r="B180" s="207">
        <v>81</v>
      </c>
      <c r="C180" s="207">
        <v>1000</v>
      </c>
      <c r="D180" s="207" t="s">
        <v>1089</v>
      </c>
      <c r="E180" s="207">
        <v>5593761</v>
      </c>
      <c r="F180" s="207" t="s">
        <v>1257</v>
      </c>
      <c r="G180" s="305">
        <v>0.85</v>
      </c>
      <c r="H180" s="207">
        <v>5686.71</v>
      </c>
      <c r="I180" s="207">
        <v>329.05</v>
      </c>
      <c r="J180" s="207">
        <v>190.31</v>
      </c>
      <c r="K180" s="207">
        <v>0</v>
      </c>
      <c r="L180" s="207">
        <v>0</v>
      </c>
      <c r="M180" s="207">
        <v>0</v>
      </c>
      <c r="N180" s="207">
        <v>274.5</v>
      </c>
      <c r="O180" s="207">
        <v>6480.57</v>
      </c>
      <c r="P180" s="207">
        <v>237</v>
      </c>
      <c r="Q180" s="207">
        <v>486.82</v>
      </c>
      <c r="R180" s="207">
        <v>0</v>
      </c>
      <c r="S180" s="285">
        <v>0.35416666666666669</v>
      </c>
      <c r="T180" s="207">
        <v>613.5</v>
      </c>
      <c r="U180" s="306">
        <v>7817.89</v>
      </c>
      <c r="V180" s="306">
        <v>7817.89</v>
      </c>
      <c r="W180" s="307">
        <v>92387.28</v>
      </c>
      <c r="X180" s="307">
        <v>39089.450000000004</v>
      </c>
      <c r="Y180" s="307">
        <v>93167.88</v>
      </c>
      <c r="Z180" s="307">
        <v>102546.13</v>
      </c>
      <c r="AA180" s="305">
        <v>104904.69098999997</v>
      </c>
      <c r="AB180" s="305">
        <v>104084.32194999998</v>
      </c>
      <c r="AC180" s="305">
        <v>7698.94</v>
      </c>
      <c r="AD180" s="207">
        <v>5</v>
      </c>
      <c r="AE180" s="305">
        <v>10000</v>
      </c>
      <c r="AF180" s="208">
        <v>48494.7</v>
      </c>
      <c r="AG180" s="207" t="s">
        <v>1258</v>
      </c>
    </row>
    <row r="181" spans="1:34" s="193" customFormat="1" x14ac:dyDescent="0.3">
      <c r="A181" s="193">
        <v>5832</v>
      </c>
      <c r="B181" s="193">
        <v>81</v>
      </c>
      <c r="C181" s="193">
        <v>1000</v>
      </c>
      <c r="D181" s="193" t="s">
        <v>1089</v>
      </c>
      <c r="E181" s="193">
        <v>6801655</v>
      </c>
      <c r="F181" s="193" t="s">
        <v>1259</v>
      </c>
      <c r="G181" s="285">
        <v>1</v>
      </c>
      <c r="H181" s="193">
        <v>9027.75</v>
      </c>
      <c r="I181" s="193">
        <v>1433.34</v>
      </c>
      <c r="J181" s="193">
        <v>173.3</v>
      </c>
      <c r="K181" s="193">
        <v>2538.27</v>
      </c>
      <c r="L181" s="193">
        <v>0</v>
      </c>
      <c r="M181" s="193">
        <v>0</v>
      </c>
      <c r="N181" s="193">
        <v>36.5</v>
      </c>
      <c r="O181" s="193">
        <v>13209.16</v>
      </c>
      <c r="P181" s="193">
        <v>778</v>
      </c>
      <c r="Q181" s="193">
        <v>1020.57</v>
      </c>
      <c r="R181" s="193">
        <v>0</v>
      </c>
      <c r="S181" s="285">
        <v>1</v>
      </c>
      <c r="T181" s="193">
        <v>1001.13</v>
      </c>
      <c r="U181" s="286">
        <v>16008.86</v>
      </c>
      <c r="V181" s="286">
        <v>16008.86</v>
      </c>
      <c r="W181" s="287">
        <v>189543.84</v>
      </c>
      <c r="X181" s="287">
        <v>192106.32</v>
      </c>
      <c r="Y181" s="287">
        <v>188774.92</v>
      </c>
      <c r="Z181" s="287">
        <v>203042.07</v>
      </c>
      <c r="AA181" s="285">
        <v>207712.67186999999</v>
      </c>
      <c r="AB181" s="285">
        <v>206088.33034999997</v>
      </c>
      <c r="AC181" s="285">
        <v>15795.32</v>
      </c>
      <c r="AD181" s="193">
        <v>12</v>
      </c>
      <c r="AE181" s="285">
        <v>10000</v>
      </c>
      <c r="AF181" s="194">
        <v>199543.84</v>
      </c>
    </row>
    <row r="182" spans="1:34" x14ac:dyDescent="0.3">
      <c r="A182" s="192">
        <v>5832</v>
      </c>
      <c r="B182" s="192">
        <v>81</v>
      </c>
      <c r="C182" s="192">
        <v>1000</v>
      </c>
      <c r="D182" s="192" t="s">
        <v>1089</v>
      </c>
      <c r="E182" s="192">
        <v>30549007</v>
      </c>
      <c r="F182" s="192" t="s">
        <v>1260</v>
      </c>
      <c r="G182" s="290">
        <v>1</v>
      </c>
      <c r="H182" s="192">
        <v>5639.13</v>
      </c>
      <c r="I182" s="192">
        <v>361.5</v>
      </c>
      <c r="J182" s="192">
        <v>197.6</v>
      </c>
      <c r="K182" s="192">
        <v>0</v>
      </c>
      <c r="L182" s="192">
        <v>0</v>
      </c>
      <c r="M182" s="192">
        <v>0</v>
      </c>
      <c r="N182" s="192">
        <v>567.5</v>
      </c>
      <c r="O182" s="192">
        <v>6765.73</v>
      </c>
      <c r="P182" s="192">
        <v>258</v>
      </c>
      <c r="Q182" s="192">
        <v>507.43</v>
      </c>
      <c r="R182" s="192">
        <v>0</v>
      </c>
      <c r="S182" s="285">
        <v>1</v>
      </c>
      <c r="T182" s="192">
        <v>1287.68</v>
      </c>
      <c r="U182" s="291">
        <v>8818.84</v>
      </c>
      <c r="V182" s="291">
        <v>8818.84</v>
      </c>
      <c r="W182" s="292">
        <v>104091.84</v>
      </c>
      <c r="X182" s="292">
        <v>105826.08</v>
      </c>
      <c r="Y182" s="292">
        <v>103683.72</v>
      </c>
      <c r="Z182" s="292">
        <v>21929.17</v>
      </c>
      <c r="AA182" s="290">
        <v>0</v>
      </c>
      <c r="AB182" s="285">
        <v>60135.28884999999</v>
      </c>
      <c r="AC182" s="290">
        <v>8674.32</v>
      </c>
      <c r="AD182" s="192">
        <v>12</v>
      </c>
      <c r="AE182" s="290">
        <v>10000</v>
      </c>
      <c r="AF182" s="194">
        <v>114091.84</v>
      </c>
      <c r="AG182" s="192" t="s">
        <v>1261</v>
      </c>
    </row>
    <row r="183" spans="1:34" x14ac:dyDescent="0.3">
      <c r="A183" s="192">
        <v>5832</v>
      </c>
      <c r="B183" s="192">
        <v>81</v>
      </c>
      <c r="C183" s="192">
        <v>1000</v>
      </c>
      <c r="D183" s="192" t="s">
        <v>1089</v>
      </c>
      <c r="E183" s="192">
        <v>30577109</v>
      </c>
      <c r="F183" s="192" t="s">
        <v>1262</v>
      </c>
      <c r="G183" s="290">
        <v>1</v>
      </c>
      <c r="H183" s="192">
        <v>5799.21</v>
      </c>
      <c r="I183" s="192">
        <v>370.83</v>
      </c>
      <c r="J183" s="192">
        <v>197.6</v>
      </c>
      <c r="K183" s="192">
        <v>0</v>
      </c>
      <c r="L183" s="192">
        <v>0</v>
      </c>
      <c r="M183" s="192">
        <v>0</v>
      </c>
      <c r="N183" s="192">
        <v>353.5</v>
      </c>
      <c r="O183" s="192">
        <v>6721.14</v>
      </c>
      <c r="P183" s="192">
        <v>254</v>
      </c>
      <c r="Q183" s="192">
        <v>504.09</v>
      </c>
      <c r="R183" s="192">
        <v>0</v>
      </c>
      <c r="S183" s="285">
        <v>1</v>
      </c>
      <c r="T183" s="192">
        <v>1351.48</v>
      </c>
      <c r="U183" s="291">
        <v>8830.7099999999991</v>
      </c>
      <c r="V183" s="291">
        <v>8830.7099999999991</v>
      </c>
      <c r="W183" s="292">
        <v>108216.84</v>
      </c>
      <c r="X183" s="292">
        <v>105968.51999999999</v>
      </c>
      <c r="Y183" s="292">
        <v>121824.80000000002</v>
      </c>
      <c r="Z183" s="292">
        <v>107758.03</v>
      </c>
      <c r="AA183" s="290">
        <v>109753.84397999999</v>
      </c>
      <c r="AB183" s="285">
        <v>0</v>
      </c>
      <c r="AC183" s="290">
        <v>9018.07</v>
      </c>
      <c r="AD183" s="192">
        <v>12</v>
      </c>
      <c r="AE183" s="290">
        <v>10000</v>
      </c>
      <c r="AF183" s="194">
        <v>118216.84</v>
      </c>
    </row>
    <row r="184" spans="1:34" s="196" customFormat="1" x14ac:dyDescent="0.3">
      <c r="G184" s="288">
        <f>SUM(G172:G183)</f>
        <v>10.35</v>
      </c>
      <c r="H184" s="288">
        <f t="shared" ref="H184:AE184" si="23">SUM(H172:H183)</f>
        <v>92015.860000000015</v>
      </c>
      <c r="I184" s="288">
        <f t="shared" si="23"/>
        <v>5256.34</v>
      </c>
      <c r="J184" s="288">
        <f t="shared" si="23"/>
        <v>2934.46</v>
      </c>
      <c r="K184" s="288">
        <f t="shared" si="23"/>
        <v>11014.32</v>
      </c>
      <c r="L184" s="288">
        <f t="shared" si="23"/>
        <v>0</v>
      </c>
      <c r="M184" s="288">
        <f t="shared" si="23"/>
        <v>0</v>
      </c>
      <c r="N184" s="288">
        <f t="shared" si="23"/>
        <v>2166.65</v>
      </c>
      <c r="O184" s="288">
        <f t="shared" si="23"/>
        <v>113387.63</v>
      </c>
      <c r="P184" s="288">
        <f t="shared" si="23"/>
        <v>4382</v>
      </c>
      <c r="Q184" s="288">
        <f t="shared" si="23"/>
        <v>6949.29</v>
      </c>
      <c r="R184" s="288">
        <f t="shared" si="23"/>
        <v>0</v>
      </c>
      <c r="S184" s="288">
        <f t="shared" si="23"/>
        <v>7.4375</v>
      </c>
      <c r="T184" s="288">
        <f t="shared" si="23"/>
        <v>12101.689999999999</v>
      </c>
      <c r="U184" s="288">
        <f t="shared" si="23"/>
        <v>136820.60999999999</v>
      </c>
      <c r="V184" s="288">
        <f t="shared" si="23"/>
        <v>136820.60999999999</v>
      </c>
      <c r="W184" s="288">
        <f t="shared" si="23"/>
        <v>1684377.6000000003</v>
      </c>
      <c r="X184" s="288">
        <f t="shared" si="23"/>
        <v>1272432.1400000001</v>
      </c>
      <c r="Y184" s="288">
        <f t="shared" si="23"/>
        <v>1663845.1600000001</v>
      </c>
      <c r="Z184" s="288">
        <f t="shared" si="23"/>
        <v>1477678</v>
      </c>
      <c r="AA184" s="288">
        <f t="shared" si="23"/>
        <v>1492784.5663499997</v>
      </c>
      <c r="AB184" s="288">
        <f t="shared" si="23"/>
        <v>1284500.9216</v>
      </c>
      <c r="AC184" s="288">
        <f t="shared" si="23"/>
        <v>134062.75000000003</v>
      </c>
      <c r="AD184" s="288">
        <f t="shared" si="23"/>
        <v>108</v>
      </c>
      <c r="AE184" s="288">
        <f t="shared" si="23"/>
        <v>100000</v>
      </c>
      <c r="AF184" s="288">
        <f>SUM(AF172:AF183)</f>
        <v>1500420.7100000002</v>
      </c>
      <c r="AG184" s="288"/>
      <c r="AH184" s="288">
        <v>0</v>
      </c>
    </row>
    <row r="185" spans="1:34" x14ac:dyDescent="0.3">
      <c r="W185" s="292"/>
      <c r="X185" s="292"/>
      <c r="Y185" s="292"/>
      <c r="Z185" s="292"/>
      <c r="AA185" s="290"/>
      <c r="AB185" s="285"/>
      <c r="AC185" s="290"/>
      <c r="AE185" s="290"/>
      <c r="AF185" s="194"/>
    </row>
    <row r="186" spans="1:34" x14ac:dyDescent="0.3">
      <c r="A186" s="192">
        <v>5832</v>
      </c>
      <c r="B186" s="192">
        <v>81</v>
      </c>
      <c r="C186" s="192">
        <v>2200</v>
      </c>
      <c r="D186" s="192" t="s">
        <v>963</v>
      </c>
      <c r="E186" s="192">
        <v>2200514</v>
      </c>
      <c r="F186" s="192" t="s">
        <v>1263</v>
      </c>
      <c r="G186" s="290">
        <v>1</v>
      </c>
      <c r="H186" s="192">
        <v>8668.61</v>
      </c>
      <c r="I186" s="192">
        <v>436.99</v>
      </c>
      <c r="J186" s="192">
        <v>197.6</v>
      </c>
      <c r="K186" s="192">
        <v>0</v>
      </c>
      <c r="L186" s="192">
        <v>0</v>
      </c>
      <c r="M186" s="192">
        <v>0</v>
      </c>
      <c r="N186" s="192">
        <v>36.5</v>
      </c>
      <c r="O186" s="192">
        <v>9339.7000000000007</v>
      </c>
      <c r="P186" s="192">
        <v>453</v>
      </c>
      <c r="Q186" s="192">
        <v>700.48</v>
      </c>
      <c r="R186" s="192">
        <v>0</v>
      </c>
      <c r="S186" s="285">
        <v>1</v>
      </c>
      <c r="T186" s="192">
        <v>846.48</v>
      </c>
      <c r="U186" s="291">
        <v>11339.66</v>
      </c>
      <c r="V186" s="291">
        <v>11339.66</v>
      </c>
      <c r="W186" s="292">
        <v>139787.51999999999</v>
      </c>
      <c r="X186" s="292">
        <v>136075.91999999998</v>
      </c>
      <c r="Y186" s="292">
        <v>137097.24</v>
      </c>
      <c r="Z186" s="292">
        <v>148122.01</v>
      </c>
      <c r="AA186" s="290">
        <v>152013.25787999999</v>
      </c>
      <c r="AB186" s="285">
        <v>150824.49339999998</v>
      </c>
      <c r="AC186" s="290">
        <v>11648.96</v>
      </c>
      <c r="AD186" s="192">
        <v>12</v>
      </c>
      <c r="AE186" s="290">
        <v>10000</v>
      </c>
      <c r="AF186" s="194">
        <v>149787.51999999999</v>
      </c>
    </row>
    <row r="187" spans="1:34" x14ac:dyDescent="0.3">
      <c r="A187" s="192">
        <v>5832</v>
      </c>
      <c r="B187" s="192">
        <v>81</v>
      </c>
      <c r="C187" s="192">
        <v>2200</v>
      </c>
      <c r="D187" s="192" t="s">
        <v>963</v>
      </c>
      <c r="E187" s="192">
        <v>2212276</v>
      </c>
      <c r="F187" s="192" t="s">
        <v>1264</v>
      </c>
      <c r="G187" s="290">
        <v>1</v>
      </c>
      <c r="H187" s="192">
        <v>7299.16</v>
      </c>
      <c r="I187" s="192">
        <v>390.72</v>
      </c>
      <c r="J187" s="192">
        <v>197.6</v>
      </c>
      <c r="K187" s="192">
        <v>0</v>
      </c>
      <c r="L187" s="192">
        <v>0</v>
      </c>
      <c r="M187" s="192">
        <v>0</v>
      </c>
      <c r="N187" s="192">
        <v>36.5</v>
      </c>
      <c r="O187" s="192">
        <v>7923.98</v>
      </c>
      <c r="P187" s="192">
        <v>346</v>
      </c>
      <c r="Q187" s="192">
        <v>594.29999999999995</v>
      </c>
      <c r="R187" s="192">
        <v>0</v>
      </c>
      <c r="S187" s="285">
        <v>1</v>
      </c>
      <c r="T187" s="192">
        <v>1529.67</v>
      </c>
      <c r="U187" s="291">
        <v>10393.950000000001</v>
      </c>
      <c r="V187" s="291">
        <v>10393.950000000001</v>
      </c>
      <c r="W187" s="292">
        <v>122865.59999999999</v>
      </c>
      <c r="X187" s="292">
        <v>124727.40000000001</v>
      </c>
      <c r="Y187" s="292">
        <v>123887.52000000002</v>
      </c>
      <c r="Z187" s="292">
        <v>129584.3</v>
      </c>
      <c r="AA187" s="290">
        <v>132688.87994999997</v>
      </c>
      <c r="AB187" s="285">
        <v>131651.23474999997</v>
      </c>
      <c r="AC187" s="290">
        <v>10238.799999999999</v>
      </c>
      <c r="AD187" s="192">
        <v>12</v>
      </c>
      <c r="AE187" s="290">
        <v>10000</v>
      </c>
      <c r="AF187" s="194">
        <v>132865.59999999998</v>
      </c>
    </row>
    <row r="188" spans="1:34" x14ac:dyDescent="0.3">
      <c r="A188" s="192">
        <v>5832</v>
      </c>
      <c r="B188" s="192">
        <v>81</v>
      </c>
      <c r="C188" s="192">
        <v>2200</v>
      </c>
      <c r="D188" s="192" t="s">
        <v>963</v>
      </c>
      <c r="E188" s="192">
        <v>2232651</v>
      </c>
      <c r="F188" s="192" t="s">
        <v>1265</v>
      </c>
      <c r="G188" s="290">
        <v>0.624</v>
      </c>
      <c r="H188" s="192">
        <v>4215.87</v>
      </c>
      <c r="I188" s="192">
        <v>226.66</v>
      </c>
      <c r="J188" s="192">
        <v>117.74</v>
      </c>
      <c r="K188" s="192">
        <v>0</v>
      </c>
      <c r="L188" s="192">
        <v>0</v>
      </c>
      <c r="M188" s="192">
        <v>0</v>
      </c>
      <c r="N188" s="192">
        <v>36.5</v>
      </c>
      <c r="O188" s="192">
        <v>4596.7700000000004</v>
      </c>
      <c r="P188" s="192">
        <v>163</v>
      </c>
      <c r="Q188" s="192">
        <v>344.76</v>
      </c>
      <c r="R188" s="192">
        <v>0</v>
      </c>
      <c r="S188" s="285">
        <v>0.624</v>
      </c>
      <c r="T188" s="192">
        <v>856.98</v>
      </c>
      <c r="U188" s="291">
        <v>5961.51</v>
      </c>
      <c r="V188" s="291">
        <v>5961.51</v>
      </c>
      <c r="W188" s="292">
        <v>70485.600000000006</v>
      </c>
      <c r="X188" s="292">
        <v>71538.12</v>
      </c>
      <c r="Y188" s="292">
        <v>69179.28</v>
      </c>
      <c r="Z188" s="292">
        <v>73228.19</v>
      </c>
      <c r="AA188" s="290">
        <v>75139.902419999999</v>
      </c>
      <c r="AB188" s="285">
        <v>74552.2981</v>
      </c>
      <c r="AC188" s="290">
        <v>5873.8</v>
      </c>
      <c r="AD188" s="192">
        <v>12</v>
      </c>
      <c r="AE188" s="290">
        <v>7000</v>
      </c>
      <c r="AF188" s="194">
        <v>77485.600000000006</v>
      </c>
    </row>
    <row r="189" spans="1:34" x14ac:dyDescent="0.3">
      <c r="A189" s="192">
        <v>5832</v>
      </c>
      <c r="B189" s="192">
        <v>81</v>
      </c>
      <c r="C189" s="192">
        <v>2200</v>
      </c>
      <c r="D189" s="192" t="s">
        <v>963</v>
      </c>
      <c r="E189" s="192">
        <v>2244005</v>
      </c>
      <c r="F189" s="192" t="s">
        <v>1266</v>
      </c>
      <c r="G189" s="290">
        <v>1</v>
      </c>
      <c r="H189" s="192">
        <v>7420.05</v>
      </c>
      <c r="I189" s="192">
        <v>395.05</v>
      </c>
      <c r="J189" s="192">
        <v>197.6</v>
      </c>
      <c r="K189" s="192">
        <v>0</v>
      </c>
      <c r="L189" s="192">
        <v>0</v>
      </c>
      <c r="M189" s="192">
        <v>0</v>
      </c>
      <c r="N189" s="192">
        <v>36.5</v>
      </c>
      <c r="O189" s="192">
        <v>8049.2</v>
      </c>
      <c r="P189" s="192">
        <v>355</v>
      </c>
      <c r="Q189" s="192">
        <v>603.69000000000005</v>
      </c>
      <c r="R189" s="192">
        <v>0</v>
      </c>
      <c r="S189" s="285">
        <v>1</v>
      </c>
      <c r="T189" s="192">
        <v>1548.37</v>
      </c>
      <c r="U189" s="291">
        <v>10556.26</v>
      </c>
      <c r="V189" s="291">
        <v>10556.26</v>
      </c>
      <c r="W189" s="292">
        <v>129822.95999999999</v>
      </c>
      <c r="X189" s="292">
        <v>126675.12</v>
      </c>
      <c r="Y189" s="292">
        <v>127276.20000000001</v>
      </c>
      <c r="Z189" s="292">
        <v>131810.42000000001</v>
      </c>
      <c r="AA189" s="290">
        <v>134843.10311999999</v>
      </c>
      <c r="AB189" s="285">
        <v>133788.6116</v>
      </c>
      <c r="AC189" s="290">
        <v>10818.58</v>
      </c>
      <c r="AD189" s="192">
        <v>12</v>
      </c>
      <c r="AE189" s="290">
        <v>10000</v>
      </c>
      <c r="AF189" s="194">
        <v>139822.96</v>
      </c>
    </row>
    <row r="190" spans="1:34" x14ac:dyDescent="0.3">
      <c r="A190" s="192">
        <v>5832</v>
      </c>
      <c r="B190" s="192">
        <v>81</v>
      </c>
      <c r="C190" s="192">
        <v>2200</v>
      </c>
      <c r="D190" s="192" t="s">
        <v>963</v>
      </c>
      <c r="E190" s="192">
        <v>2244162</v>
      </c>
      <c r="F190" s="192" t="s">
        <v>1267</v>
      </c>
      <c r="G190" s="290">
        <v>1</v>
      </c>
      <c r="H190" s="192">
        <v>7459.23</v>
      </c>
      <c r="I190" s="192">
        <v>389.45</v>
      </c>
      <c r="J190" s="192">
        <v>197.6</v>
      </c>
      <c r="K190" s="192">
        <v>0</v>
      </c>
      <c r="L190" s="192">
        <v>0</v>
      </c>
      <c r="M190" s="192">
        <v>0</v>
      </c>
      <c r="N190" s="192">
        <v>36.5</v>
      </c>
      <c r="O190" s="192">
        <v>8082.78</v>
      </c>
      <c r="P190" s="192">
        <v>358</v>
      </c>
      <c r="Q190" s="192">
        <v>606.21</v>
      </c>
      <c r="R190" s="192">
        <v>0</v>
      </c>
      <c r="S190" s="285">
        <v>1</v>
      </c>
      <c r="T190" s="192">
        <v>1531.01</v>
      </c>
      <c r="U190" s="291">
        <v>10578</v>
      </c>
      <c r="V190" s="291">
        <v>10578</v>
      </c>
      <c r="W190" s="292">
        <v>130236.95999999999</v>
      </c>
      <c r="X190" s="292">
        <v>126936</v>
      </c>
      <c r="Y190" s="292">
        <v>127817.52000000002</v>
      </c>
      <c r="Z190" s="292">
        <v>136285.93</v>
      </c>
      <c r="AA190" s="290">
        <v>139857.40922999999</v>
      </c>
      <c r="AB190" s="285">
        <v>138763.70514999999</v>
      </c>
      <c r="AC190" s="290">
        <v>10853.08</v>
      </c>
      <c r="AD190" s="192">
        <v>12</v>
      </c>
      <c r="AE190" s="290">
        <v>10000</v>
      </c>
      <c r="AF190" s="194">
        <v>140236.96</v>
      </c>
    </row>
    <row r="191" spans="1:34" x14ac:dyDescent="0.3">
      <c r="A191" s="192">
        <v>5832</v>
      </c>
      <c r="B191" s="192">
        <v>81</v>
      </c>
      <c r="C191" s="192">
        <v>2200</v>
      </c>
      <c r="D191" s="192" t="s">
        <v>963</v>
      </c>
      <c r="E191" s="192">
        <v>2256759</v>
      </c>
      <c r="F191" s="192" t="s">
        <v>1268</v>
      </c>
      <c r="G191" s="290">
        <v>1</v>
      </c>
      <c r="H191" s="192">
        <v>5429.96</v>
      </c>
      <c r="I191" s="192">
        <v>395.05</v>
      </c>
      <c r="J191" s="192">
        <v>197.6</v>
      </c>
      <c r="K191" s="192">
        <v>0</v>
      </c>
      <c r="L191" s="192">
        <v>0</v>
      </c>
      <c r="M191" s="192">
        <v>0</v>
      </c>
      <c r="N191" s="192">
        <v>36.5</v>
      </c>
      <c r="O191" s="192">
        <v>6059.11</v>
      </c>
      <c r="P191" s="192">
        <v>205</v>
      </c>
      <c r="Q191" s="192">
        <v>454.43</v>
      </c>
      <c r="R191" s="192">
        <v>0</v>
      </c>
      <c r="S191" s="285">
        <v>1</v>
      </c>
      <c r="T191" s="192">
        <v>1130.56</v>
      </c>
      <c r="U191" s="291">
        <v>7849.1</v>
      </c>
      <c r="V191" s="291">
        <v>7849.1</v>
      </c>
      <c r="W191" s="292">
        <v>124114.56</v>
      </c>
      <c r="X191" s="292">
        <v>94189.200000000012</v>
      </c>
      <c r="Y191" s="292">
        <v>119843.48000000001</v>
      </c>
      <c r="Z191" s="292">
        <v>131393.26</v>
      </c>
      <c r="AA191" s="290">
        <v>134416.34843999997</v>
      </c>
      <c r="AB191" s="285">
        <v>133365.1942</v>
      </c>
      <c r="AC191" s="290">
        <v>10342.879999999999</v>
      </c>
      <c r="AD191" s="192">
        <v>12</v>
      </c>
      <c r="AE191" s="290">
        <v>10000</v>
      </c>
      <c r="AF191" s="194">
        <v>134114.56</v>
      </c>
    </row>
    <row r="192" spans="1:34" x14ac:dyDescent="0.3">
      <c r="A192" s="192">
        <v>5832</v>
      </c>
      <c r="B192" s="192">
        <v>81</v>
      </c>
      <c r="C192" s="192">
        <v>2200</v>
      </c>
      <c r="D192" s="192" t="s">
        <v>963</v>
      </c>
      <c r="E192" s="192">
        <v>2304394</v>
      </c>
      <c r="F192" s="192" t="s">
        <v>1269</v>
      </c>
      <c r="G192" s="290">
        <v>1</v>
      </c>
      <c r="H192" s="192">
        <v>6687.71</v>
      </c>
      <c r="I192" s="192">
        <v>391.75</v>
      </c>
      <c r="J192" s="192">
        <v>197.6</v>
      </c>
      <c r="K192" s="192">
        <v>0</v>
      </c>
      <c r="L192" s="192">
        <v>0</v>
      </c>
      <c r="M192" s="192">
        <v>0</v>
      </c>
      <c r="N192" s="192">
        <v>36.5</v>
      </c>
      <c r="O192" s="192">
        <v>7313.56</v>
      </c>
      <c r="P192" s="192">
        <v>299</v>
      </c>
      <c r="Q192" s="192">
        <v>548.52</v>
      </c>
      <c r="R192" s="192">
        <v>0</v>
      </c>
      <c r="S192" s="285">
        <v>1</v>
      </c>
      <c r="T192" s="192">
        <v>1399.17</v>
      </c>
      <c r="U192" s="291">
        <v>9560.25</v>
      </c>
      <c r="V192" s="291">
        <v>9560.25</v>
      </c>
      <c r="W192" s="292">
        <v>123406.79999999999</v>
      </c>
      <c r="X192" s="292">
        <v>114723</v>
      </c>
      <c r="Y192" s="292">
        <v>122668.68</v>
      </c>
      <c r="Z192" s="292">
        <v>131671.39000000001</v>
      </c>
      <c r="AA192" s="290">
        <v>134699.83197</v>
      </c>
      <c r="AB192" s="285">
        <v>133646.46085</v>
      </c>
      <c r="AC192" s="290">
        <v>10283.9</v>
      </c>
      <c r="AD192" s="192">
        <v>12</v>
      </c>
      <c r="AE192" s="290">
        <v>10000</v>
      </c>
      <c r="AF192" s="194">
        <v>133406.79999999999</v>
      </c>
    </row>
    <row r="193" spans="1:33" x14ac:dyDescent="0.3">
      <c r="A193" s="192">
        <v>5832</v>
      </c>
      <c r="B193" s="192">
        <v>81</v>
      </c>
      <c r="C193" s="192">
        <v>2200</v>
      </c>
      <c r="D193" s="192" t="s">
        <v>963</v>
      </c>
      <c r="E193" s="192">
        <v>2391369</v>
      </c>
      <c r="F193" s="192" t="s">
        <v>1270</v>
      </c>
      <c r="G193" s="290">
        <v>1</v>
      </c>
      <c r="H193" s="192">
        <v>7305.68</v>
      </c>
      <c r="I193" s="192">
        <v>390.93</v>
      </c>
      <c r="J193" s="192">
        <v>197.6</v>
      </c>
      <c r="K193" s="192">
        <v>0</v>
      </c>
      <c r="L193" s="192">
        <v>0</v>
      </c>
      <c r="M193" s="192">
        <v>0</v>
      </c>
      <c r="N193" s="192">
        <v>36.5</v>
      </c>
      <c r="O193" s="192">
        <v>7930.71</v>
      </c>
      <c r="P193" s="192">
        <v>346</v>
      </c>
      <c r="Q193" s="192">
        <v>594.79999999999995</v>
      </c>
      <c r="R193" s="192">
        <v>0</v>
      </c>
      <c r="S193" s="285">
        <v>1</v>
      </c>
      <c r="T193" s="192">
        <v>1479.61</v>
      </c>
      <c r="U193" s="291">
        <v>10351.120000000001</v>
      </c>
      <c r="V193" s="291">
        <v>10351.120000000001</v>
      </c>
      <c r="W193" s="292">
        <v>127553.88</v>
      </c>
      <c r="X193" s="292">
        <v>124213.44</v>
      </c>
      <c r="Y193" s="292">
        <v>125107.52</v>
      </c>
      <c r="Z193" s="292">
        <v>129637.92</v>
      </c>
      <c r="AA193" s="290">
        <v>133059.59469</v>
      </c>
      <c r="AB193" s="285">
        <v>132019.05044999998</v>
      </c>
      <c r="AC193" s="290">
        <v>10629.49</v>
      </c>
      <c r="AD193" s="192">
        <v>12</v>
      </c>
      <c r="AE193" s="290">
        <v>10000</v>
      </c>
      <c r="AF193" s="194">
        <v>137553.88</v>
      </c>
    </row>
    <row r="194" spans="1:33" x14ac:dyDescent="0.3">
      <c r="A194" s="192">
        <v>5832</v>
      </c>
      <c r="B194" s="192">
        <v>81</v>
      </c>
      <c r="C194" s="192">
        <v>2200</v>
      </c>
      <c r="D194" s="192" t="s">
        <v>963</v>
      </c>
      <c r="E194" s="192">
        <v>2391728</v>
      </c>
      <c r="F194" s="192" t="s">
        <v>1271</v>
      </c>
      <c r="G194" s="290">
        <v>1</v>
      </c>
      <c r="H194" s="192">
        <v>8065.51</v>
      </c>
      <c r="I194" s="192">
        <v>405.3</v>
      </c>
      <c r="J194" s="192">
        <v>197.6</v>
      </c>
      <c r="K194" s="192">
        <v>0</v>
      </c>
      <c r="L194" s="192">
        <v>0</v>
      </c>
      <c r="M194" s="192">
        <v>0</v>
      </c>
      <c r="N194" s="192">
        <v>36.5</v>
      </c>
      <c r="O194" s="192">
        <v>8704.91</v>
      </c>
      <c r="P194" s="192">
        <v>405</v>
      </c>
      <c r="Q194" s="192">
        <v>652.87</v>
      </c>
      <c r="R194" s="192">
        <v>0</v>
      </c>
      <c r="S194" s="285">
        <v>1</v>
      </c>
      <c r="T194" s="192">
        <v>1642.55</v>
      </c>
      <c r="U194" s="291">
        <v>11405.33</v>
      </c>
      <c r="V194" s="291">
        <v>11405.33</v>
      </c>
      <c r="W194" s="292">
        <v>134944.56</v>
      </c>
      <c r="X194" s="292">
        <v>136863.96</v>
      </c>
      <c r="Y194" s="292">
        <v>136907.64000000001</v>
      </c>
      <c r="Z194" s="292">
        <v>143636.91</v>
      </c>
      <c r="AA194" s="290">
        <v>146940.55893</v>
      </c>
      <c r="AB194" s="285">
        <v>145791.46364999999</v>
      </c>
      <c r="AC194" s="290">
        <v>11245.38</v>
      </c>
      <c r="AD194" s="192">
        <v>12</v>
      </c>
      <c r="AE194" s="290">
        <v>10000</v>
      </c>
      <c r="AF194" s="194">
        <v>144944.56</v>
      </c>
    </row>
    <row r="195" spans="1:33" x14ac:dyDescent="0.3">
      <c r="A195" s="192">
        <v>5832</v>
      </c>
      <c r="B195" s="192">
        <v>81</v>
      </c>
      <c r="C195" s="192">
        <v>2200</v>
      </c>
      <c r="D195" s="192" t="s">
        <v>963</v>
      </c>
      <c r="E195" s="192">
        <v>2418269</v>
      </c>
      <c r="F195" s="192" t="s">
        <v>1272</v>
      </c>
      <c r="G195" s="290">
        <v>0.43</v>
      </c>
      <c r="H195" s="192">
        <v>1394.93</v>
      </c>
      <c r="I195" s="192">
        <v>74.16</v>
      </c>
      <c r="J195" s="192">
        <v>85</v>
      </c>
      <c r="K195" s="192">
        <v>0</v>
      </c>
      <c r="L195" s="192">
        <v>0</v>
      </c>
      <c r="M195" s="192">
        <v>0</v>
      </c>
      <c r="N195" s="192">
        <v>36.5</v>
      </c>
      <c r="O195" s="192">
        <v>1590.59</v>
      </c>
      <c r="P195" s="192">
        <v>57</v>
      </c>
      <c r="Q195" s="192">
        <v>119.3</v>
      </c>
      <c r="R195" s="192">
        <v>0</v>
      </c>
      <c r="S195" s="285">
        <v>0.43</v>
      </c>
      <c r="T195" s="192">
        <v>253.07</v>
      </c>
      <c r="U195" s="291">
        <v>2019.96</v>
      </c>
      <c r="V195" s="291">
        <v>2019.96</v>
      </c>
      <c r="W195" s="292">
        <v>64326.12</v>
      </c>
      <c r="X195" s="292">
        <v>24239.52</v>
      </c>
      <c r="Y195" s="292">
        <v>49433.64</v>
      </c>
      <c r="Z195" s="292">
        <v>59553.08</v>
      </c>
      <c r="AA195" s="290">
        <v>60922.800839999996</v>
      </c>
      <c r="AB195" s="285">
        <v>60446.376199999999</v>
      </c>
      <c r="AC195" s="290">
        <v>5360.51</v>
      </c>
      <c r="AD195" s="192">
        <v>12</v>
      </c>
      <c r="AE195" s="290">
        <v>6000</v>
      </c>
      <c r="AF195" s="194">
        <v>70326.12</v>
      </c>
    </row>
    <row r="196" spans="1:33" x14ac:dyDescent="0.3">
      <c r="A196" s="192">
        <v>5832</v>
      </c>
      <c r="B196" s="192">
        <v>81</v>
      </c>
      <c r="C196" s="192">
        <v>2200</v>
      </c>
      <c r="D196" s="192" t="s">
        <v>963</v>
      </c>
      <c r="E196" s="192">
        <v>2459485</v>
      </c>
      <c r="F196" s="192" t="s">
        <v>1273</v>
      </c>
      <c r="G196" s="290">
        <v>1</v>
      </c>
      <c r="H196" s="192">
        <v>6238.92</v>
      </c>
      <c r="I196" s="192">
        <v>387.12</v>
      </c>
      <c r="J196" s="192">
        <v>197.6</v>
      </c>
      <c r="K196" s="192">
        <v>0</v>
      </c>
      <c r="L196" s="192">
        <v>0</v>
      </c>
      <c r="M196" s="192">
        <v>0</v>
      </c>
      <c r="N196" s="192">
        <v>36.5</v>
      </c>
      <c r="O196" s="192">
        <v>6860.14</v>
      </c>
      <c r="P196" s="192">
        <v>265</v>
      </c>
      <c r="Q196" s="192">
        <v>514.51</v>
      </c>
      <c r="R196" s="192">
        <v>0</v>
      </c>
      <c r="S196" s="285">
        <v>1</v>
      </c>
      <c r="T196" s="192">
        <v>1302.1500000000001</v>
      </c>
      <c r="U196" s="291">
        <v>8941.7999999999993</v>
      </c>
      <c r="V196" s="291">
        <v>8941.7999999999993</v>
      </c>
      <c r="W196" s="292">
        <v>119216.04000000001</v>
      </c>
      <c r="X196" s="292">
        <v>107301.59999999999</v>
      </c>
      <c r="Y196" s="292">
        <v>116241.03999999998</v>
      </c>
      <c r="Z196" s="292">
        <v>127516.23</v>
      </c>
      <c r="AA196" s="290">
        <v>130449.10329</v>
      </c>
      <c r="AB196" s="285">
        <v>129428.97345</v>
      </c>
      <c r="AC196" s="290">
        <v>9934.67</v>
      </c>
      <c r="AD196" s="192">
        <v>12</v>
      </c>
      <c r="AE196" s="290">
        <v>8000</v>
      </c>
      <c r="AF196" s="194">
        <v>127216.04000000001</v>
      </c>
    </row>
    <row r="197" spans="1:33" x14ac:dyDescent="0.3">
      <c r="A197" s="192">
        <v>5832</v>
      </c>
      <c r="B197" s="192">
        <v>81</v>
      </c>
      <c r="C197" s="192">
        <v>2200</v>
      </c>
      <c r="D197" s="192" t="s">
        <v>963</v>
      </c>
      <c r="E197" s="192">
        <v>2459958</v>
      </c>
      <c r="F197" s="192" t="s">
        <v>1274</v>
      </c>
      <c r="G197" s="290">
        <v>1</v>
      </c>
      <c r="H197" s="192">
        <v>7108.28</v>
      </c>
      <c r="I197" s="192">
        <v>384.49</v>
      </c>
      <c r="J197" s="192">
        <v>197.6</v>
      </c>
      <c r="K197" s="192">
        <v>0</v>
      </c>
      <c r="L197" s="192">
        <v>0</v>
      </c>
      <c r="M197" s="192">
        <v>0</v>
      </c>
      <c r="N197" s="192">
        <v>36.5</v>
      </c>
      <c r="O197" s="192">
        <v>7726.87</v>
      </c>
      <c r="P197" s="192">
        <v>331</v>
      </c>
      <c r="Q197" s="192">
        <v>579.52</v>
      </c>
      <c r="R197" s="192">
        <v>0</v>
      </c>
      <c r="S197" s="285">
        <v>1</v>
      </c>
      <c r="T197" s="192">
        <v>1487.53</v>
      </c>
      <c r="U197" s="291">
        <v>10124.92</v>
      </c>
      <c r="V197" s="291">
        <v>10124.92</v>
      </c>
      <c r="W197" s="292">
        <v>119661.72</v>
      </c>
      <c r="X197" s="292">
        <v>121499.04000000001</v>
      </c>
      <c r="Y197" s="292">
        <v>120669.56</v>
      </c>
      <c r="Z197" s="292">
        <v>131848.62</v>
      </c>
      <c r="AA197" s="290">
        <v>134716.72169999999</v>
      </c>
      <c r="AB197" s="285">
        <v>133663.21849999999</v>
      </c>
      <c r="AC197" s="290">
        <v>9971.81</v>
      </c>
      <c r="AD197" s="192">
        <v>12</v>
      </c>
      <c r="AE197" s="290">
        <v>9000</v>
      </c>
      <c r="AF197" s="194">
        <v>128661.72</v>
      </c>
    </row>
    <row r="198" spans="1:33" x14ac:dyDescent="0.3">
      <c r="A198" s="192">
        <v>5832</v>
      </c>
      <c r="B198" s="192">
        <v>81</v>
      </c>
      <c r="C198" s="192">
        <v>2200</v>
      </c>
      <c r="D198" s="192" t="s">
        <v>963</v>
      </c>
      <c r="E198" s="192">
        <v>2468054</v>
      </c>
      <c r="F198" s="192" t="s">
        <v>1275</v>
      </c>
      <c r="G198" s="290">
        <v>1</v>
      </c>
      <c r="H198" s="192">
        <v>7071.23</v>
      </c>
      <c r="I198" s="192">
        <v>383.28</v>
      </c>
      <c r="J198" s="192">
        <v>197.6</v>
      </c>
      <c r="K198" s="192">
        <v>0</v>
      </c>
      <c r="L198" s="192">
        <v>0</v>
      </c>
      <c r="M198" s="192">
        <v>0</v>
      </c>
      <c r="N198" s="192">
        <v>36.5</v>
      </c>
      <c r="O198" s="192">
        <v>7688.61</v>
      </c>
      <c r="P198" s="192">
        <v>328</v>
      </c>
      <c r="Q198" s="192">
        <v>576.65</v>
      </c>
      <c r="R198" s="192">
        <v>0</v>
      </c>
      <c r="S198" s="285">
        <v>1</v>
      </c>
      <c r="T198" s="192">
        <v>1479.34</v>
      </c>
      <c r="U198" s="291">
        <v>10072.6</v>
      </c>
      <c r="V198" s="291">
        <v>10072.6</v>
      </c>
      <c r="W198" s="292">
        <v>138140.40000000002</v>
      </c>
      <c r="X198" s="292">
        <v>120871.20000000001</v>
      </c>
      <c r="Y198" s="292">
        <v>125756.32</v>
      </c>
      <c r="Z198" s="292">
        <v>132381.07</v>
      </c>
      <c r="AA198" s="290">
        <v>135261.43850999998</v>
      </c>
      <c r="AB198" s="285">
        <v>134203.67554999999</v>
      </c>
      <c r="AC198" s="290">
        <v>11511.7</v>
      </c>
      <c r="AD198" s="192">
        <v>12</v>
      </c>
      <c r="AE198" s="290">
        <v>10000</v>
      </c>
      <c r="AF198" s="194">
        <v>148140.40000000002</v>
      </c>
    </row>
    <row r="199" spans="1:33" x14ac:dyDescent="0.3">
      <c r="A199" s="192">
        <v>5832</v>
      </c>
      <c r="B199" s="192">
        <v>81</v>
      </c>
      <c r="C199" s="192">
        <v>2200</v>
      </c>
      <c r="D199" s="192" t="s">
        <v>963</v>
      </c>
      <c r="E199" s="192">
        <v>2468334</v>
      </c>
      <c r="F199" s="192" t="s">
        <v>1276</v>
      </c>
      <c r="G199" s="290">
        <v>1</v>
      </c>
      <c r="H199" s="192">
        <v>7646.17</v>
      </c>
      <c r="I199" s="192">
        <v>387.96</v>
      </c>
      <c r="J199" s="192">
        <v>197.6</v>
      </c>
      <c r="K199" s="192">
        <v>0</v>
      </c>
      <c r="L199" s="192">
        <v>0</v>
      </c>
      <c r="M199" s="192">
        <v>0</v>
      </c>
      <c r="N199" s="192">
        <v>36.5</v>
      </c>
      <c r="O199" s="192">
        <v>8268.23</v>
      </c>
      <c r="P199" s="192">
        <v>372</v>
      </c>
      <c r="Q199" s="192">
        <v>620.12</v>
      </c>
      <c r="R199" s="192">
        <v>0</v>
      </c>
      <c r="S199" s="285">
        <v>1</v>
      </c>
      <c r="T199" s="192">
        <v>1601.77</v>
      </c>
      <c r="U199" s="291">
        <v>10862.12</v>
      </c>
      <c r="V199" s="291">
        <v>10862.12</v>
      </c>
      <c r="W199" s="292">
        <v>142777.68</v>
      </c>
      <c r="X199" s="292">
        <v>130345.44</v>
      </c>
      <c r="Y199" s="292">
        <v>134271.24</v>
      </c>
      <c r="Z199" s="292">
        <v>137588.44</v>
      </c>
      <c r="AA199" s="290">
        <v>139153.84098000001</v>
      </c>
      <c r="AB199" s="285">
        <v>138065.63889999999</v>
      </c>
      <c r="AC199" s="290">
        <v>11898.14</v>
      </c>
      <c r="AD199" s="192">
        <v>12</v>
      </c>
      <c r="AE199" s="290">
        <v>10000</v>
      </c>
      <c r="AF199" s="194">
        <v>152777.68</v>
      </c>
    </row>
    <row r="200" spans="1:33" x14ac:dyDescent="0.3">
      <c r="A200" s="192">
        <v>5832</v>
      </c>
      <c r="B200" s="192">
        <v>81</v>
      </c>
      <c r="C200" s="192">
        <v>2200</v>
      </c>
      <c r="D200" s="192" t="s">
        <v>963</v>
      </c>
      <c r="E200" s="192">
        <v>2565111</v>
      </c>
      <c r="F200" s="192" t="s">
        <v>1277</v>
      </c>
      <c r="G200" s="290">
        <v>0</v>
      </c>
      <c r="H200" s="192">
        <v>1607.75</v>
      </c>
      <c r="I200" s="192">
        <v>0</v>
      </c>
      <c r="J200" s="192">
        <v>81</v>
      </c>
      <c r="K200" s="192">
        <v>0</v>
      </c>
      <c r="L200" s="192">
        <v>0</v>
      </c>
      <c r="M200" s="192">
        <v>0</v>
      </c>
      <c r="N200" s="192">
        <v>0</v>
      </c>
      <c r="O200" s="192">
        <v>1688.75</v>
      </c>
      <c r="P200" s="192">
        <v>65</v>
      </c>
      <c r="Q200" s="192">
        <v>137.91</v>
      </c>
      <c r="R200" s="192">
        <v>0</v>
      </c>
      <c r="S200" s="285">
        <v>0</v>
      </c>
      <c r="T200" s="192">
        <v>217.05</v>
      </c>
      <c r="U200" s="291">
        <v>2108.71</v>
      </c>
      <c r="V200" s="291">
        <v>2108.71</v>
      </c>
      <c r="W200" s="292">
        <v>50479.56</v>
      </c>
      <c r="X200" s="292">
        <v>25304.52</v>
      </c>
      <c r="Y200" s="292">
        <v>40032.959999999999</v>
      </c>
      <c r="Z200" s="292">
        <v>18509.98</v>
      </c>
      <c r="AA200" s="290">
        <v>19109.271719999997</v>
      </c>
      <c r="AB200" s="285">
        <v>18959.834599999998</v>
      </c>
      <c r="AC200" s="290">
        <v>3000</v>
      </c>
      <c r="AD200" s="192">
        <v>12</v>
      </c>
      <c r="AE200" s="290">
        <v>3000</v>
      </c>
      <c r="AF200" s="194">
        <v>39000</v>
      </c>
    </row>
    <row r="201" spans="1:33" x14ac:dyDescent="0.3">
      <c r="A201" s="192">
        <v>5832</v>
      </c>
      <c r="B201" s="192">
        <v>81</v>
      </c>
      <c r="C201" s="192">
        <v>2200</v>
      </c>
      <c r="D201" s="192" t="s">
        <v>963</v>
      </c>
      <c r="E201" s="192">
        <v>2660822</v>
      </c>
      <c r="F201" s="192" t="s">
        <v>1278</v>
      </c>
      <c r="G201" s="290">
        <v>1</v>
      </c>
      <c r="H201" s="192">
        <v>6813.14</v>
      </c>
      <c r="I201" s="192">
        <v>364.05</v>
      </c>
      <c r="J201" s="192">
        <v>191.53</v>
      </c>
      <c r="K201" s="192">
        <v>0</v>
      </c>
      <c r="L201" s="192">
        <v>0</v>
      </c>
      <c r="M201" s="192">
        <v>0</v>
      </c>
      <c r="N201" s="192">
        <v>450.5</v>
      </c>
      <c r="O201" s="192">
        <v>7819.22</v>
      </c>
      <c r="P201" s="192">
        <v>338</v>
      </c>
      <c r="Q201" s="192">
        <v>586.44000000000005</v>
      </c>
      <c r="R201" s="192">
        <v>0</v>
      </c>
      <c r="S201" s="285">
        <v>1</v>
      </c>
      <c r="T201" s="192">
        <v>1368.73</v>
      </c>
      <c r="U201" s="291">
        <v>10112.39</v>
      </c>
      <c r="V201" s="291">
        <v>10112.39</v>
      </c>
      <c r="W201" s="292">
        <v>143982.48000000001</v>
      </c>
      <c r="X201" s="292">
        <v>121348.68</v>
      </c>
      <c r="Y201" s="292">
        <v>128683.88</v>
      </c>
      <c r="Z201" s="292">
        <v>95874.32</v>
      </c>
      <c r="AA201" s="290">
        <v>0</v>
      </c>
      <c r="AB201" s="285">
        <v>109260.67549999998</v>
      </c>
      <c r="AC201" s="290">
        <v>11000</v>
      </c>
      <c r="AD201" s="192">
        <v>12</v>
      </c>
      <c r="AE201" s="290">
        <v>10000</v>
      </c>
      <c r="AF201" s="194">
        <v>142000</v>
      </c>
    </row>
    <row r="202" spans="1:33" x14ac:dyDescent="0.3">
      <c r="A202" s="192">
        <v>5832</v>
      </c>
      <c r="B202" s="192">
        <v>81</v>
      </c>
      <c r="C202" s="192">
        <v>2200</v>
      </c>
      <c r="D202" s="192" t="s">
        <v>963</v>
      </c>
      <c r="E202" s="192">
        <v>2733536</v>
      </c>
      <c r="F202" s="192" t="s">
        <v>1279</v>
      </c>
      <c r="G202" s="290">
        <v>1</v>
      </c>
      <c r="H202" s="192">
        <v>7189.82</v>
      </c>
      <c r="I202" s="192">
        <v>387.15</v>
      </c>
      <c r="J202" s="192">
        <v>197.6</v>
      </c>
      <c r="K202" s="192">
        <v>0</v>
      </c>
      <c r="L202" s="192">
        <v>0</v>
      </c>
      <c r="M202" s="192">
        <v>0</v>
      </c>
      <c r="N202" s="192">
        <v>36.5</v>
      </c>
      <c r="O202" s="192">
        <v>7811.07</v>
      </c>
      <c r="P202" s="192">
        <v>356</v>
      </c>
      <c r="Q202" s="192">
        <v>604.58000000000004</v>
      </c>
      <c r="R202" s="192">
        <v>0</v>
      </c>
      <c r="S202" s="285">
        <v>1</v>
      </c>
      <c r="T202" s="192">
        <v>1505.52</v>
      </c>
      <c r="U202" s="291">
        <v>10277.17</v>
      </c>
      <c r="V202" s="291">
        <v>10277.17</v>
      </c>
      <c r="W202" s="292">
        <v>119930.88</v>
      </c>
      <c r="X202" s="292">
        <v>123326.04000000001</v>
      </c>
      <c r="Y202" s="292">
        <v>121976.36</v>
      </c>
      <c r="Z202" s="292">
        <v>128914.1</v>
      </c>
      <c r="AA202" s="290">
        <v>133099.70651999998</v>
      </c>
      <c r="AB202" s="285">
        <v>132058.84859999997</v>
      </c>
      <c r="AC202" s="290">
        <v>11063.54</v>
      </c>
      <c r="AD202" s="192">
        <v>12</v>
      </c>
      <c r="AE202" s="290">
        <v>10000</v>
      </c>
      <c r="AF202" s="194">
        <v>142762.48000000001</v>
      </c>
    </row>
    <row r="203" spans="1:33" x14ac:dyDescent="0.3">
      <c r="A203" s="192">
        <v>5832</v>
      </c>
      <c r="B203" s="192">
        <v>81</v>
      </c>
      <c r="C203" s="192">
        <v>2200</v>
      </c>
      <c r="D203" s="192" t="s">
        <v>963</v>
      </c>
      <c r="E203" s="192">
        <v>2733941</v>
      </c>
      <c r="F203" s="192" t="s">
        <v>1280</v>
      </c>
      <c r="G203" s="290">
        <v>0.8</v>
      </c>
      <c r="H203" s="192">
        <v>6334.59</v>
      </c>
      <c r="I203" s="192">
        <v>293.08999999999997</v>
      </c>
      <c r="J203" s="192">
        <v>183.02</v>
      </c>
      <c r="K203" s="192">
        <v>0</v>
      </c>
      <c r="L203" s="192">
        <v>0</v>
      </c>
      <c r="M203" s="192">
        <v>0</v>
      </c>
      <c r="N203" s="192">
        <v>0</v>
      </c>
      <c r="O203" s="192">
        <v>6810.7</v>
      </c>
      <c r="P203" s="192">
        <v>261</v>
      </c>
      <c r="Q203" s="192">
        <v>510.8</v>
      </c>
      <c r="R203" s="192">
        <v>0</v>
      </c>
      <c r="S203" s="285">
        <v>0.80000000000000016</v>
      </c>
      <c r="T203" s="192">
        <v>1256.0999999999999</v>
      </c>
      <c r="U203" s="291">
        <v>8838.6</v>
      </c>
      <c r="V203" s="291">
        <v>8838.6</v>
      </c>
      <c r="W203" s="292">
        <v>110284.20000000001</v>
      </c>
      <c r="X203" s="292">
        <v>106063.20000000001</v>
      </c>
      <c r="Y203" s="292">
        <v>114643.4</v>
      </c>
      <c r="Z203" s="292">
        <v>112016.1</v>
      </c>
      <c r="AA203" s="290">
        <v>111719.80445999998</v>
      </c>
      <c r="AB203" s="285">
        <v>110846.14029999998</v>
      </c>
      <c r="AC203" s="290">
        <v>9190.35</v>
      </c>
      <c r="AD203" s="192">
        <v>12</v>
      </c>
      <c r="AE203" s="290">
        <v>10000</v>
      </c>
      <c r="AF203" s="194">
        <v>120284.20000000001</v>
      </c>
    </row>
    <row r="204" spans="1:33" x14ac:dyDescent="0.3">
      <c r="A204" s="192">
        <v>5832</v>
      </c>
      <c r="B204" s="192">
        <v>81</v>
      </c>
      <c r="C204" s="192">
        <v>2200</v>
      </c>
      <c r="D204" s="192" t="s">
        <v>963</v>
      </c>
      <c r="E204" s="192">
        <v>2733964</v>
      </c>
      <c r="F204" s="192" t="s">
        <v>1281</v>
      </c>
      <c r="G204" s="290">
        <v>1</v>
      </c>
      <c r="H204" s="192">
        <v>7141.12</v>
      </c>
      <c r="I204" s="192">
        <v>370.68</v>
      </c>
      <c r="J204" s="192">
        <v>197.6</v>
      </c>
      <c r="K204" s="192">
        <v>0</v>
      </c>
      <c r="L204" s="192">
        <v>0</v>
      </c>
      <c r="M204" s="192">
        <v>0</v>
      </c>
      <c r="N204" s="192">
        <v>36.5</v>
      </c>
      <c r="O204" s="192">
        <v>7745.9</v>
      </c>
      <c r="P204" s="192">
        <v>332</v>
      </c>
      <c r="Q204" s="192">
        <v>580.94000000000005</v>
      </c>
      <c r="R204" s="192">
        <v>0</v>
      </c>
      <c r="S204" s="285">
        <v>1</v>
      </c>
      <c r="T204" s="192">
        <v>1491.33</v>
      </c>
      <c r="U204" s="291">
        <v>10150.17</v>
      </c>
      <c r="V204" s="291">
        <v>10150.17</v>
      </c>
      <c r="W204" s="292">
        <v>124998.72</v>
      </c>
      <c r="X204" s="292">
        <v>121802.04000000001</v>
      </c>
      <c r="Y204" s="292">
        <v>122655.76000000001</v>
      </c>
      <c r="Z204" s="292">
        <v>119850.97</v>
      </c>
      <c r="AA204" s="290">
        <v>123108.23942999999</v>
      </c>
      <c r="AB204" s="285">
        <v>122145.51615</v>
      </c>
      <c r="AC204" s="290">
        <v>10416.56</v>
      </c>
      <c r="AD204" s="192">
        <v>12</v>
      </c>
      <c r="AE204" s="290">
        <v>10000</v>
      </c>
      <c r="AF204" s="194">
        <v>134998.72</v>
      </c>
    </row>
    <row r="205" spans="1:33" x14ac:dyDescent="0.3">
      <c r="A205" s="192">
        <v>5832</v>
      </c>
      <c r="B205" s="192">
        <v>81</v>
      </c>
      <c r="C205" s="192">
        <v>2200</v>
      </c>
      <c r="D205" s="192" t="s">
        <v>963</v>
      </c>
      <c r="E205" s="192">
        <v>2887850</v>
      </c>
      <c r="F205" s="192" t="s">
        <v>1282</v>
      </c>
      <c r="G205" s="290">
        <v>0</v>
      </c>
      <c r="H205" s="192">
        <v>1272.93</v>
      </c>
      <c r="I205" s="192">
        <v>0</v>
      </c>
      <c r="J205" s="192">
        <v>-149</v>
      </c>
      <c r="K205" s="192">
        <v>0</v>
      </c>
      <c r="L205" s="192">
        <v>0</v>
      </c>
      <c r="M205" s="192">
        <v>0</v>
      </c>
      <c r="N205" s="192">
        <v>0</v>
      </c>
      <c r="O205" s="192">
        <v>1123.93</v>
      </c>
      <c r="P205" s="192">
        <v>61.37</v>
      </c>
      <c r="Q205" s="192">
        <v>129.65</v>
      </c>
      <c r="R205" s="192">
        <v>0</v>
      </c>
      <c r="S205" s="285">
        <v>0</v>
      </c>
      <c r="T205" s="192">
        <v>171.85</v>
      </c>
      <c r="U205" s="291">
        <v>1486.8</v>
      </c>
      <c r="V205" s="291">
        <v>1486.8</v>
      </c>
      <c r="W205" s="292">
        <v>0</v>
      </c>
      <c r="X205" s="292">
        <v>17841.599999999999</v>
      </c>
      <c r="Y205" s="292">
        <v>13192.8</v>
      </c>
      <c r="Z205" s="292">
        <v>0</v>
      </c>
      <c r="AA205" s="290">
        <v>0</v>
      </c>
      <c r="AB205" s="285">
        <v>0</v>
      </c>
      <c r="AC205" s="290">
        <v>4190.4799999999996</v>
      </c>
      <c r="AD205" s="192">
        <v>12</v>
      </c>
      <c r="AE205" s="290">
        <v>0</v>
      </c>
      <c r="AF205" s="194">
        <v>50285.759999999995</v>
      </c>
      <c r="AG205" s="192" t="s">
        <v>1283</v>
      </c>
    </row>
    <row r="206" spans="1:33" x14ac:dyDescent="0.3">
      <c r="A206" s="192">
        <v>5832</v>
      </c>
      <c r="B206" s="192">
        <v>81</v>
      </c>
      <c r="C206" s="192">
        <v>2200</v>
      </c>
      <c r="D206" s="192" t="s">
        <v>963</v>
      </c>
      <c r="E206" s="192">
        <v>2887997</v>
      </c>
      <c r="F206" s="192" t="s">
        <v>1284</v>
      </c>
      <c r="G206" s="290">
        <v>1</v>
      </c>
      <c r="H206" s="192">
        <v>7202.48</v>
      </c>
      <c r="I206" s="192">
        <v>387.56</v>
      </c>
      <c r="J206" s="192">
        <v>197.6</v>
      </c>
      <c r="K206" s="192">
        <v>0</v>
      </c>
      <c r="L206" s="192">
        <v>0</v>
      </c>
      <c r="M206" s="192">
        <v>0</v>
      </c>
      <c r="N206" s="192">
        <v>36.5</v>
      </c>
      <c r="O206" s="192">
        <v>7824.14</v>
      </c>
      <c r="P206" s="192">
        <v>338</v>
      </c>
      <c r="Q206" s="192">
        <v>586.80999999999995</v>
      </c>
      <c r="R206" s="192">
        <v>0</v>
      </c>
      <c r="S206" s="285">
        <v>1</v>
      </c>
      <c r="T206" s="192">
        <v>1508.31</v>
      </c>
      <c r="U206" s="291">
        <v>10257.26</v>
      </c>
      <c r="V206" s="291">
        <v>10257.26</v>
      </c>
      <c r="W206" s="292">
        <v>121250.04000000001</v>
      </c>
      <c r="X206" s="292">
        <v>123087.12</v>
      </c>
      <c r="Y206" s="292">
        <v>122256.6</v>
      </c>
      <c r="Z206" s="292">
        <v>126562.26</v>
      </c>
      <c r="AA206" s="290">
        <v>132502.20290999999</v>
      </c>
      <c r="AB206" s="285">
        <v>131466.01754999999</v>
      </c>
      <c r="AC206" s="290">
        <v>10104.17</v>
      </c>
      <c r="AD206" s="192">
        <v>12</v>
      </c>
      <c r="AE206" s="290">
        <v>10000</v>
      </c>
      <c r="AF206" s="194">
        <v>131250.04</v>
      </c>
    </row>
    <row r="207" spans="1:33" x14ac:dyDescent="0.3">
      <c r="A207" s="192">
        <v>5832</v>
      </c>
      <c r="B207" s="192">
        <v>81</v>
      </c>
      <c r="C207" s="192">
        <v>2200</v>
      </c>
      <c r="D207" s="192" t="s">
        <v>963</v>
      </c>
      <c r="E207" s="192">
        <v>3190147</v>
      </c>
      <c r="F207" s="192" t="s">
        <v>1285</v>
      </c>
      <c r="G207" s="290">
        <v>0</v>
      </c>
      <c r="H207" s="192">
        <v>3715.53</v>
      </c>
      <c r="I207" s="192">
        <v>0</v>
      </c>
      <c r="J207" s="192">
        <v>149</v>
      </c>
      <c r="K207" s="192">
        <v>0</v>
      </c>
      <c r="L207" s="192">
        <v>0</v>
      </c>
      <c r="M207" s="192">
        <v>0</v>
      </c>
      <c r="N207" s="192">
        <v>0</v>
      </c>
      <c r="O207" s="192">
        <v>3864.53</v>
      </c>
      <c r="P207" s="192">
        <v>143</v>
      </c>
      <c r="Q207" s="192">
        <v>301.08999999999997</v>
      </c>
      <c r="R207" s="192">
        <v>0</v>
      </c>
      <c r="S207" s="285">
        <v>0</v>
      </c>
      <c r="T207" s="192">
        <v>501.59</v>
      </c>
      <c r="U207" s="291">
        <v>4810.21</v>
      </c>
      <c r="V207" s="291">
        <v>4810.21</v>
      </c>
      <c r="W207" s="292">
        <v>58857.96</v>
      </c>
      <c r="X207" s="292">
        <v>57722.520000000004</v>
      </c>
      <c r="Y207" s="292">
        <v>36446.32</v>
      </c>
      <c r="Z207" s="292">
        <v>6481.44</v>
      </c>
      <c r="AA207" s="290">
        <v>6566.5858500000004</v>
      </c>
      <c r="AB207" s="285">
        <v>6515.2342500000004</v>
      </c>
      <c r="AC207" s="290">
        <v>4904.83</v>
      </c>
      <c r="AD207" s="192">
        <v>12</v>
      </c>
      <c r="AE207" s="290">
        <v>2000</v>
      </c>
      <c r="AF207" s="194">
        <v>60857.96</v>
      </c>
      <c r="AG207" s="192" t="s">
        <v>1286</v>
      </c>
    </row>
    <row r="208" spans="1:33" x14ac:dyDescent="0.3">
      <c r="A208" s="192">
        <v>5832</v>
      </c>
      <c r="B208" s="192">
        <v>81</v>
      </c>
      <c r="C208" s="192">
        <v>2200</v>
      </c>
      <c r="D208" s="192" t="s">
        <v>963</v>
      </c>
      <c r="E208" s="192">
        <v>3196368</v>
      </c>
      <c r="F208" s="192" t="s">
        <v>1287</v>
      </c>
      <c r="G208" s="290">
        <v>1</v>
      </c>
      <c r="H208" s="192">
        <v>6375.23</v>
      </c>
      <c r="I208" s="192">
        <v>380.48</v>
      </c>
      <c r="J208" s="192">
        <v>197.6</v>
      </c>
      <c r="K208" s="192">
        <v>0</v>
      </c>
      <c r="L208" s="192">
        <v>0</v>
      </c>
      <c r="M208" s="192">
        <v>0</v>
      </c>
      <c r="N208" s="192">
        <v>353.5</v>
      </c>
      <c r="O208" s="192">
        <v>7306.81</v>
      </c>
      <c r="P208" s="192">
        <v>299</v>
      </c>
      <c r="Q208" s="192">
        <v>548.01</v>
      </c>
      <c r="R208" s="192">
        <v>0</v>
      </c>
      <c r="S208" s="285">
        <v>1</v>
      </c>
      <c r="T208" s="192">
        <v>1345.78</v>
      </c>
      <c r="U208" s="291">
        <v>9499.6</v>
      </c>
      <c r="V208" s="291">
        <v>9499.6</v>
      </c>
      <c r="W208" s="292">
        <v>134372.63999999998</v>
      </c>
      <c r="X208" s="292">
        <v>113995.20000000001</v>
      </c>
      <c r="Y208" s="292">
        <v>125565.6</v>
      </c>
      <c r="Z208" s="292">
        <v>123905.84</v>
      </c>
      <c r="AA208" s="290">
        <v>127534.20800999999</v>
      </c>
      <c r="AB208" s="285">
        <v>126536.87304999998</v>
      </c>
      <c r="AC208" s="290">
        <v>11197.72</v>
      </c>
      <c r="AD208" s="192">
        <v>12</v>
      </c>
      <c r="AE208" s="290">
        <v>10000</v>
      </c>
      <c r="AF208" s="194">
        <v>144372.63999999998</v>
      </c>
    </row>
    <row r="209" spans="1:33" x14ac:dyDescent="0.3">
      <c r="A209" s="192">
        <v>5832</v>
      </c>
      <c r="B209" s="192">
        <v>81</v>
      </c>
      <c r="C209" s="192">
        <v>2200</v>
      </c>
      <c r="D209" s="192" t="s">
        <v>963</v>
      </c>
      <c r="E209" s="192">
        <v>3196428</v>
      </c>
      <c r="F209" s="192" t="s">
        <v>1288</v>
      </c>
      <c r="G209" s="290">
        <v>1</v>
      </c>
      <c r="H209" s="192">
        <v>6728.1</v>
      </c>
      <c r="I209" s="192">
        <v>382.68</v>
      </c>
      <c r="J209" s="192">
        <v>208.6</v>
      </c>
      <c r="K209" s="192">
        <v>0</v>
      </c>
      <c r="L209" s="192">
        <v>0</v>
      </c>
      <c r="M209" s="192">
        <v>0</v>
      </c>
      <c r="N209" s="192">
        <v>36.5</v>
      </c>
      <c r="O209" s="192">
        <v>7355.88</v>
      </c>
      <c r="P209" s="192">
        <v>303</v>
      </c>
      <c r="Q209" s="192">
        <v>551.69000000000005</v>
      </c>
      <c r="R209" s="192">
        <v>0</v>
      </c>
      <c r="S209" s="285">
        <v>1</v>
      </c>
      <c r="T209" s="192">
        <v>1406.34</v>
      </c>
      <c r="U209" s="291">
        <v>9616.91</v>
      </c>
      <c r="V209" s="291">
        <v>9616.91</v>
      </c>
      <c r="W209" s="292">
        <v>134592.72</v>
      </c>
      <c r="X209" s="292">
        <v>115402.92</v>
      </c>
      <c r="Y209" s="292">
        <v>123353.28</v>
      </c>
      <c r="Z209" s="292">
        <v>129750.75</v>
      </c>
      <c r="AA209" s="290">
        <v>133342.43372999999</v>
      </c>
      <c r="AB209" s="285">
        <v>132299.67765</v>
      </c>
      <c r="AC209" s="290">
        <v>11216.06</v>
      </c>
      <c r="AD209" s="192">
        <v>12</v>
      </c>
      <c r="AE209" s="290">
        <v>10000</v>
      </c>
      <c r="AF209" s="194">
        <v>144592.72</v>
      </c>
    </row>
    <row r="210" spans="1:33" x14ac:dyDescent="0.3">
      <c r="A210" s="192">
        <v>5832</v>
      </c>
      <c r="B210" s="192">
        <v>81</v>
      </c>
      <c r="C210" s="192">
        <v>2200</v>
      </c>
      <c r="D210" s="192" t="s">
        <v>963</v>
      </c>
      <c r="E210" s="192">
        <v>3287783</v>
      </c>
      <c r="F210" s="192" t="s">
        <v>1289</v>
      </c>
      <c r="G210" s="290">
        <v>1</v>
      </c>
      <c r="H210" s="192">
        <v>7354.97</v>
      </c>
      <c r="I210" s="192">
        <v>392.53</v>
      </c>
      <c r="J210" s="192">
        <v>197.6</v>
      </c>
      <c r="K210" s="192">
        <v>0</v>
      </c>
      <c r="L210" s="192">
        <v>0</v>
      </c>
      <c r="M210" s="192">
        <v>0</v>
      </c>
      <c r="N210" s="192">
        <v>36.5</v>
      </c>
      <c r="O210" s="192">
        <v>7981.6</v>
      </c>
      <c r="P210" s="192">
        <v>350</v>
      </c>
      <c r="Q210" s="192">
        <v>598.62</v>
      </c>
      <c r="R210" s="192">
        <v>0</v>
      </c>
      <c r="S210" s="285">
        <v>1</v>
      </c>
      <c r="T210" s="192">
        <v>1541.99</v>
      </c>
      <c r="U210" s="291">
        <v>10472.209999999999</v>
      </c>
      <c r="V210" s="291">
        <v>10472.209999999999</v>
      </c>
      <c r="W210" s="292">
        <v>140934.72</v>
      </c>
      <c r="X210" s="292">
        <v>125666.51999999999</v>
      </c>
      <c r="Y210" s="292">
        <v>130536.03999999998</v>
      </c>
      <c r="Z210" s="292">
        <v>131550.54999999999</v>
      </c>
      <c r="AA210" s="290">
        <v>134458.26074999999</v>
      </c>
      <c r="AB210" s="285">
        <v>133406.77875</v>
      </c>
      <c r="AC210" s="290">
        <v>11744.56</v>
      </c>
      <c r="AD210" s="192">
        <v>12</v>
      </c>
      <c r="AE210" s="290">
        <v>10000</v>
      </c>
      <c r="AF210" s="194">
        <v>150934.72</v>
      </c>
    </row>
    <row r="211" spans="1:33" x14ac:dyDescent="0.3">
      <c r="A211" s="192">
        <v>5832</v>
      </c>
      <c r="B211" s="192">
        <v>81</v>
      </c>
      <c r="C211" s="192">
        <v>2200</v>
      </c>
      <c r="D211" s="192" t="s">
        <v>963</v>
      </c>
      <c r="E211" s="192">
        <v>3330675</v>
      </c>
      <c r="F211" s="192" t="s">
        <v>1290</v>
      </c>
      <c r="G211" s="290">
        <v>0.624</v>
      </c>
      <c r="H211" s="192">
        <v>4252.08</v>
      </c>
      <c r="I211" s="192">
        <v>233.26</v>
      </c>
      <c r="J211" s="192">
        <v>115.33</v>
      </c>
      <c r="K211" s="192">
        <v>0</v>
      </c>
      <c r="L211" s="192">
        <v>0</v>
      </c>
      <c r="M211" s="192">
        <v>0</v>
      </c>
      <c r="N211" s="192">
        <v>36.5</v>
      </c>
      <c r="O211" s="192">
        <v>4637.17</v>
      </c>
      <c r="P211" s="192">
        <v>165</v>
      </c>
      <c r="Q211" s="192">
        <v>347.79</v>
      </c>
      <c r="R211" s="192">
        <v>0</v>
      </c>
      <c r="S211" s="285">
        <v>0.624</v>
      </c>
      <c r="T211" s="192">
        <v>898.51</v>
      </c>
      <c r="U211" s="291">
        <v>6048.47</v>
      </c>
      <c r="V211" s="291">
        <v>6048.47</v>
      </c>
      <c r="W211" s="292">
        <v>71490.959999999992</v>
      </c>
      <c r="X211" s="292">
        <v>72581.64</v>
      </c>
      <c r="Y211" s="292">
        <v>73646</v>
      </c>
      <c r="Z211" s="292">
        <v>66075.22</v>
      </c>
      <c r="AA211" s="290">
        <v>66584.052149999989</v>
      </c>
      <c r="AB211" s="285">
        <v>66063.355749999988</v>
      </c>
      <c r="AC211" s="290">
        <v>5957.58</v>
      </c>
      <c r="AD211" s="192">
        <v>12</v>
      </c>
      <c r="AE211" s="290">
        <v>5000</v>
      </c>
      <c r="AF211" s="194">
        <v>76490.959999999992</v>
      </c>
    </row>
    <row r="212" spans="1:33" x14ac:dyDescent="0.3">
      <c r="A212" s="192">
        <v>5832</v>
      </c>
      <c r="B212" s="192">
        <v>81</v>
      </c>
      <c r="C212" s="192">
        <v>2200</v>
      </c>
      <c r="D212" s="192" t="s">
        <v>963</v>
      </c>
      <c r="E212" s="192">
        <v>3584767</v>
      </c>
      <c r="F212" s="192" t="s">
        <v>1291</v>
      </c>
      <c r="G212" s="290">
        <v>0.73799999999999999</v>
      </c>
      <c r="H212" s="192">
        <v>5231.4799999999996</v>
      </c>
      <c r="I212" s="192">
        <v>339.38</v>
      </c>
      <c r="J212" s="192">
        <v>180.38</v>
      </c>
      <c r="K212" s="192">
        <v>0</v>
      </c>
      <c r="L212" s="192">
        <v>0</v>
      </c>
      <c r="M212" s="192">
        <v>0</v>
      </c>
      <c r="N212" s="192">
        <v>36.5</v>
      </c>
      <c r="O212" s="192">
        <v>5787.74</v>
      </c>
      <c r="P212" s="192">
        <v>205</v>
      </c>
      <c r="Q212" s="192">
        <v>434.08</v>
      </c>
      <c r="R212" s="192">
        <v>0</v>
      </c>
      <c r="S212" s="285">
        <v>0.73799999999999999</v>
      </c>
      <c r="T212" s="192">
        <v>1018.87</v>
      </c>
      <c r="U212" s="291">
        <v>7445.69</v>
      </c>
      <c r="V212" s="291">
        <v>7445.69</v>
      </c>
      <c r="W212" s="292">
        <v>99661.08</v>
      </c>
      <c r="X212" s="292">
        <v>89348.28</v>
      </c>
      <c r="Y212" s="292">
        <v>92309.84</v>
      </c>
      <c r="Z212" s="292">
        <v>75010.2</v>
      </c>
      <c r="AA212" s="290">
        <v>76527.857669999998</v>
      </c>
      <c r="AB212" s="285">
        <v>75929.399350000007</v>
      </c>
      <c r="AC212" s="290">
        <v>7300</v>
      </c>
      <c r="AD212" s="192">
        <v>12</v>
      </c>
      <c r="AE212" s="290">
        <v>8000</v>
      </c>
      <c r="AF212" s="194">
        <v>95600</v>
      </c>
    </row>
    <row r="213" spans="1:33" x14ac:dyDescent="0.3">
      <c r="A213" s="192">
        <v>5832</v>
      </c>
      <c r="B213" s="192">
        <v>81</v>
      </c>
      <c r="C213" s="192">
        <v>2200</v>
      </c>
      <c r="D213" s="192" t="s">
        <v>963</v>
      </c>
      <c r="E213" s="192">
        <v>3594485</v>
      </c>
      <c r="F213" s="192" t="s">
        <v>1292</v>
      </c>
      <c r="G213" s="290">
        <v>0.72</v>
      </c>
      <c r="H213" s="192">
        <v>6025.78</v>
      </c>
      <c r="I213" s="192">
        <v>317.86</v>
      </c>
      <c r="J213" s="192">
        <v>138.56</v>
      </c>
      <c r="K213" s="192">
        <v>0</v>
      </c>
      <c r="L213" s="192">
        <v>0</v>
      </c>
      <c r="M213" s="192">
        <v>0</v>
      </c>
      <c r="N213" s="192">
        <v>0</v>
      </c>
      <c r="O213" s="192">
        <v>6482.2</v>
      </c>
      <c r="P213" s="192">
        <v>246</v>
      </c>
      <c r="Q213" s="192">
        <v>486.17</v>
      </c>
      <c r="R213" s="192">
        <v>0</v>
      </c>
      <c r="S213" s="285">
        <v>0.72000000000000008</v>
      </c>
      <c r="T213" s="192">
        <v>1196.6099999999999</v>
      </c>
      <c r="U213" s="291">
        <v>8410.98</v>
      </c>
      <c r="V213" s="291">
        <v>8410.98</v>
      </c>
      <c r="W213" s="292">
        <v>80941.08</v>
      </c>
      <c r="X213" s="292">
        <v>100931.76</v>
      </c>
      <c r="Y213" s="292">
        <v>93067.48</v>
      </c>
      <c r="Z213" s="292">
        <v>82564.710000000006</v>
      </c>
      <c r="AA213" s="290">
        <v>81265.841249999998</v>
      </c>
      <c r="AB213" s="285">
        <v>80630.331249999988</v>
      </c>
      <c r="AC213" s="290">
        <v>6745.09</v>
      </c>
      <c r="AD213" s="192">
        <v>12</v>
      </c>
      <c r="AE213" s="290">
        <v>7000</v>
      </c>
      <c r="AF213" s="194">
        <v>87941.08</v>
      </c>
    </row>
    <row r="214" spans="1:33" x14ac:dyDescent="0.3">
      <c r="A214" s="192">
        <v>5832</v>
      </c>
      <c r="B214" s="192">
        <v>81</v>
      </c>
      <c r="C214" s="192">
        <v>2200</v>
      </c>
      <c r="D214" s="192" t="s">
        <v>963</v>
      </c>
      <c r="E214" s="192">
        <v>3827854</v>
      </c>
      <c r="F214" s="192" t="s">
        <v>1293</v>
      </c>
      <c r="G214" s="290">
        <v>1</v>
      </c>
      <c r="H214" s="192">
        <v>7486.82</v>
      </c>
      <c r="I214" s="192">
        <v>383.24</v>
      </c>
      <c r="J214" s="192">
        <v>197.6</v>
      </c>
      <c r="K214" s="192">
        <v>0</v>
      </c>
      <c r="L214" s="192">
        <v>0</v>
      </c>
      <c r="M214" s="192">
        <v>0</v>
      </c>
      <c r="N214" s="192">
        <v>36.5</v>
      </c>
      <c r="O214" s="192">
        <v>8104.16</v>
      </c>
      <c r="P214" s="192">
        <v>360</v>
      </c>
      <c r="Q214" s="192">
        <v>607.80999999999995</v>
      </c>
      <c r="R214" s="192">
        <v>0</v>
      </c>
      <c r="S214" s="285">
        <v>1</v>
      </c>
      <c r="T214" s="192">
        <v>1566.83</v>
      </c>
      <c r="U214" s="291">
        <v>10638.8</v>
      </c>
      <c r="V214" s="291">
        <v>10638.8</v>
      </c>
      <c r="W214" s="292">
        <v>136472.04</v>
      </c>
      <c r="X214" s="292">
        <v>127665.59999999999</v>
      </c>
      <c r="Y214" s="292">
        <v>130380.6</v>
      </c>
      <c r="Z214" s="292">
        <v>139740.72</v>
      </c>
      <c r="AA214" s="290">
        <v>141289.94681999998</v>
      </c>
      <c r="AB214" s="285">
        <v>140185.04009999998</v>
      </c>
      <c r="AC214" s="290">
        <v>11372.67</v>
      </c>
      <c r="AD214" s="192">
        <v>12</v>
      </c>
      <c r="AE214" s="290">
        <v>10000</v>
      </c>
      <c r="AF214" s="194">
        <v>146472.04</v>
      </c>
    </row>
    <row r="215" spans="1:33" x14ac:dyDescent="0.3">
      <c r="A215" s="192">
        <v>5832</v>
      </c>
      <c r="B215" s="192">
        <v>81</v>
      </c>
      <c r="C215" s="192">
        <v>2200</v>
      </c>
      <c r="D215" s="192" t="s">
        <v>963</v>
      </c>
      <c r="E215" s="192">
        <v>3845294</v>
      </c>
      <c r="F215" s="192" t="s">
        <v>1294</v>
      </c>
      <c r="G215" s="290">
        <v>1</v>
      </c>
      <c r="H215" s="192">
        <v>6704.77</v>
      </c>
      <c r="I215" s="192">
        <v>382.12</v>
      </c>
      <c r="J215" s="192">
        <v>197.6</v>
      </c>
      <c r="K215" s="192">
        <v>0</v>
      </c>
      <c r="L215" s="192">
        <v>0</v>
      </c>
      <c r="M215" s="192">
        <v>0</v>
      </c>
      <c r="N215" s="192">
        <v>36.5</v>
      </c>
      <c r="O215" s="192">
        <v>7320.99</v>
      </c>
      <c r="P215" s="192">
        <v>300</v>
      </c>
      <c r="Q215" s="192">
        <v>549.08000000000004</v>
      </c>
      <c r="R215" s="192">
        <v>0</v>
      </c>
      <c r="S215" s="285">
        <v>1</v>
      </c>
      <c r="T215" s="192">
        <v>1400.67</v>
      </c>
      <c r="U215" s="291">
        <v>9570.74</v>
      </c>
      <c r="V215" s="291">
        <v>9570.74</v>
      </c>
      <c r="W215" s="292">
        <v>127217.51999999999</v>
      </c>
      <c r="X215" s="292">
        <v>114848.88</v>
      </c>
      <c r="Y215" s="292">
        <v>118261.72</v>
      </c>
      <c r="Z215" s="292">
        <v>129213.5</v>
      </c>
      <c r="AA215" s="290">
        <v>132435.13502999998</v>
      </c>
      <c r="AB215" s="285">
        <v>131399.47414999999</v>
      </c>
      <c r="AC215" s="290">
        <v>10601.46</v>
      </c>
      <c r="AD215" s="192">
        <v>12</v>
      </c>
      <c r="AE215" s="290">
        <v>10000</v>
      </c>
      <c r="AF215" s="194">
        <v>137217.51999999999</v>
      </c>
    </row>
    <row r="216" spans="1:33" x14ac:dyDescent="0.3">
      <c r="A216" s="192">
        <v>5832</v>
      </c>
      <c r="B216" s="192">
        <v>81</v>
      </c>
      <c r="C216" s="192">
        <v>2200</v>
      </c>
      <c r="D216" s="192" t="s">
        <v>963</v>
      </c>
      <c r="E216" s="192">
        <v>3873651</v>
      </c>
      <c r="F216" s="192" t="s">
        <v>1295</v>
      </c>
      <c r="G216" s="290">
        <v>0.57499999999999996</v>
      </c>
      <c r="H216" s="192">
        <v>3838.27</v>
      </c>
      <c r="I216" s="192">
        <v>205.97</v>
      </c>
      <c r="J216" s="192">
        <v>115.96</v>
      </c>
      <c r="K216" s="192">
        <v>0</v>
      </c>
      <c r="L216" s="192">
        <v>0</v>
      </c>
      <c r="M216" s="192">
        <v>0</v>
      </c>
      <c r="N216" s="192">
        <v>182.28</v>
      </c>
      <c r="O216" s="192">
        <v>4342.4799999999996</v>
      </c>
      <c r="P216" s="192">
        <v>154</v>
      </c>
      <c r="Q216" s="192">
        <v>325.69</v>
      </c>
      <c r="R216" s="192">
        <v>0</v>
      </c>
      <c r="S216" s="285">
        <v>0.57499999999999996</v>
      </c>
      <c r="T216" s="192">
        <v>772.69</v>
      </c>
      <c r="U216" s="291">
        <v>5594.86</v>
      </c>
      <c r="V216" s="291">
        <v>5594.86</v>
      </c>
      <c r="W216" s="292">
        <v>69853.799999999988</v>
      </c>
      <c r="X216" s="292">
        <v>67138.319999999992</v>
      </c>
      <c r="Y216" s="292">
        <v>72644.88</v>
      </c>
      <c r="Z216" s="292">
        <v>73384.009999999995</v>
      </c>
      <c r="AA216" s="290">
        <v>75479.558879999997</v>
      </c>
      <c r="AB216" s="285">
        <v>74889.298399999985</v>
      </c>
      <c r="AC216" s="290">
        <v>5821.15</v>
      </c>
      <c r="AD216" s="192">
        <v>12</v>
      </c>
      <c r="AE216" s="290">
        <v>6000</v>
      </c>
      <c r="AF216" s="194">
        <v>75853.799999999988</v>
      </c>
    </row>
    <row r="217" spans="1:33" x14ac:dyDescent="0.3">
      <c r="A217" s="192">
        <v>5832</v>
      </c>
      <c r="B217" s="192">
        <v>81</v>
      </c>
      <c r="C217" s="192">
        <v>2200</v>
      </c>
      <c r="D217" s="192" t="s">
        <v>963</v>
      </c>
      <c r="E217" s="192">
        <v>3873846</v>
      </c>
      <c r="F217" s="192" t="s">
        <v>1296</v>
      </c>
      <c r="G217" s="290">
        <v>1</v>
      </c>
      <c r="H217" s="192">
        <v>7419.11</v>
      </c>
      <c r="I217" s="192">
        <v>380.08</v>
      </c>
      <c r="J217" s="192">
        <v>197.6</v>
      </c>
      <c r="K217" s="192">
        <v>0</v>
      </c>
      <c r="L217" s="192">
        <v>0</v>
      </c>
      <c r="M217" s="192">
        <v>0</v>
      </c>
      <c r="N217" s="192">
        <v>36.5</v>
      </c>
      <c r="O217" s="192">
        <v>8033.29</v>
      </c>
      <c r="P217" s="192">
        <v>354</v>
      </c>
      <c r="Q217" s="192">
        <v>602.5</v>
      </c>
      <c r="R217" s="192">
        <v>0</v>
      </c>
      <c r="S217" s="285">
        <v>1</v>
      </c>
      <c r="T217" s="192">
        <v>1551.42</v>
      </c>
      <c r="U217" s="291">
        <v>10541.21</v>
      </c>
      <c r="V217" s="291">
        <v>10541.21</v>
      </c>
      <c r="W217" s="292">
        <v>124686.95999999999</v>
      </c>
      <c r="X217" s="292">
        <v>126494.51999999999</v>
      </c>
      <c r="Y217" s="292">
        <v>125676.64</v>
      </c>
      <c r="Z217" s="292">
        <v>135711.01</v>
      </c>
      <c r="AA217" s="290">
        <v>138828.08708999999</v>
      </c>
      <c r="AB217" s="285">
        <v>137742.43244999996</v>
      </c>
      <c r="AC217" s="290">
        <v>10390.58</v>
      </c>
      <c r="AD217" s="192">
        <v>12</v>
      </c>
      <c r="AE217" s="290">
        <v>10000</v>
      </c>
      <c r="AF217" s="194">
        <v>134686.96</v>
      </c>
    </row>
    <row r="218" spans="1:33" x14ac:dyDescent="0.3">
      <c r="A218" s="192">
        <v>5832</v>
      </c>
      <c r="B218" s="192">
        <v>81</v>
      </c>
      <c r="C218" s="192">
        <v>2200</v>
      </c>
      <c r="D218" s="192" t="s">
        <v>963</v>
      </c>
      <c r="E218" s="192">
        <v>3951777</v>
      </c>
      <c r="F218" s="192" t="s">
        <v>1297</v>
      </c>
      <c r="G218" s="290">
        <v>0.57699999999999996</v>
      </c>
      <c r="H218" s="192">
        <v>3834.62</v>
      </c>
      <c r="I218" s="192">
        <v>206.19</v>
      </c>
      <c r="J218" s="192">
        <v>116.03</v>
      </c>
      <c r="K218" s="192">
        <v>0</v>
      </c>
      <c r="L218" s="192">
        <v>0</v>
      </c>
      <c r="M218" s="192">
        <v>0</v>
      </c>
      <c r="N218" s="192">
        <v>182.91</v>
      </c>
      <c r="O218" s="192">
        <v>4339.75</v>
      </c>
      <c r="P218" s="192">
        <v>154</v>
      </c>
      <c r="Q218" s="192">
        <v>325.48</v>
      </c>
      <c r="R218" s="192">
        <v>0</v>
      </c>
      <c r="S218" s="285">
        <v>0.57699999999999996</v>
      </c>
      <c r="T218" s="192">
        <v>506.14</v>
      </c>
      <c r="U218" s="291">
        <v>5325.37</v>
      </c>
      <c r="V218" s="291">
        <v>5325.37</v>
      </c>
      <c r="W218" s="292">
        <v>77784</v>
      </c>
      <c r="X218" s="292">
        <v>63904.44</v>
      </c>
      <c r="Y218" s="292">
        <v>68420.72</v>
      </c>
      <c r="Z218" s="292">
        <v>27656.93</v>
      </c>
      <c r="AA218" s="290">
        <v>28294.369289999999</v>
      </c>
      <c r="AB218" s="285">
        <v>28073.103449999995</v>
      </c>
      <c r="AC218" s="290">
        <v>5300</v>
      </c>
      <c r="AD218" s="192">
        <v>12</v>
      </c>
      <c r="AE218" s="290">
        <v>6500</v>
      </c>
      <c r="AF218" s="194">
        <v>70100</v>
      </c>
      <c r="AG218" s="192" t="s">
        <v>1298</v>
      </c>
    </row>
    <row r="219" spans="1:33" x14ac:dyDescent="0.3">
      <c r="A219" s="192">
        <v>5832</v>
      </c>
      <c r="B219" s="192">
        <v>81</v>
      </c>
      <c r="C219" s="192">
        <v>2200</v>
      </c>
      <c r="D219" s="192" t="s">
        <v>963</v>
      </c>
      <c r="E219" s="192">
        <v>4059999</v>
      </c>
      <c r="F219" s="192" t="s">
        <v>1299</v>
      </c>
      <c r="G219" s="290">
        <v>1</v>
      </c>
      <c r="H219" s="192">
        <v>6880.97</v>
      </c>
      <c r="I219" s="192">
        <v>380.77</v>
      </c>
      <c r="J219" s="192">
        <v>197.6</v>
      </c>
      <c r="K219" s="192">
        <v>0</v>
      </c>
      <c r="L219" s="192">
        <v>0</v>
      </c>
      <c r="M219" s="192">
        <v>0</v>
      </c>
      <c r="N219" s="192">
        <v>567.5</v>
      </c>
      <c r="O219" s="192">
        <v>8026.84</v>
      </c>
      <c r="P219" s="192">
        <v>354</v>
      </c>
      <c r="Q219" s="192">
        <v>602.01</v>
      </c>
      <c r="R219" s="192">
        <v>0</v>
      </c>
      <c r="S219" s="285">
        <v>1</v>
      </c>
      <c r="T219" s="192">
        <v>1432.03</v>
      </c>
      <c r="U219" s="291">
        <v>10414.879999999999</v>
      </c>
      <c r="V219" s="291">
        <v>10414.879999999999</v>
      </c>
      <c r="W219" s="292">
        <v>128193.36000000002</v>
      </c>
      <c r="X219" s="292">
        <v>124978.56</v>
      </c>
      <c r="Y219" s="292">
        <v>127509.56</v>
      </c>
      <c r="Z219" s="292">
        <v>137473.70000000001</v>
      </c>
      <c r="AA219" s="290">
        <v>140348.02979999999</v>
      </c>
      <c r="AB219" s="285">
        <v>139250.489</v>
      </c>
      <c r="AC219" s="290">
        <v>10682.78</v>
      </c>
      <c r="AD219" s="192">
        <v>12</v>
      </c>
      <c r="AE219" s="290">
        <v>10000</v>
      </c>
      <c r="AF219" s="194">
        <v>138193.36000000002</v>
      </c>
    </row>
    <row r="220" spans="1:33" x14ac:dyDescent="0.3">
      <c r="A220" s="192">
        <v>5832</v>
      </c>
      <c r="B220" s="192">
        <v>81</v>
      </c>
      <c r="C220" s="192">
        <v>2200</v>
      </c>
      <c r="D220" s="192" t="s">
        <v>963</v>
      </c>
      <c r="E220" s="192">
        <v>4060328</v>
      </c>
      <c r="F220" s="192" t="s">
        <v>1300</v>
      </c>
      <c r="G220" s="290">
        <v>1</v>
      </c>
      <c r="H220" s="192">
        <v>7042.3</v>
      </c>
      <c r="I220" s="192">
        <v>380.9</v>
      </c>
      <c r="J220" s="192">
        <v>197.6</v>
      </c>
      <c r="K220" s="192">
        <v>0</v>
      </c>
      <c r="L220" s="192">
        <v>0</v>
      </c>
      <c r="M220" s="192">
        <v>0</v>
      </c>
      <c r="N220" s="192">
        <v>-80.5</v>
      </c>
      <c r="O220" s="192">
        <v>7540.3</v>
      </c>
      <c r="P220" s="192">
        <v>317</v>
      </c>
      <c r="Q220" s="192">
        <v>565.52</v>
      </c>
      <c r="R220" s="192">
        <v>0</v>
      </c>
      <c r="S220" s="285">
        <v>1</v>
      </c>
      <c r="T220" s="192">
        <v>1466.8</v>
      </c>
      <c r="U220" s="291">
        <v>9889.6200000000008</v>
      </c>
      <c r="V220" s="291">
        <v>9889.6200000000008</v>
      </c>
      <c r="W220" s="292">
        <v>116852.88</v>
      </c>
      <c r="X220" s="292">
        <v>118675.44</v>
      </c>
      <c r="Y220" s="292">
        <v>117852.28</v>
      </c>
      <c r="Z220" s="292">
        <v>125148.08</v>
      </c>
      <c r="AA220" s="290">
        <v>128026.48583999999</v>
      </c>
      <c r="AB220" s="285">
        <v>127025.30119999999</v>
      </c>
      <c r="AC220" s="290">
        <v>9737.74</v>
      </c>
      <c r="AD220" s="192">
        <v>12</v>
      </c>
      <c r="AE220" s="290">
        <v>9000</v>
      </c>
      <c r="AF220" s="194">
        <v>125852.88</v>
      </c>
    </row>
    <row r="221" spans="1:33" x14ac:dyDescent="0.3">
      <c r="A221" s="192">
        <v>5832</v>
      </c>
      <c r="B221" s="192">
        <v>81</v>
      </c>
      <c r="C221" s="192">
        <v>2200</v>
      </c>
      <c r="D221" s="192" t="s">
        <v>963</v>
      </c>
      <c r="E221" s="192">
        <v>5285917</v>
      </c>
      <c r="F221" s="192" t="s">
        <v>1301</v>
      </c>
      <c r="G221" s="290">
        <v>1</v>
      </c>
      <c r="H221" s="192">
        <v>7350.03</v>
      </c>
      <c r="I221" s="192">
        <v>385.89</v>
      </c>
      <c r="J221" s="192">
        <v>197.6</v>
      </c>
      <c r="K221" s="192">
        <v>0</v>
      </c>
      <c r="L221" s="192">
        <v>0</v>
      </c>
      <c r="M221" s="192">
        <v>0</v>
      </c>
      <c r="N221" s="192">
        <v>36.5</v>
      </c>
      <c r="O221" s="192">
        <v>7970.02</v>
      </c>
      <c r="P221" s="192">
        <v>349</v>
      </c>
      <c r="Q221" s="192">
        <v>597.75</v>
      </c>
      <c r="R221" s="192">
        <v>0</v>
      </c>
      <c r="S221" s="285">
        <v>1</v>
      </c>
      <c r="T221" s="192">
        <v>1507.04</v>
      </c>
      <c r="U221" s="291">
        <v>10423.81</v>
      </c>
      <c r="V221" s="291">
        <v>10423.81</v>
      </c>
      <c r="W221" s="292">
        <v>124253.51999999999</v>
      </c>
      <c r="X221" s="292">
        <v>125085.72</v>
      </c>
      <c r="Y221" s="292">
        <v>124590.80000000002</v>
      </c>
      <c r="Z221" s="292">
        <v>129561.04</v>
      </c>
      <c r="AA221" s="290">
        <v>132970.60391999999</v>
      </c>
      <c r="AB221" s="285">
        <v>131930.75559999997</v>
      </c>
      <c r="AC221" s="290">
        <v>11395.06</v>
      </c>
      <c r="AD221" s="192">
        <v>12</v>
      </c>
      <c r="AE221" s="290">
        <v>10000</v>
      </c>
      <c r="AF221" s="194">
        <v>146740.72</v>
      </c>
    </row>
    <row r="222" spans="1:33" x14ac:dyDescent="0.3">
      <c r="A222" s="192">
        <v>5832</v>
      </c>
      <c r="B222" s="192">
        <v>81</v>
      </c>
      <c r="C222" s="192">
        <v>2200</v>
      </c>
      <c r="D222" s="192" t="s">
        <v>963</v>
      </c>
      <c r="E222" s="192">
        <v>5399578</v>
      </c>
      <c r="F222" s="192" t="s">
        <v>1302</v>
      </c>
      <c r="G222" s="290">
        <v>0.36</v>
      </c>
      <c r="H222" s="192">
        <v>1888</v>
      </c>
      <c r="I222" s="192">
        <v>0</v>
      </c>
      <c r="J222" s="192">
        <v>84.8</v>
      </c>
      <c r="K222" s="192">
        <v>0</v>
      </c>
      <c r="L222" s="192">
        <v>0</v>
      </c>
      <c r="M222" s="192">
        <v>0</v>
      </c>
      <c r="N222" s="192">
        <v>0</v>
      </c>
      <c r="O222" s="192">
        <v>1972.8</v>
      </c>
      <c r="P222" s="192">
        <v>69</v>
      </c>
      <c r="Q222" s="192">
        <v>159.21</v>
      </c>
      <c r="R222" s="192">
        <v>0</v>
      </c>
      <c r="S222" s="285">
        <v>0.36000000000000004</v>
      </c>
      <c r="T222" s="192">
        <v>254.88</v>
      </c>
      <c r="U222" s="291">
        <v>2455.89</v>
      </c>
      <c r="V222" s="291">
        <v>2455.89</v>
      </c>
      <c r="W222" s="292">
        <v>28103.399999999998</v>
      </c>
      <c r="X222" s="292">
        <v>29470.68</v>
      </c>
      <c r="Y222" s="292">
        <v>34184.839999999997</v>
      </c>
      <c r="Z222" s="292">
        <v>22576.15</v>
      </c>
      <c r="AA222" s="290">
        <v>21010.015950000001</v>
      </c>
      <c r="AB222" s="285">
        <v>20845.714749999999</v>
      </c>
      <c r="AC222" s="290">
        <v>2341.9499999999998</v>
      </c>
      <c r="AD222" s="192">
        <v>12</v>
      </c>
      <c r="AE222" s="290">
        <v>2000</v>
      </c>
      <c r="AF222" s="194">
        <v>30103.399999999998</v>
      </c>
    </row>
    <row r="223" spans="1:33" x14ac:dyDescent="0.3">
      <c r="A223" s="192">
        <v>5832</v>
      </c>
      <c r="B223" s="192">
        <v>81</v>
      </c>
      <c r="C223" s="192">
        <v>2200</v>
      </c>
      <c r="D223" s="192" t="s">
        <v>963</v>
      </c>
      <c r="E223" s="192">
        <v>5429071</v>
      </c>
      <c r="F223" s="192" t="s">
        <v>1303</v>
      </c>
      <c r="G223" s="290">
        <v>0</v>
      </c>
      <c r="H223" s="192">
        <v>2935.25</v>
      </c>
      <c r="I223" s="192">
        <v>0</v>
      </c>
      <c r="J223" s="192">
        <v>149</v>
      </c>
      <c r="K223" s="192">
        <v>0</v>
      </c>
      <c r="L223" s="192">
        <v>0</v>
      </c>
      <c r="M223" s="192">
        <v>0</v>
      </c>
      <c r="N223" s="192">
        <v>0</v>
      </c>
      <c r="O223" s="192">
        <v>3084.25</v>
      </c>
      <c r="P223" s="192">
        <v>100.64</v>
      </c>
      <c r="Q223" s="192">
        <v>231.32</v>
      </c>
      <c r="R223" s="192">
        <v>0</v>
      </c>
      <c r="S223" s="285">
        <v>0</v>
      </c>
      <c r="T223" s="192">
        <v>396.26</v>
      </c>
      <c r="U223" s="291">
        <v>3812.47</v>
      </c>
      <c r="V223" s="291">
        <v>3812.47</v>
      </c>
      <c r="W223" s="292">
        <v>45741.96</v>
      </c>
      <c r="X223" s="292">
        <v>45749.64</v>
      </c>
      <c r="Y223" s="292">
        <v>15249.88</v>
      </c>
      <c r="Z223" s="292">
        <v>6147.51</v>
      </c>
      <c r="AA223" s="290">
        <v>0</v>
      </c>
      <c r="AB223" s="285">
        <v>3319.1007500000001</v>
      </c>
      <c r="AC223" s="290">
        <v>3811.83</v>
      </c>
      <c r="AD223" s="192">
        <v>12</v>
      </c>
      <c r="AE223" s="290">
        <v>3000</v>
      </c>
      <c r="AF223" s="194">
        <v>48741.96</v>
      </c>
    </row>
    <row r="224" spans="1:33" x14ac:dyDescent="0.3">
      <c r="A224" s="192">
        <v>5832</v>
      </c>
      <c r="B224" s="192">
        <v>81</v>
      </c>
      <c r="C224" s="192">
        <v>2200</v>
      </c>
      <c r="D224" s="192" t="s">
        <v>963</v>
      </c>
      <c r="E224" s="192">
        <v>5450732</v>
      </c>
      <c r="F224" s="192" t="s">
        <v>1304</v>
      </c>
      <c r="G224" s="290">
        <v>1</v>
      </c>
      <c r="H224" s="192">
        <v>5799.61</v>
      </c>
      <c r="I224" s="192">
        <v>391.14</v>
      </c>
      <c r="J224" s="192">
        <v>197.6</v>
      </c>
      <c r="K224" s="192">
        <v>0</v>
      </c>
      <c r="L224" s="192">
        <v>0</v>
      </c>
      <c r="M224" s="192">
        <v>0</v>
      </c>
      <c r="N224" s="192">
        <v>36.5</v>
      </c>
      <c r="O224" s="192">
        <v>6424.85</v>
      </c>
      <c r="P224" s="192">
        <v>213</v>
      </c>
      <c r="Q224" s="192">
        <v>481.87</v>
      </c>
      <c r="R224" s="192">
        <v>0</v>
      </c>
      <c r="S224" s="285">
        <v>1</v>
      </c>
      <c r="T224" s="192">
        <v>1114.93</v>
      </c>
      <c r="U224" s="291">
        <v>8234.65</v>
      </c>
      <c r="V224" s="291">
        <v>8234.65</v>
      </c>
      <c r="W224" s="292">
        <v>141821.16</v>
      </c>
      <c r="X224" s="292">
        <v>98815.799999999988</v>
      </c>
      <c r="Y224" s="292">
        <v>125688.07999999999</v>
      </c>
      <c r="Z224" s="292">
        <v>133409.73000000001</v>
      </c>
      <c r="AA224" s="290">
        <v>134725.89800999998</v>
      </c>
      <c r="AB224" s="285">
        <v>133672.32304999998</v>
      </c>
      <c r="AC224" s="290">
        <v>11818.43</v>
      </c>
      <c r="AD224" s="192">
        <v>12</v>
      </c>
      <c r="AE224" s="290">
        <v>10000</v>
      </c>
      <c r="AF224" s="194">
        <v>151821.16</v>
      </c>
    </row>
    <row r="225" spans="1:33" x14ac:dyDescent="0.3">
      <c r="A225" s="192">
        <v>5832</v>
      </c>
      <c r="B225" s="192">
        <v>81</v>
      </c>
      <c r="C225" s="192">
        <v>2200</v>
      </c>
      <c r="D225" s="192" t="s">
        <v>963</v>
      </c>
      <c r="E225" s="192">
        <v>5547917</v>
      </c>
      <c r="F225" s="192" t="s">
        <v>1305</v>
      </c>
      <c r="G225" s="290">
        <v>1</v>
      </c>
      <c r="H225" s="192">
        <v>7681.36</v>
      </c>
      <c r="I225" s="192">
        <v>400.44</v>
      </c>
      <c r="J225" s="192">
        <v>197.6</v>
      </c>
      <c r="K225" s="192">
        <v>0</v>
      </c>
      <c r="L225" s="192">
        <v>0</v>
      </c>
      <c r="M225" s="192">
        <v>0</v>
      </c>
      <c r="N225" s="192">
        <v>36.5</v>
      </c>
      <c r="O225" s="192">
        <v>8315.9</v>
      </c>
      <c r="P225" s="192">
        <v>376</v>
      </c>
      <c r="Q225" s="192">
        <v>623.69000000000005</v>
      </c>
      <c r="R225" s="192">
        <v>0</v>
      </c>
      <c r="S225" s="285">
        <v>1</v>
      </c>
      <c r="T225" s="192">
        <v>625.14</v>
      </c>
      <c r="U225" s="291">
        <v>9940.73</v>
      </c>
      <c r="V225" s="291">
        <v>9940.73</v>
      </c>
      <c r="W225" s="292">
        <v>115507.08</v>
      </c>
      <c r="X225" s="292">
        <v>119288.76</v>
      </c>
      <c r="Y225" s="292">
        <v>117137.68</v>
      </c>
      <c r="Z225" s="292">
        <v>123451.1</v>
      </c>
      <c r="AA225" s="290">
        <v>126283.57004999999</v>
      </c>
      <c r="AB225" s="285">
        <v>125296.01525</v>
      </c>
      <c r="AC225" s="290">
        <v>9625.59</v>
      </c>
      <c r="AD225" s="192">
        <v>12</v>
      </c>
      <c r="AE225" s="290">
        <v>9000</v>
      </c>
      <c r="AF225" s="194">
        <v>124507.08</v>
      </c>
    </row>
    <row r="226" spans="1:33" x14ac:dyDescent="0.3">
      <c r="A226" s="192">
        <v>5832</v>
      </c>
      <c r="B226" s="192">
        <v>81</v>
      </c>
      <c r="C226" s="192">
        <v>2200</v>
      </c>
      <c r="D226" s="192" t="s">
        <v>963</v>
      </c>
      <c r="E226" s="192">
        <v>5646400</v>
      </c>
      <c r="F226" s="192" t="s">
        <v>1306</v>
      </c>
      <c r="G226" s="290">
        <v>1</v>
      </c>
      <c r="H226" s="192">
        <v>7441.57</v>
      </c>
      <c r="I226" s="192">
        <v>397.31</v>
      </c>
      <c r="J226" s="192">
        <v>197.6</v>
      </c>
      <c r="K226" s="192">
        <v>0</v>
      </c>
      <c r="L226" s="192">
        <v>0</v>
      </c>
      <c r="M226" s="192">
        <v>0</v>
      </c>
      <c r="N226" s="192">
        <v>36.5</v>
      </c>
      <c r="O226" s="192">
        <v>8072.98</v>
      </c>
      <c r="P226" s="192">
        <v>357</v>
      </c>
      <c r="Q226" s="192">
        <v>605.47</v>
      </c>
      <c r="R226" s="192">
        <v>0</v>
      </c>
      <c r="S226" s="285">
        <v>1</v>
      </c>
      <c r="T226" s="192">
        <v>1561.52</v>
      </c>
      <c r="U226" s="291">
        <v>10596.97</v>
      </c>
      <c r="V226" s="291">
        <v>10596.97</v>
      </c>
      <c r="W226" s="292">
        <v>125275.92</v>
      </c>
      <c r="X226" s="292">
        <v>127163.63999999998</v>
      </c>
      <c r="Y226" s="292">
        <v>126312.56</v>
      </c>
      <c r="Z226" s="292">
        <v>132804.29999999999</v>
      </c>
      <c r="AA226" s="290">
        <v>136305.05195999998</v>
      </c>
      <c r="AB226" s="285">
        <v>135239.12779999999</v>
      </c>
      <c r="AC226" s="290">
        <v>10439.66</v>
      </c>
      <c r="AD226" s="192">
        <v>12</v>
      </c>
      <c r="AE226" s="290">
        <v>10000</v>
      </c>
      <c r="AF226" s="194">
        <v>135275.91999999998</v>
      </c>
    </row>
    <row r="227" spans="1:33" x14ac:dyDescent="0.3">
      <c r="A227" s="192">
        <v>5832</v>
      </c>
      <c r="B227" s="192">
        <v>81</v>
      </c>
      <c r="C227" s="192">
        <v>2200</v>
      </c>
      <c r="D227" s="192" t="s">
        <v>963</v>
      </c>
      <c r="E227" s="192">
        <v>5653147</v>
      </c>
      <c r="F227" s="192" t="s">
        <v>1307</v>
      </c>
      <c r="G227" s="290">
        <v>0</v>
      </c>
      <c r="H227" s="192">
        <v>236</v>
      </c>
      <c r="I227" s="192">
        <v>0</v>
      </c>
      <c r="J227" s="192">
        <v>42.4</v>
      </c>
      <c r="K227" s="192">
        <v>0</v>
      </c>
      <c r="L227" s="192">
        <v>0</v>
      </c>
      <c r="M227" s="192">
        <v>0</v>
      </c>
      <c r="N227" s="192">
        <v>0</v>
      </c>
      <c r="O227" s="192">
        <v>278.39999999999998</v>
      </c>
      <c r="P227" s="192">
        <v>15</v>
      </c>
      <c r="Q227" s="192">
        <v>32.130000000000003</v>
      </c>
      <c r="R227" s="192">
        <v>0</v>
      </c>
      <c r="S227" s="285">
        <v>0</v>
      </c>
      <c r="T227" s="192">
        <v>31.86</v>
      </c>
      <c r="U227" s="291">
        <v>357.39</v>
      </c>
      <c r="V227" s="291">
        <v>357.39</v>
      </c>
      <c r="W227" s="292">
        <v>24689.64</v>
      </c>
      <c r="X227" s="292">
        <v>4288.68</v>
      </c>
      <c r="Y227" s="292">
        <v>9659.44</v>
      </c>
      <c r="Z227" s="292">
        <v>16803.88</v>
      </c>
      <c r="AA227" s="290">
        <v>19065.344099999998</v>
      </c>
      <c r="AB227" s="285">
        <v>18916.250499999998</v>
      </c>
      <c r="AC227" s="290">
        <v>2057.4699999999998</v>
      </c>
      <c r="AD227" s="192">
        <v>12</v>
      </c>
      <c r="AE227" s="290">
        <v>2000</v>
      </c>
      <c r="AF227" s="194">
        <v>26689.64</v>
      </c>
    </row>
    <row r="228" spans="1:33" x14ac:dyDescent="0.3">
      <c r="A228" s="192">
        <v>5832</v>
      </c>
      <c r="B228" s="192">
        <v>81</v>
      </c>
      <c r="C228" s="192">
        <v>2200</v>
      </c>
      <c r="D228" s="192" t="s">
        <v>963</v>
      </c>
      <c r="E228" s="192">
        <v>5789287</v>
      </c>
      <c r="F228" s="192" t="s">
        <v>1308</v>
      </c>
      <c r="G228" s="290">
        <v>1</v>
      </c>
      <c r="H228" s="192">
        <v>6941.17</v>
      </c>
      <c r="I228" s="192">
        <v>387.56</v>
      </c>
      <c r="J228" s="192">
        <v>197.6</v>
      </c>
      <c r="K228" s="192">
        <v>0</v>
      </c>
      <c r="L228" s="192">
        <v>0</v>
      </c>
      <c r="M228" s="192">
        <v>0</v>
      </c>
      <c r="N228" s="192">
        <v>36.5</v>
      </c>
      <c r="O228" s="192">
        <v>7562.83</v>
      </c>
      <c r="P228" s="192">
        <v>318</v>
      </c>
      <c r="Q228" s="192">
        <v>567.21</v>
      </c>
      <c r="R228" s="192">
        <v>0</v>
      </c>
      <c r="S228" s="285">
        <v>1</v>
      </c>
      <c r="T228" s="192">
        <v>1452.41</v>
      </c>
      <c r="U228" s="291">
        <v>9900.4500000000007</v>
      </c>
      <c r="V228" s="291">
        <v>9900.4500000000007</v>
      </c>
      <c r="W228" s="292">
        <v>123695.76</v>
      </c>
      <c r="X228" s="292">
        <v>118805.40000000001</v>
      </c>
      <c r="Y228" s="292">
        <v>122116.04</v>
      </c>
      <c r="Z228" s="292">
        <v>132702.72</v>
      </c>
      <c r="AA228" s="290">
        <v>135695.91683999999</v>
      </c>
      <c r="AB228" s="285">
        <v>134634.7562</v>
      </c>
      <c r="AC228" s="290">
        <v>11703.7</v>
      </c>
      <c r="AD228" s="192">
        <v>12</v>
      </c>
      <c r="AE228" s="290">
        <v>10000</v>
      </c>
      <c r="AF228" s="194">
        <v>150444.40000000002</v>
      </c>
    </row>
    <row r="229" spans="1:33" x14ac:dyDescent="0.3">
      <c r="A229" s="192">
        <v>5832</v>
      </c>
      <c r="B229" s="192">
        <v>81</v>
      </c>
      <c r="C229" s="192">
        <v>2200</v>
      </c>
      <c r="D229" s="192" t="s">
        <v>963</v>
      </c>
      <c r="E229" s="192">
        <v>5836090</v>
      </c>
      <c r="F229" s="192" t="s">
        <v>1309</v>
      </c>
      <c r="G229" s="290">
        <v>1</v>
      </c>
      <c r="H229" s="192">
        <v>7142.15</v>
      </c>
      <c r="I229" s="192">
        <v>385.76</v>
      </c>
      <c r="J229" s="192">
        <v>197.6</v>
      </c>
      <c r="K229" s="192">
        <v>0</v>
      </c>
      <c r="L229" s="192">
        <v>0</v>
      </c>
      <c r="M229" s="192">
        <v>0</v>
      </c>
      <c r="N229" s="192">
        <v>36.5</v>
      </c>
      <c r="O229" s="192">
        <v>7762.01</v>
      </c>
      <c r="P229" s="192">
        <v>334</v>
      </c>
      <c r="Q229" s="192">
        <v>582.15</v>
      </c>
      <c r="R229" s="192">
        <v>0</v>
      </c>
      <c r="S229" s="285">
        <v>1</v>
      </c>
      <c r="T229" s="192">
        <v>1495.04</v>
      </c>
      <c r="U229" s="291">
        <v>10173.200000000001</v>
      </c>
      <c r="V229" s="291">
        <v>10173.200000000001</v>
      </c>
      <c r="W229" s="292">
        <v>120236.51999999999</v>
      </c>
      <c r="X229" s="292">
        <v>122078.40000000001</v>
      </c>
      <c r="Y229" s="292">
        <v>121242.95999999999</v>
      </c>
      <c r="Z229" s="292">
        <v>131309.10999999999</v>
      </c>
      <c r="AA229" s="290">
        <v>134329.21952999997</v>
      </c>
      <c r="AB229" s="285">
        <v>133278.74664999999</v>
      </c>
      <c r="AC229" s="290">
        <v>10019.709999999999</v>
      </c>
      <c r="AD229" s="192">
        <v>12</v>
      </c>
      <c r="AE229" s="290">
        <v>10000</v>
      </c>
      <c r="AF229" s="194">
        <v>130236.51999999999</v>
      </c>
    </row>
    <row r="230" spans="1:33" x14ac:dyDescent="0.3">
      <c r="A230" s="192">
        <v>5832</v>
      </c>
      <c r="B230" s="192">
        <v>81</v>
      </c>
      <c r="C230" s="192">
        <v>2200</v>
      </c>
      <c r="D230" s="192" t="s">
        <v>963</v>
      </c>
      <c r="E230" s="192">
        <v>5873525</v>
      </c>
      <c r="F230" s="192" t="s">
        <v>1310</v>
      </c>
      <c r="G230" s="290">
        <v>0.52800000000000002</v>
      </c>
      <c r="H230" s="192">
        <v>3191.84</v>
      </c>
      <c r="I230" s="192">
        <v>173.79</v>
      </c>
      <c r="J230" s="192">
        <v>112.47</v>
      </c>
      <c r="K230" s="192">
        <v>0</v>
      </c>
      <c r="L230" s="192">
        <v>0</v>
      </c>
      <c r="M230" s="192">
        <v>0</v>
      </c>
      <c r="N230" s="192">
        <v>0</v>
      </c>
      <c r="O230" s="192">
        <v>3478.1</v>
      </c>
      <c r="P230" s="192">
        <v>123</v>
      </c>
      <c r="Q230" s="192">
        <v>260.86</v>
      </c>
      <c r="R230" s="192">
        <v>0</v>
      </c>
      <c r="S230" s="285">
        <v>0.52800000000000002</v>
      </c>
      <c r="T230" s="192">
        <v>651.12</v>
      </c>
      <c r="U230" s="291">
        <v>4513.08</v>
      </c>
      <c r="V230" s="291">
        <v>4513.08</v>
      </c>
      <c r="W230" s="292">
        <v>62674.799999999996</v>
      </c>
      <c r="X230" s="292">
        <v>54156.959999999999</v>
      </c>
      <c r="Y230" s="292">
        <v>60041.760000000009</v>
      </c>
      <c r="Z230" s="292">
        <v>62823.21</v>
      </c>
      <c r="AA230" s="290">
        <v>65565.850019999998</v>
      </c>
      <c r="AB230" s="285">
        <v>65053.116099999992</v>
      </c>
      <c r="AC230" s="290">
        <v>6456.67</v>
      </c>
      <c r="AD230" s="192">
        <v>12</v>
      </c>
      <c r="AE230" s="290">
        <v>6000</v>
      </c>
      <c r="AF230" s="194">
        <v>83480.040000000008</v>
      </c>
    </row>
    <row r="231" spans="1:33" x14ac:dyDescent="0.3">
      <c r="A231" s="192">
        <v>5832</v>
      </c>
      <c r="B231" s="192">
        <v>81</v>
      </c>
      <c r="C231" s="192">
        <v>2200</v>
      </c>
      <c r="D231" s="192" t="s">
        <v>963</v>
      </c>
      <c r="E231" s="192">
        <v>5877574</v>
      </c>
      <c r="F231" s="192" t="s">
        <v>1311</v>
      </c>
      <c r="G231" s="290">
        <v>1</v>
      </c>
      <c r="H231" s="192">
        <v>7192.99</v>
      </c>
      <c r="I231" s="192">
        <v>387.25</v>
      </c>
      <c r="J231" s="192">
        <v>197.6</v>
      </c>
      <c r="K231" s="192">
        <v>0</v>
      </c>
      <c r="L231" s="192">
        <v>0</v>
      </c>
      <c r="M231" s="192">
        <v>0</v>
      </c>
      <c r="N231" s="192">
        <v>36.5</v>
      </c>
      <c r="O231" s="192">
        <v>7814.34</v>
      </c>
      <c r="P231" s="192">
        <v>337</v>
      </c>
      <c r="Q231" s="192">
        <v>586.08000000000004</v>
      </c>
      <c r="R231" s="192">
        <v>0</v>
      </c>
      <c r="S231" s="285">
        <v>1</v>
      </c>
      <c r="T231" s="192">
        <v>1506.23</v>
      </c>
      <c r="U231" s="291">
        <v>10243.65</v>
      </c>
      <c r="V231" s="291">
        <v>10243.65</v>
      </c>
      <c r="W231" s="292">
        <v>121400.40000000001</v>
      </c>
      <c r="X231" s="292">
        <v>122923.79999999999</v>
      </c>
      <c r="Y231" s="292">
        <v>122198</v>
      </c>
      <c r="Z231" s="292">
        <v>40519.96</v>
      </c>
      <c r="AA231" s="290">
        <v>40596.159119999997</v>
      </c>
      <c r="AB231" s="285">
        <v>40278.691599999998</v>
      </c>
      <c r="AC231" s="290">
        <v>11232.12</v>
      </c>
      <c r="AD231" s="192">
        <v>12</v>
      </c>
      <c r="AE231" s="290">
        <v>10000</v>
      </c>
      <c r="AF231" s="194">
        <v>144785.44</v>
      </c>
    </row>
    <row r="232" spans="1:33" x14ac:dyDescent="0.3">
      <c r="A232" s="192">
        <v>5832</v>
      </c>
      <c r="B232" s="192">
        <v>81</v>
      </c>
      <c r="C232" s="192">
        <v>2200</v>
      </c>
      <c r="D232" s="192" t="s">
        <v>963</v>
      </c>
      <c r="E232" s="192">
        <v>5877930</v>
      </c>
      <c r="F232" s="192" t="s">
        <v>1312</v>
      </c>
      <c r="G232" s="290">
        <v>1</v>
      </c>
      <c r="H232" s="192">
        <v>8051.19</v>
      </c>
      <c r="I232" s="192">
        <v>415.23</v>
      </c>
      <c r="J232" s="192">
        <v>197.6</v>
      </c>
      <c r="K232" s="192">
        <v>0</v>
      </c>
      <c r="L232" s="192">
        <v>0</v>
      </c>
      <c r="M232" s="192">
        <v>0</v>
      </c>
      <c r="N232" s="192">
        <v>36.5</v>
      </c>
      <c r="O232" s="192">
        <v>8700.52</v>
      </c>
      <c r="P232" s="192">
        <v>405</v>
      </c>
      <c r="Q232" s="192">
        <v>652.54</v>
      </c>
      <c r="R232" s="192">
        <v>0</v>
      </c>
      <c r="S232" s="285">
        <v>1</v>
      </c>
      <c r="T232" s="192">
        <v>735.33</v>
      </c>
      <c r="U232" s="291">
        <v>10493.39</v>
      </c>
      <c r="V232" s="291">
        <v>10493.39</v>
      </c>
      <c r="W232" s="292">
        <v>145600.44</v>
      </c>
      <c r="X232" s="292">
        <v>125920.68</v>
      </c>
      <c r="Y232" s="292">
        <v>132272.07999999999</v>
      </c>
      <c r="Z232" s="292">
        <v>138023.84</v>
      </c>
      <c r="AA232" s="290">
        <v>141566.49441000001</v>
      </c>
      <c r="AB232" s="285">
        <v>140459.42504999999</v>
      </c>
      <c r="AC232" s="290">
        <v>12133.37</v>
      </c>
      <c r="AD232" s="192">
        <v>12</v>
      </c>
      <c r="AE232" s="290">
        <v>10000</v>
      </c>
      <c r="AF232" s="194">
        <v>155600.44</v>
      </c>
    </row>
    <row r="233" spans="1:33" x14ac:dyDescent="0.3">
      <c r="A233" s="192">
        <v>5832</v>
      </c>
      <c r="B233" s="192">
        <v>81</v>
      </c>
      <c r="C233" s="192">
        <v>2200</v>
      </c>
      <c r="D233" s="192" t="s">
        <v>963</v>
      </c>
      <c r="E233" s="192">
        <v>5918616</v>
      </c>
      <c r="F233" s="192" t="s">
        <v>1313</v>
      </c>
      <c r="G233" s="290">
        <v>1</v>
      </c>
      <c r="H233" s="192">
        <v>6075.92</v>
      </c>
      <c r="I233" s="192">
        <v>385.89</v>
      </c>
      <c r="J233" s="192">
        <v>197.6</v>
      </c>
      <c r="K233" s="192">
        <v>0</v>
      </c>
      <c r="L233" s="192">
        <v>0</v>
      </c>
      <c r="M233" s="192">
        <v>0</v>
      </c>
      <c r="N233" s="192">
        <v>36.5</v>
      </c>
      <c r="O233" s="192">
        <v>6695.91</v>
      </c>
      <c r="P233" s="192">
        <v>251</v>
      </c>
      <c r="Q233" s="192">
        <v>501.14</v>
      </c>
      <c r="R233" s="192">
        <v>0</v>
      </c>
      <c r="S233" s="285">
        <v>1</v>
      </c>
      <c r="T233" s="192">
        <v>1267</v>
      </c>
      <c r="U233" s="291">
        <v>8715.0499999999993</v>
      </c>
      <c r="V233" s="291">
        <v>8715.0499999999993</v>
      </c>
      <c r="W233" s="292">
        <v>124034.16</v>
      </c>
      <c r="X233" s="292">
        <v>104580.59999999999</v>
      </c>
      <c r="Y233" s="292">
        <v>119654.63999999998</v>
      </c>
      <c r="Z233" s="292">
        <v>134542.79</v>
      </c>
      <c r="AA233" s="290">
        <v>131273.48783999999</v>
      </c>
      <c r="AB233" s="285">
        <v>130246.91119999999</v>
      </c>
      <c r="AC233" s="290">
        <v>11637.91</v>
      </c>
      <c r="AD233" s="192">
        <v>12</v>
      </c>
      <c r="AE233" s="290">
        <v>10000</v>
      </c>
      <c r="AF233" s="194">
        <v>149654.91999999998</v>
      </c>
    </row>
    <row r="234" spans="1:33" s="207" customFormat="1" x14ac:dyDescent="0.3">
      <c r="A234" s="207">
        <v>5832</v>
      </c>
      <c r="B234" s="207">
        <v>81</v>
      </c>
      <c r="C234" s="207">
        <v>2200</v>
      </c>
      <c r="D234" s="207" t="s">
        <v>963</v>
      </c>
      <c r="E234" s="207">
        <v>6184327</v>
      </c>
      <c r="F234" s="207" t="s">
        <v>1314</v>
      </c>
      <c r="G234" s="305">
        <v>1</v>
      </c>
      <c r="H234" s="207">
        <v>7945.01</v>
      </c>
      <c r="I234" s="207">
        <v>411.77</v>
      </c>
      <c r="J234" s="207">
        <v>197.6</v>
      </c>
      <c r="K234" s="207">
        <v>0</v>
      </c>
      <c r="L234" s="207">
        <v>0</v>
      </c>
      <c r="M234" s="207">
        <v>0</v>
      </c>
      <c r="N234" s="207">
        <v>36.5</v>
      </c>
      <c r="O234" s="207">
        <v>8590.8799999999992</v>
      </c>
      <c r="P234" s="207">
        <v>78</v>
      </c>
      <c r="Q234" s="207">
        <v>644.32000000000005</v>
      </c>
      <c r="R234" s="207">
        <v>0</v>
      </c>
      <c r="S234" s="285">
        <v>0.41666666666666669</v>
      </c>
      <c r="T234" s="207">
        <v>1672.35</v>
      </c>
      <c r="U234" s="306">
        <v>10985.55</v>
      </c>
      <c r="V234" s="306">
        <v>10985.55</v>
      </c>
      <c r="W234" s="307">
        <v>129965.28</v>
      </c>
      <c r="X234" s="307">
        <v>54927.75</v>
      </c>
      <c r="Y234" s="307">
        <v>130987</v>
      </c>
      <c r="Z234" s="307">
        <v>139747.06</v>
      </c>
      <c r="AA234" s="305">
        <v>142961.24237999998</v>
      </c>
      <c r="AB234" s="305">
        <v>141843.2659</v>
      </c>
      <c r="AC234" s="305">
        <v>10830.44</v>
      </c>
      <c r="AD234" s="207">
        <v>5</v>
      </c>
      <c r="AE234" s="305">
        <v>10000</v>
      </c>
      <c r="AF234" s="208">
        <v>64152.200000000004</v>
      </c>
      <c r="AG234" s="207" t="s">
        <v>1315</v>
      </c>
    </row>
    <row r="235" spans="1:33" x14ac:dyDescent="0.3">
      <c r="A235" s="192">
        <v>5832</v>
      </c>
      <c r="B235" s="192">
        <v>81</v>
      </c>
      <c r="C235" s="192">
        <v>2200</v>
      </c>
      <c r="D235" s="192" t="s">
        <v>963</v>
      </c>
      <c r="E235" s="192">
        <v>6759276</v>
      </c>
      <c r="F235" s="192" t="s">
        <v>1316</v>
      </c>
      <c r="G235" s="290">
        <v>1</v>
      </c>
      <c r="H235" s="192">
        <v>6971.44</v>
      </c>
      <c r="I235" s="192">
        <v>380.19</v>
      </c>
      <c r="J235" s="192">
        <v>197.6</v>
      </c>
      <c r="K235" s="192">
        <v>0</v>
      </c>
      <c r="L235" s="192">
        <v>0</v>
      </c>
      <c r="M235" s="192">
        <v>0</v>
      </c>
      <c r="N235" s="192">
        <v>36.5</v>
      </c>
      <c r="O235" s="192">
        <v>7585.73</v>
      </c>
      <c r="P235" s="192">
        <v>57</v>
      </c>
      <c r="Q235" s="192">
        <v>568.92999999999995</v>
      </c>
      <c r="R235" s="192">
        <v>0</v>
      </c>
      <c r="S235" s="285">
        <v>1</v>
      </c>
      <c r="T235" s="192">
        <v>1457.35</v>
      </c>
      <c r="U235" s="291">
        <v>9669.01</v>
      </c>
      <c r="V235" s="291">
        <v>9669.01</v>
      </c>
      <c r="W235" s="292">
        <v>114292.20000000001</v>
      </c>
      <c r="X235" s="292">
        <v>116028.12</v>
      </c>
      <c r="Y235" s="292">
        <v>115242.07999999999</v>
      </c>
      <c r="Z235" s="292">
        <v>120813.95</v>
      </c>
      <c r="AA235" s="290">
        <v>123592.67084999998</v>
      </c>
      <c r="AB235" s="285">
        <v>122626.15924999998</v>
      </c>
      <c r="AC235" s="290">
        <v>9524.35</v>
      </c>
      <c r="AD235" s="192">
        <v>12</v>
      </c>
      <c r="AE235" s="290">
        <v>9000</v>
      </c>
      <c r="AF235" s="194">
        <v>123292.20000000001</v>
      </c>
    </row>
    <row r="236" spans="1:33" s="207" customFormat="1" x14ac:dyDescent="0.3">
      <c r="A236" s="207">
        <v>5832</v>
      </c>
      <c r="B236" s="207">
        <v>81</v>
      </c>
      <c r="C236" s="207">
        <v>2200</v>
      </c>
      <c r="D236" s="207" t="s">
        <v>963</v>
      </c>
      <c r="E236" s="207">
        <v>6833171</v>
      </c>
      <c r="F236" s="207" t="s">
        <v>1317</v>
      </c>
      <c r="G236" s="305">
        <v>1</v>
      </c>
      <c r="H236" s="207">
        <v>7299.16</v>
      </c>
      <c r="I236" s="207">
        <v>390.72</v>
      </c>
      <c r="J236" s="207">
        <v>197.6</v>
      </c>
      <c r="K236" s="207">
        <v>0</v>
      </c>
      <c r="L236" s="207">
        <v>0</v>
      </c>
      <c r="M236" s="207">
        <v>0</v>
      </c>
      <c r="N236" s="207">
        <v>36.5</v>
      </c>
      <c r="O236" s="207">
        <v>7923.98</v>
      </c>
      <c r="P236" s="207">
        <v>317</v>
      </c>
      <c r="Q236" s="207">
        <v>594.29999999999995</v>
      </c>
      <c r="R236" s="207">
        <v>0</v>
      </c>
      <c r="S236" s="285">
        <v>0.5</v>
      </c>
      <c r="T236" s="207">
        <v>1529.67</v>
      </c>
      <c r="U236" s="306">
        <v>10364.950000000001</v>
      </c>
      <c r="V236" s="306">
        <v>10364.950000000001</v>
      </c>
      <c r="W236" s="307">
        <v>120704.88</v>
      </c>
      <c r="X236" s="307">
        <v>62189.700000000004</v>
      </c>
      <c r="Y236" s="307">
        <v>122935.28</v>
      </c>
      <c r="Z236" s="307">
        <v>128731.16</v>
      </c>
      <c r="AA236" s="305">
        <v>129008.52491999998</v>
      </c>
      <c r="AB236" s="305">
        <v>127999.66059999999</v>
      </c>
      <c r="AC236" s="305">
        <v>10058.74</v>
      </c>
      <c r="AD236" s="207">
        <v>6</v>
      </c>
      <c r="AE236" s="305">
        <v>10000</v>
      </c>
      <c r="AF236" s="208">
        <v>70352.44</v>
      </c>
      <c r="AG236" s="207" t="s">
        <v>1318</v>
      </c>
    </row>
    <row r="237" spans="1:33" x14ac:dyDescent="0.3">
      <c r="A237" s="192">
        <v>5832</v>
      </c>
      <c r="B237" s="192">
        <v>81</v>
      </c>
      <c r="C237" s="192">
        <v>2200</v>
      </c>
      <c r="D237" s="192" t="s">
        <v>963</v>
      </c>
      <c r="E237" s="192">
        <v>6932065</v>
      </c>
      <c r="F237" s="192" t="s">
        <v>1319</v>
      </c>
      <c r="G237" s="290">
        <v>1</v>
      </c>
      <c r="H237" s="192">
        <v>8782.2099999999991</v>
      </c>
      <c r="I237" s="192">
        <v>440.69</v>
      </c>
      <c r="J237" s="192">
        <v>197.6</v>
      </c>
      <c r="K237" s="192">
        <v>0</v>
      </c>
      <c r="L237" s="192">
        <v>0</v>
      </c>
      <c r="M237" s="192">
        <v>0</v>
      </c>
      <c r="N237" s="192">
        <v>36.5</v>
      </c>
      <c r="O237" s="192">
        <v>9457</v>
      </c>
      <c r="P237" s="192">
        <v>462</v>
      </c>
      <c r="Q237" s="192">
        <v>709.28</v>
      </c>
      <c r="R237" s="192">
        <v>0</v>
      </c>
      <c r="S237" s="285">
        <v>1</v>
      </c>
      <c r="T237" s="192">
        <v>857.66</v>
      </c>
      <c r="U237" s="291">
        <v>11485.94</v>
      </c>
      <c r="V237" s="291">
        <v>11485.94</v>
      </c>
      <c r="W237" s="292">
        <v>136327.56</v>
      </c>
      <c r="X237" s="292">
        <v>137831.28</v>
      </c>
      <c r="Y237" s="292">
        <v>137344.16</v>
      </c>
      <c r="Z237" s="292">
        <v>149564.29999999999</v>
      </c>
      <c r="AA237" s="290">
        <v>152717.63430000001</v>
      </c>
      <c r="AB237" s="285">
        <v>151523.3615</v>
      </c>
      <c r="AC237" s="290">
        <v>11360.63</v>
      </c>
      <c r="AD237" s="192">
        <v>12</v>
      </c>
      <c r="AE237" s="290">
        <v>10000</v>
      </c>
      <c r="AF237" s="194">
        <v>146327.56</v>
      </c>
    </row>
    <row r="238" spans="1:33" x14ac:dyDescent="0.3">
      <c r="A238" s="192">
        <v>5832</v>
      </c>
      <c r="B238" s="192">
        <v>81</v>
      </c>
      <c r="C238" s="192">
        <v>2200</v>
      </c>
      <c r="D238" s="192" t="s">
        <v>963</v>
      </c>
      <c r="E238" s="192">
        <v>20369222</v>
      </c>
      <c r="F238" s="192" t="s">
        <v>1320</v>
      </c>
      <c r="G238" s="290">
        <v>0</v>
      </c>
      <c r="H238" s="192">
        <v>1320</v>
      </c>
      <c r="I238" s="192">
        <v>0</v>
      </c>
      <c r="J238" s="192">
        <v>63.6</v>
      </c>
      <c r="K238" s="192">
        <v>0</v>
      </c>
      <c r="L238" s="192">
        <v>0</v>
      </c>
      <c r="M238" s="192">
        <v>0</v>
      </c>
      <c r="N238" s="192">
        <v>0</v>
      </c>
      <c r="O238" s="192">
        <v>1383.6</v>
      </c>
      <c r="P238" s="192">
        <v>55</v>
      </c>
      <c r="Q238" s="192">
        <v>117.14</v>
      </c>
      <c r="R238" s="192">
        <v>0</v>
      </c>
      <c r="S238" s="285">
        <v>0</v>
      </c>
      <c r="T238" s="192">
        <v>178.2</v>
      </c>
      <c r="U238" s="291">
        <v>1733.94</v>
      </c>
      <c r="V238" s="291">
        <v>1733.94</v>
      </c>
      <c r="W238" s="292">
        <v>0</v>
      </c>
      <c r="X238" s="292">
        <v>20807.28</v>
      </c>
      <c r="Y238" s="292">
        <v>10192.719999999999</v>
      </c>
      <c r="Z238" s="292">
        <v>0</v>
      </c>
      <c r="AA238" s="290">
        <v>0</v>
      </c>
      <c r="AB238" s="285">
        <v>0</v>
      </c>
      <c r="AC238" s="290">
        <v>814.24</v>
      </c>
      <c r="AD238" s="192">
        <v>12</v>
      </c>
      <c r="AE238" s="290"/>
      <c r="AF238" s="194">
        <v>9770.880000000001</v>
      </c>
    </row>
    <row r="239" spans="1:33" x14ac:dyDescent="0.3">
      <c r="A239" s="192">
        <v>5832</v>
      </c>
      <c r="B239" s="192">
        <v>81</v>
      </c>
      <c r="C239" s="192">
        <v>2200</v>
      </c>
      <c r="D239" s="192" t="s">
        <v>963</v>
      </c>
      <c r="E239" s="192">
        <v>30127897</v>
      </c>
      <c r="F239" s="192" t="s">
        <v>1321</v>
      </c>
      <c r="G239" s="290">
        <v>0.77</v>
      </c>
      <c r="H239" s="192">
        <v>662.38</v>
      </c>
      <c r="I239" s="192">
        <v>291.04000000000002</v>
      </c>
      <c r="J239" s="192">
        <v>186.42</v>
      </c>
      <c r="K239" s="192">
        <v>0</v>
      </c>
      <c r="L239" s="192">
        <v>0</v>
      </c>
      <c r="M239" s="192">
        <v>0</v>
      </c>
      <c r="N239" s="192">
        <v>36.5</v>
      </c>
      <c r="O239" s="192">
        <v>1176.3399999999999</v>
      </c>
      <c r="P239" s="192">
        <v>-21</v>
      </c>
      <c r="Q239" s="192">
        <v>88.23</v>
      </c>
      <c r="R239" s="192">
        <v>0</v>
      </c>
      <c r="S239" s="285">
        <v>0.77</v>
      </c>
      <c r="T239" s="192">
        <v>126.32</v>
      </c>
      <c r="U239" s="291">
        <v>1369.89</v>
      </c>
      <c r="V239" s="291">
        <v>1369.89</v>
      </c>
      <c r="W239" s="292">
        <v>84840.36</v>
      </c>
      <c r="X239" s="292">
        <v>16438.68</v>
      </c>
      <c r="Y239" s="292">
        <v>75271</v>
      </c>
      <c r="Z239" s="292">
        <v>119057.73</v>
      </c>
      <c r="AA239" s="290">
        <v>128292.52721999999</v>
      </c>
      <c r="AB239" s="285">
        <v>127289.26209999999</v>
      </c>
      <c r="AC239" s="290">
        <v>10500</v>
      </c>
      <c r="AD239" s="192">
        <v>12</v>
      </c>
      <c r="AE239" s="290">
        <v>7000</v>
      </c>
      <c r="AF239" s="194">
        <v>133000</v>
      </c>
    </row>
    <row r="240" spans="1:33" x14ac:dyDescent="0.3">
      <c r="A240" s="192">
        <v>5832</v>
      </c>
      <c r="B240" s="192">
        <v>81</v>
      </c>
      <c r="C240" s="192">
        <v>2200</v>
      </c>
      <c r="D240" s="192" t="s">
        <v>963</v>
      </c>
      <c r="E240" s="192">
        <v>30307272</v>
      </c>
      <c r="F240" s="192" t="s">
        <v>1322</v>
      </c>
      <c r="G240" s="290">
        <v>0.3</v>
      </c>
      <c r="H240" s="192">
        <v>1732.68</v>
      </c>
      <c r="I240" s="192">
        <v>107.99</v>
      </c>
      <c r="J240" s="192">
        <v>97.76</v>
      </c>
      <c r="K240" s="192">
        <v>0</v>
      </c>
      <c r="L240" s="192">
        <v>0</v>
      </c>
      <c r="M240" s="192">
        <v>0</v>
      </c>
      <c r="N240" s="192">
        <v>36.5</v>
      </c>
      <c r="O240" s="192">
        <v>1974.93</v>
      </c>
      <c r="P240" s="192">
        <v>70</v>
      </c>
      <c r="Q240" s="192">
        <v>148.12</v>
      </c>
      <c r="R240" s="192">
        <v>0</v>
      </c>
      <c r="S240" s="285">
        <v>0.3</v>
      </c>
      <c r="T240" s="192">
        <v>248.49</v>
      </c>
      <c r="U240" s="291">
        <v>2441.54</v>
      </c>
      <c r="V240" s="291">
        <v>2441.54</v>
      </c>
      <c r="W240" s="292">
        <v>28827</v>
      </c>
      <c r="X240" s="292">
        <v>29298.48</v>
      </c>
      <c r="Y240" s="292">
        <v>29086.199999999997</v>
      </c>
      <c r="Z240" s="292">
        <v>25819.25</v>
      </c>
      <c r="AA240" s="290">
        <v>26413.092749999996</v>
      </c>
      <c r="AB240" s="285">
        <v>26206.538749999996</v>
      </c>
      <c r="AC240" s="290">
        <v>2402.25</v>
      </c>
      <c r="AD240" s="192">
        <v>12</v>
      </c>
      <c r="AE240" s="290">
        <v>2500</v>
      </c>
      <c r="AF240" s="194">
        <v>31327</v>
      </c>
    </row>
    <row r="241" spans="1:34" x14ac:dyDescent="0.3">
      <c r="A241" s="192">
        <v>5832</v>
      </c>
      <c r="B241" s="192">
        <v>81</v>
      </c>
      <c r="C241" s="192">
        <v>2200</v>
      </c>
      <c r="D241" s="192" t="s">
        <v>963</v>
      </c>
      <c r="E241" s="192">
        <v>30309152</v>
      </c>
      <c r="F241" s="192" t="s">
        <v>1323</v>
      </c>
      <c r="G241" s="290">
        <v>1</v>
      </c>
      <c r="H241" s="192">
        <v>5968.35</v>
      </c>
      <c r="I241" s="192">
        <v>372.17</v>
      </c>
      <c r="J241" s="192">
        <v>197.6</v>
      </c>
      <c r="K241" s="192">
        <v>0</v>
      </c>
      <c r="L241" s="192">
        <v>0</v>
      </c>
      <c r="M241" s="192">
        <v>0</v>
      </c>
      <c r="N241" s="192">
        <v>353.5</v>
      </c>
      <c r="O241" s="192">
        <v>6891.62</v>
      </c>
      <c r="P241" s="192">
        <v>258</v>
      </c>
      <c r="Q241" s="192">
        <v>507.58</v>
      </c>
      <c r="R241" s="192">
        <v>0</v>
      </c>
      <c r="S241" s="285">
        <v>1</v>
      </c>
      <c r="T241" s="192">
        <v>1387.45</v>
      </c>
      <c r="U241" s="291">
        <v>9044.65</v>
      </c>
      <c r="V241" s="291">
        <v>9044.65</v>
      </c>
      <c r="W241" s="292">
        <v>64657.200000000004</v>
      </c>
      <c r="X241" s="292">
        <v>108535.79999999999</v>
      </c>
      <c r="Y241" s="292">
        <v>113849.60000000001</v>
      </c>
      <c r="Z241" s="292">
        <v>56005.19</v>
      </c>
      <c r="AA241" s="290">
        <v>0</v>
      </c>
      <c r="AB241" s="285">
        <v>56845.267849999997</v>
      </c>
      <c r="AC241" s="290">
        <v>9000</v>
      </c>
      <c r="AD241" s="192">
        <v>12</v>
      </c>
      <c r="AE241" s="290">
        <v>9000</v>
      </c>
      <c r="AF241" s="194">
        <v>117000</v>
      </c>
      <c r="AG241" s="192" t="s">
        <v>1324</v>
      </c>
    </row>
    <row r="242" spans="1:34" x14ac:dyDescent="0.3">
      <c r="A242" s="192">
        <v>5832</v>
      </c>
      <c r="B242" s="192">
        <v>81</v>
      </c>
      <c r="C242" s="192">
        <v>2200</v>
      </c>
      <c r="D242" s="192" t="s">
        <v>963</v>
      </c>
      <c r="E242" s="192">
        <v>30560571</v>
      </c>
      <c r="F242" s="192" t="s">
        <v>1325</v>
      </c>
      <c r="G242" s="290">
        <v>0.8</v>
      </c>
      <c r="H242" s="192">
        <v>5280.09</v>
      </c>
      <c r="I242" s="192">
        <v>291.31</v>
      </c>
      <c r="J242" s="192">
        <v>183.02</v>
      </c>
      <c r="K242" s="192">
        <v>0</v>
      </c>
      <c r="L242" s="192">
        <v>0</v>
      </c>
      <c r="M242" s="192">
        <v>0</v>
      </c>
      <c r="N242" s="192">
        <v>36.5</v>
      </c>
      <c r="O242" s="192">
        <v>5790.92</v>
      </c>
      <c r="P242" s="192">
        <v>206</v>
      </c>
      <c r="Q242" s="192">
        <v>434.32</v>
      </c>
      <c r="R242" s="192">
        <v>0</v>
      </c>
      <c r="S242" s="285">
        <v>0.80000000000000016</v>
      </c>
      <c r="T242" s="192">
        <v>1030</v>
      </c>
      <c r="U242" s="291">
        <v>7461.24</v>
      </c>
      <c r="V242" s="291">
        <v>7461.24</v>
      </c>
      <c r="W242" s="292">
        <v>105875.16</v>
      </c>
      <c r="X242" s="292">
        <v>89534.88</v>
      </c>
      <c r="Y242" s="292">
        <v>96713.36</v>
      </c>
      <c r="Z242" s="292">
        <v>104998.48</v>
      </c>
      <c r="AA242" s="290">
        <v>107413.44504000001</v>
      </c>
      <c r="AB242" s="285">
        <v>106573.4572</v>
      </c>
      <c r="AC242" s="290">
        <v>8822.93</v>
      </c>
      <c r="AD242" s="192">
        <v>12</v>
      </c>
      <c r="AE242" s="290">
        <v>9000</v>
      </c>
      <c r="AF242" s="194">
        <v>114875.16</v>
      </c>
    </row>
    <row r="243" spans="1:34" s="196" customFormat="1" x14ac:dyDescent="0.3">
      <c r="G243" s="288">
        <f>SUM(G186:G242)</f>
        <v>45.845999999999989</v>
      </c>
      <c r="H243" s="288">
        <f t="shared" ref="H243:AF243" si="24">SUM(H186:H242)</f>
        <v>330351.56999999995</v>
      </c>
      <c r="I243" s="288">
        <f t="shared" si="24"/>
        <v>17603.04</v>
      </c>
      <c r="J243" s="288">
        <f t="shared" si="24"/>
        <v>9566.2200000000066</v>
      </c>
      <c r="K243" s="288">
        <f t="shared" si="24"/>
        <v>0</v>
      </c>
      <c r="L243" s="288">
        <f t="shared" si="24"/>
        <v>0</v>
      </c>
      <c r="M243" s="288">
        <f t="shared" si="24"/>
        <v>0</v>
      </c>
      <c r="N243" s="288">
        <f t="shared" si="24"/>
        <v>3469.69</v>
      </c>
      <c r="O243" s="288">
        <f t="shared" si="24"/>
        <v>360990.51999999996</v>
      </c>
      <c r="P243" s="288">
        <f t="shared" si="24"/>
        <v>14468.009999999998</v>
      </c>
      <c r="Q243" s="288">
        <f t="shared" si="24"/>
        <v>27186.469999999998</v>
      </c>
      <c r="R243" s="288">
        <f t="shared" si="24"/>
        <v>0</v>
      </c>
      <c r="S243" s="288">
        <f t="shared" si="24"/>
        <v>44.762666666666654</v>
      </c>
      <c r="T243" s="288">
        <f t="shared" si="24"/>
        <v>63299.67</v>
      </c>
      <c r="U243" s="288">
        <f t="shared" si="24"/>
        <v>465944.6700000001</v>
      </c>
      <c r="V243" s="288">
        <f t="shared" si="24"/>
        <v>465944.6700000001</v>
      </c>
      <c r="W243" s="288">
        <f t="shared" si="24"/>
        <v>5948702.4000000013</v>
      </c>
      <c r="X243" s="288">
        <f t="shared" si="24"/>
        <v>5452247.4900000002</v>
      </c>
      <c r="Y243" s="288">
        <f t="shared" si="24"/>
        <v>5797239.7599999998</v>
      </c>
      <c r="Z243" s="288">
        <f t="shared" si="24"/>
        <v>5779064.620000001</v>
      </c>
      <c r="AA243" s="288">
        <f t="shared" si="24"/>
        <v>5744469.6183599997</v>
      </c>
      <c r="AB243" s="288">
        <f t="shared" si="24"/>
        <v>5868972.1238999991</v>
      </c>
      <c r="AC243" s="288">
        <f t="shared" si="24"/>
        <v>510536.07</v>
      </c>
      <c r="AD243" s="288">
        <f t="shared" si="24"/>
        <v>671</v>
      </c>
      <c r="AE243" s="288">
        <f t="shared" si="24"/>
        <v>465000</v>
      </c>
      <c r="AF243" s="288">
        <f t="shared" si="24"/>
        <v>6455267.3200000022</v>
      </c>
      <c r="AG243" s="288"/>
      <c r="AH243" s="288">
        <v>0</v>
      </c>
    </row>
    <row r="244" spans="1:34" x14ac:dyDescent="0.3">
      <c r="W244" s="292"/>
      <c r="X244" s="292"/>
      <c r="Y244" s="292"/>
      <c r="Z244" s="292"/>
      <c r="AA244" s="290"/>
      <c r="AB244" s="285"/>
      <c r="AC244" s="290"/>
      <c r="AE244" s="290"/>
      <c r="AF244" s="194"/>
    </row>
    <row r="245" spans="1:34" x14ac:dyDescent="0.3">
      <c r="A245" s="192">
        <v>5832</v>
      </c>
      <c r="B245" s="192">
        <v>81</v>
      </c>
      <c r="C245" s="192">
        <v>2300</v>
      </c>
      <c r="D245" s="192" t="s">
        <v>585</v>
      </c>
      <c r="E245" s="192">
        <v>2200370</v>
      </c>
      <c r="F245" s="192" t="s">
        <v>1326</v>
      </c>
      <c r="G245" s="290">
        <v>0.85</v>
      </c>
      <c r="H245" s="192">
        <v>5711.15</v>
      </c>
      <c r="I245" s="192">
        <v>964.42</v>
      </c>
      <c r="J245" s="192">
        <v>185.15</v>
      </c>
      <c r="K245" s="192">
        <v>0</v>
      </c>
      <c r="L245" s="192">
        <v>0</v>
      </c>
      <c r="M245" s="192">
        <v>0</v>
      </c>
      <c r="N245" s="192">
        <v>36.5</v>
      </c>
      <c r="O245" s="192">
        <v>6897.22</v>
      </c>
      <c r="P245" s="192">
        <v>268</v>
      </c>
      <c r="Q245" s="192">
        <v>517.29</v>
      </c>
      <c r="R245" s="192">
        <v>0</v>
      </c>
      <c r="S245" s="285">
        <v>0.56666666666666665</v>
      </c>
      <c r="T245" s="192">
        <v>1216.07</v>
      </c>
      <c r="U245" s="291">
        <v>8898.58</v>
      </c>
      <c r="V245" s="291">
        <v>8898.58</v>
      </c>
      <c r="W245" s="292">
        <v>123421.68</v>
      </c>
      <c r="X245" s="292">
        <v>71188.639999999999</v>
      </c>
      <c r="Y245" s="292">
        <v>116916.2</v>
      </c>
      <c r="Z245" s="292">
        <v>111656.82</v>
      </c>
      <c r="AA245" s="290">
        <v>114018.16832999999</v>
      </c>
      <c r="AB245" s="285">
        <v>113126.53064999999</v>
      </c>
      <c r="AC245" s="290">
        <v>9000</v>
      </c>
      <c r="AD245" s="192">
        <v>8</v>
      </c>
      <c r="AE245" s="290">
        <v>10000</v>
      </c>
      <c r="AF245" s="194">
        <v>82000</v>
      </c>
      <c r="AG245" s="192" t="s">
        <v>1327</v>
      </c>
    </row>
    <row r="246" spans="1:34" x14ac:dyDescent="0.3">
      <c r="A246" s="192">
        <v>5832</v>
      </c>
      <c r="B246" s="192">
        <v>81</v>
      </c>
      <c r="C246" s="192">
        <v>2300</v>
      </c>
      <c r="D246" s="192" t="s">
        <v>585</v>
      </c>
      <c r="E246" s="192">
        <v>2304033</v>
      </c>
      <c r="F246" s="192" t="s">
        <v>1328</v>
      </c>
      <c r="G246" s="290">
        <v>1</v>
      </c>
      <c r="H246" s="192">
        <v>7183.5</v>
      </c>
      <c r="I246" s="192">
        <v>526.52</v>
      </c>
      <c r="J246" s="192">
        <v>197.6</v>
      </c>
      <c r="K246" s="192">
        <v>0</v>
      </c>
      <c r="L246" s="192">
        <v>0</v>
      </c>
      <c r="M246" s="192">
        <v>0</v>
      </c>
      <c r="N246" s="192">
        <v>36.5</v>
      </c>
      <c r="O246" s="192">
        <v>7944.12</v>
      </c>
      <c r="P246" s="192">
        <v>347</v>
      </c>
      <c r="Q246" s="192">
        <v>595.23</v>
      </c>
      <c r="R246" s="192">
        <v>0</v>
      </c>
      <c r="S246" s="285">
        <v>1</v>
      </c>
      <c r="T246" s="192">
        <v>1511.66</v>
      </c>
      <c r="U246" s="291">
        <v>10398.01</v>
      </c>
      <c r="V246" s="291">
        <v>10398.01</v>
      </c>
      <c r="W246" s="292">
        <v>138327</v>
      </c>
      <c r="X246" s="292">
        <v>124776.12</v>
      </c>
      <c r="Y246" s="292">
        <v>128733.24</v>
      </c>
      <c r="Z246" s="292">
        <v>39552.31</v>
      </c>
      <c r="AA246" s="290">
        <v>0</v>
      </c>
      <c r="AB246" s="285">
        <v>40145.594649999992</v>
      </c>
      <c r="AC246" s="290">
        <v>9000</v>
      </c>
      <c r="AD246" s="192">
        <v>12</v>
      </c>
      <c r="AE246" s="290">
        <v>10000</v>
      </c>
      <c r="AF246" s="194">
        <v>118000</v>
      </c>
      <c r="AG246" s="192" t="s">
        <v>1329</v>
      </c>
    </row>
    <row r="247" spans="1:34" x14ac:dyDescent="0.3">
      <c r="A247" s="192">
        <v>5832</v>
      </c>
      <c r="B247" s="192">
        <v>81</v>
      </c>
      <c r="C247" s="192">
        <v>2300</v>
      </c>
      <c r="D247" s="192" t="s">
        <v>585</v>
      </c>
      <c r="E247" s="192">
        <v>2371243</v>
      </c>
      <c r="F247" s="192" t="s">
        <v>1330</v>
      </c>
      <c r="G247" s="290">
        <v>0</v>
      </c>
      <c r="H247" s="192">
        <v>693.25</v>
      </c>
      <c r="I247" s="192">
        <v>87.36</v>
      </c>
      <c r="J247" s="192">
        <v>149</v>
      </c>
      <c r="K247" s="192">
        <v>0</v>
      </c>
      <c r="L247" s="192">
        <v>0</v>
      </c>
      <c r="M247" s="192">
        <v>0</v>
      </c>
      <c r="N247" s="192">
        <v>0</v>
      </c>
      <c r="O247" s="192">
        <v>929.61</v>
      </c>
      <c r="P247" s="192">
        <v>38.15</v>
      </c>
      <c r="Q247" s="192">
        <v>80.97</v>
      </c>
      <c r="R247" s="192">
        <v>0</v>
      </c>
      <c r="S247" s="285">
        <v>0</v>
      </c>
      <c r="T247" s="192">
        <v>93.59</v>
      </c>
      <c r="U247" s="291">
        <v>1142.32</v>
      </c>
      <c r="V247" s="291">
        <v>1142.32</v>
      </c>
      <c r="W247" s="292">
        <v>34239.24</v>
      </c>
      <c r="X247" s="292">
        <v>13707.84</v>
      </c>
      <c r="Y247" s="292">
        <v>16644.16</v>
      </c>
      <c r="Z247" s="292">
        <v>0</v>
      </c>
      <c r="AA247" s="290">
        <v>0</v>
      </c>
      <c r="AB247" s="285">
        <v>0</v>
      </c>
      <c r="AC247" s="290">
        <v>3500</v>
      </c>
      <c r="AD247" s="192">
        <v>12</v>
      </c>
      <c r="AE247" s="290">
        <v>2000</v>
      </c>
      <c r="AF247" s="194">
        <v>44000</v>
      </c>
      <c r="AG247" s="192" t="s">
        <v>1168</v>
      </c>
    </row>
    <row r="248" spans="1:34" x14ac:dyDescent="0.3">
      <c r="A248" s="192">
        <v>5832</v>
      </c>
      <c r="B248" s="192">
        <v>81</v>
      </c>
      <c r="C248" s="192">
        <v>2300</v>
      </c>
      <c r="D248" s="192" t="s">
        <v>585</v>
      </c>
      <c r="E248" s="192">
        <v>2375001</v>
      </c>
      <c r="F248" s="192" t="s">
        <v>1331</v>
      </c>
      <c r="G248" s="290">
        <v>1</v>
      </c>
      <c r="H248" s="192">
        <v>7632.12</v>
      </c>
      <c r="I248" s="192">
        <v>401.57</v>
      </c>
      <c r="J248" s="192">
        <v>197.6</v>
      </c>
      <c r="K248" s="192">
        <v>0</v>
      </c>
      <c r="L248" s="192">
        <v>0</v>
      </c>
      <c r="M248" s="192">
        <v>0</v>
      </c>
      <c r="N248" s="192">
        <v>36.5</v>
      </c>
      <c r="O248" s="192">
        <v>8267.7900000000009</v>
      </c>
      <c r="P248" s="192">
        <v>372</v>
      </c>
      <c r="Q248" s="192">
        <v>620.08000000000004</v>
      </c>
      <c r="R248" s="192">
        <v>0</v>
      </c>
      <c r="S248" s="285">
        <v>1</v>
      </c>
      <c r="T248" s="192">
        <v>1551.69</v>
      </c>
      <c r="U248" s="291">
        <v>10811.56</v>
      </c>
      <c r="V248" s="291">
        <v>10811.56</v>
      </c>
      <c r="W248" s="292">
        <v>127833.72</v>
      </c>
      <c r="X248" s="292">
        <v>129738.72</v>
      </c>
      <c r="Y248" s="292">
        <v>129541.24000000002</v>
      </c>
      <c r="Z248" s="292">
        <v>42029.32</v>
      </c>
      <c r="AA248" s="290">
        <v>0</v>
      </c>
      <c r="AB248" s="285">
        <v>42659.759799999993</v>
      </c>
      <c r="AC248" s="290">
        <v>9000</v>
      </c>
      <c r="AD248" s="192">
        <v>12</v>
      </c>
      <c r="AE248" s="290">
        <v>10000</v>
      </c>
      <c r="AF248" s="194">
        <v>118000</v>
      </c>
      <c r="AG248" s="192" t="s">
        <v>1329</v>
      </c>
    </row>
    <row r="249" spans="1:34" x14ac:dyDescent="0.3">
      <c r="A249" s="192">
        <v>5832</v>
      </c>
      <c r="B249" s="192">
        <v>81</v>
      </c>
      <c r="C249" s="192">
        <v>2300</v>
      </c>
      <c r="D249" s="192" t="s">
        <v>585</v>
      </c>
      <c r="E249" s="192">
        <v>2391681</v>
      </c>
      <c r="F249" s="192" t="s">
        <v>1332</v>
      </c>
      <c r="G249" s="290">
        <v>1</v>
      </c>
      <c r="H249" s="192">
        <v>7065.28</v>
      </c>
      <c r="I249" s="192">
        <v>383.25</v>
      </c>
      <c r="J249" s="192">
        <v>197.6</v>
      </c>
      <c r="K249" s="192">
        <v>0</v>
      </c>
      <c r="L249" s="192">
        <v>0</v>
      </c>
      <c r="M249" s="192">
        <v>0</v>
      </c>
      <c r="N249" s="192">
        <v>36.5</v>
      </c>
      <c r="O249" s="192">
        <v>7682.63</v>
      </c>
      <c r="P249" s="192">
        <v>327</v>
      </c>
      <c r="Q249" s="192">
        <v>576.20000000000005</v>
      </c>
      <c r="R249" s="192">
        <v>0</v>
      </c>
      <c r="S249" s="285">
        <v>1</v>
      </c>
      <c r="T249" s="192">
        <v>1478.19</v>
      </c>
      <c r="U249" s="291">
        <v>10064.02</v>
      </c>
      <c r="V249" s="291">
        <v>10064.02</v>
      </c>
      <c r="W249" s="292">
        <v>136073.40000000002</v>
      </c>
      <c r="X249" s="292">
        <v>120768.24</v>
      </c>
      <c r="Y249" s="292">
        <v>125653.35999999999</v>
      </c>
      <c r="Z249" s="292">
        <v>120951.99</v>
      </c>
      <c r="AA249" s="290">
        <v>123733.80392999999</v>
      </c>
      <c r="AB249" s="285">
        <v>122766.18865</v>
      </c>
      <c r="AC249" s="290">
        <v>11339.45</v>
      </c>
      <c r="AD249" s="192">
        <v>12</v>
      </c>
      <c r="AE249" s="290">
        <v>10000</v>
      </c>
      <c r="AF249" s="194">
        <v>146073.40000000002</v>
      </c>
    </row>
    <row r="250" spans="1:34" x14ac:dyDescent="0.3">
      <c r="A250" s="192">
        <v>5832</v>
      </c>
      <c r="B250" s="192">
        <v>81</v>
      </c>
      <c r="C250" s="192">
        <v>2300</v>
      </c>
      <c r="D250" s="192" t="s">
        <v>585</v>
      </c>
      <c r="E250" s="192">
        <v>2395090</v>
      </c>
      <c r="F250" s="192" t="s">
        <v>1333</v>
      </c>
      <c r="G250" s="290">
        <v>1</v>
      </c>
      <c r="H250" s="192">
        <v>6675.31</v>
      </c>
      <c r="I250" s="192">
        <v>377.93</v>
      </c>
      <c r="J250" s="192">
        <v>197.6</v>
      </c>
      <c r="K250" s="192">
        <v>0</v>
      </c>
      <c r="L250" s="192">
        <v>0</v>
      </c>
      <c r="M250" s="192">
        <v>0</v>
      </c>
      <c r="N250" s="192">
        <v>36.5</v>
      </c>
      <c r="O250" s="192">
        <v>7287.34</v>
      </c>
      <c r="P250" s="192">
        <v>298</v>
      </c>
      <c r="Q250" s="192">
        <v>546.54999999999995</v>
      </c>
      <c r="R250" s="192">
        <v>0</v>
      </c>
      <c r="S250" s="285">
        <v>1</v>
      </c>
      <c r="T250" s="192">
        <v>1393.52</v>
      </c>
      <c r="U250" s="291">
        <v>9525.41</v>
      </c>
      <c r="V250" s="291">
        <v>9525.41</v>
      </c>
      <c r="W250" s="292">
        <v>137003.63999999998</v>
      </c>
      <c r="X250" s="292">
        <v>114304.92</v>
      </c>
      <c r="Y250" s="292">
        <v>123509.19999999998</v>
      </c>
      <c r="Z250" s="292">
        <v>117870.62</v>
      </c>
      <c r="AA250" s="290">
        <v>120265.49634</v>
      </c>
      <c r="AB250" s="285">
        <v>119325.00369999999</v>
      </c>
      <c r="AC250" s="290">
        <v>10000</v>
      </c>
      <c r="AD250" s="192">
        <v>12</v>
      </c>
      <c r="AE250" s="290">
        <v>10000</v>
      </c>
      <c r="AF250" s="194">
        <v>130000</v>
      </c>
    </row>
    <row r="251" spans="1:34" x14ac:dyDescent="0.3">
      <c r="A251" s="192">
        <v>5832</v>
      </c>
      <c r="B251" s="192">
        <v>81</v>
      </c>
      <c r="C251" s="192">
        <v>2300</v>
      </c>
      <c r="D251" s="192" t="s">
        <v>585</v>
      </c>
      <c r="E251" s="192">
        <v>2418369</v>
      </c>
      <c r="F251" s="192" t="s">
        <v>1334</v>
      </c>
      <c r="G251" s="290">
        <v>1</v>
      </c>
      <c r="H251" s="192">
        <v>6524.25</v>
      </c>
      <c r="I251" s="192">
        <v>411.89</v>
      </c>
      <c r="J251" s="192">
        <v>197.6</v>
      </c>
      <c r="K251" s="192">
        <v>0</v>
      </c>
      <c r="L251" s="192">
        <v>0</v>
      </c>
      <c r="M251" s="192">
        <v>0</v>
      </c>
      <c r="N251" s="192">
        <v>36.5</v>
      </c>
      <c r="O251" s="192">
        <v>7170.24</v>
      </c>
      <c r="P251" s="192">
        <v>289</v>
      </c>
      <c r="Q251" s="192">
        <v>537.77</v>
      </c>
      <c r="R251" s="192">
        <v>0</v>
      </c>
      <c r="S251" s="285">
        <v>1</v>
      </c>
      <c r="T251" s="192">
        <v>1368.31</v>
      </c>
      <c r="U251" s="291">
        <v>9365.32</v>
      </c>
      <c r="V251" s="291">
        <v>9365.32</v>
      </c>
      <c r="W251" s="292">
        <v>110784.36000000002</v>
      </c>
      <c r="X251" s="292">
        <v>112383.84</v>
      </c>
      <c r="Y251" s="292">
        <v>113521.35999999999</v>
      </c>
      <c r="Z251" s="292">
        <v>46454.43</v>
      </c>
      <c r="AA251" s="290">
        <v>47523.915119999998</v>
      </c>
      <c r="AB251" s="285">
        <v>47152.2716</v>
      </c>
      <c r="AC251" s="290">
        <v>9232.0300000000007</v>
      </c>
      <c r="AD251" s="192">
        <v>12</v>
      </c>
      <c r="AE251" s="290">
        <v>9000</v>
      </c>
      <c r="AF251" s="194">
        <v>119784.36000000002</v>
      </c>
    </row>
    <row r="252" spans="1:34" x14ac:dyDescent="0.3">
      <c r="A252" s="192">
        <v>5832</v>
      </c>
      <c r="B252" s="192">
        <v>81</v>
      </c>
      <c r="C252" s="192">
        <v>2300</v>
      </c>
      <c r="D252" s="192" t="s">
        <v>585</v>
      </c>
      <c r="E252" s="192">
        <v>2526683</v>
      </c>
      <c r="F252" s="192" t="s">
        <v>1335</v>
      </c>
      <c r="G252" s="290">
        <v>0.85</v>
      </c>
      <c r="H252" s="192">
        <v>5881.09</v>
      </c>
      <c r="I252" s="192">
        <v>768.06</v>
      </c>
      <c r="J252" s="192">
        <v>190.31</v>
      </c>
      <c r="K252" s="192">
        <v>0</v>
      </c>
      <c r="L252" s="192">
        <v>0</v>
      </c>
      <c r="M252" s="192">
        <v>0</v>
      </c>
      <c r="N252" s="192">
        <v>36.5</v>
      </c>
      <c r="O252" s="192">
        <v>6875.96</v>
      </c>
      <c r="P252" s="192">
        <v>266</v>
      </c>
      <c r="Q252" s="192">
        <v>515.69000000000005</v>
      </c>
      <c r="R252" s="192">
        <v>0</v>
      </c>
      <c r="S252" s="285">
        <v>0.56666666666666665</v>
      </c>
      <c r="T252" s="192">
        <v>1277.0899999999999</v>
      </c>
      <c r="U252" s="291">
        <v>8934.74</v>
      </c>
      <c r="V252" s="291">
        <v>8934.74</v>
      </c>
      <c r="W252" s="292">
        <v>106168.56</v>
      </c>
      <c r="X252" s="292">
        <v>71477.919999999998</v>
      </c>
      <c r="Y252" s="292">
        <v>107802.68</v>
      </c>
      <c r="Z252" s="292">
        <v>112494.39</v>
      </c>
      <c r="AA252" s="290">
        <v>115019.93084999999</v>
      </c>
      <c r="AB252" s="285">
        <v>114120.45924999999</v>
      </c>
      <c r="AC252" s="290">
        <v>8847.3799999999992</v>
      </c>
      <c r="AD252" s="192">
        <v>8</v>
      </c>
      <c r="AE252" s="290">
        <v>9000</v>
      </c>
      <c r="AF252" s="194">
        <v>79779.039999999994</v>
      </c>
      <c r="AG252" s="192" t="s">
        <v>1327</v>
      </c>
    </row>
    <row r="253" spans="1:34" x14ac:dyDescent="0.3">
      <c r="A253" s="192">
        <v>5832</v>
      </c>
      <c r="B253" s="192">
        <v>81</v>
      </c>
      <c r="C253" s="192">
        <v>2300</v>
      </c>
      <c r="D253" s="192" t="s">
        <v>585</v>
      </c>
      <c r="E253" s="192">
        <v>2660580</v>
      </c>
      <c r="F253" s="192" t="s">
        <v>1336</v>
      </c>
      <c r="G253" s="290">
        <v>0</v>
      </c>
      <c r="H253" s="192">
        <v>0</v>
      </c>
      <c r="I253" s="192">
        <v>0</v>
      </c>
      <c r="J253" s="192">
        <v>63.6</v>
      </c>
      <c r="K253" s="192">
        <v>0</v>
      </c>
      <c r="L253" s="192">
        <v>0</v>
      </c>
      <c r="M253" s="192">
        <v>0</v>
      </c>
      <c r="N253" s="192">
        <v>0</v>
      </c>
      <c r="O253" s="192">
        <v>63.6</v>
      </c>
      <c r="P253" s="192">
        <v>7.57</v>
      </c>
      <c r="Q253" s="192">
        <v>16.02</v>
      </c>
      <c r="R253" s="192">
        <v>0</v>
      </c>
      <c r="S253" s="285">
        <v>0</v>
      </c>
      <c r="T253" s="192">
        <v>0</v>
      </c>
      <c r="U253" s="291">
        <v>87.19</v>
      </c>
      <c r="V253" s="291">
        <v>87.19</v>
      </c>
      <c r="W253" s="292">
        <v>27886.68</v>
      </c>
      <c r="X253" s="292">
        <v>1046.28</v>
      </c>
      <c r="Y253" s="292">
        <v>25078.44</v>
      </c>
      <c r="Z253" s="292">
        <v>19218.22</v>
      </c>
      <c r="AA253" s="290">
        <v>14946.991619999999</v>
      </c>
      <c r="AB253" s="285">
        <v>14830.104099999999</v>
      </c>
      <c r="AC253" s="290">
        <v>3340.36</v>
      </c>
      <c r="AD253" s="192">
        <v>12</v>
      </c>
      <c r="AE253" s="290">
        <v>3500</v>
      </c>
      <c r="AF253" s="194">
        <v>43584.32</v>
      </c>
      <c r="AG253" s="192" t="s">
        <v>1329</v>
      </c>
    </row>
    <row r="254" spans="1:34" x14ac:dyDescent="0.3">
      <c r="A254" s="192">
        <v>5832</v>
      </c>
      <c r="B254" s="192">
        <v>81</v>
      </c>
      <c r="C254" s="192">
        <v>2300</v>
      </c>
      <c r="D254" s="192" t="s">
        <v>585</v>
      </c>
      <c r="E254" s="192">
        <v>2733478</v>
      </c>
      <c r="F254" s="192" t="s">
        <v>1337</v>
      </c>
      <c r="G254" s="290">
        <v>0.6</v>
      </c>
      <c r="H254" s="192">
        <v>2301.12</v>
      </c>
      <c r="I254" s="192">
        <v>1312.79</v>
      </c>
      <c r="J254" s="192">
        <v>170.87</v>
      </c>
      <c r="K254" s="192">
        <v>0</v>
      </c>
      <c r="L254" s="192">
        <v>0</v>
      </c>
      <c r="M254" s="192">
        <v>0</v>
      </c>
      <c r="N254" s="192">
        <v>0</v>
      </c>
      <c r="O254" s="192">
        <v>3784.78</v>
      </c>
      <c r="P254" s="192">
        <v>140</v>
      </c>
      <c r="Q254" s="192">
        <v>295.11</v>
      </c>
      <c r="R254" s="192">
        <v>0</v>
      </c>
      <c r="S254" s="285">
        <v>0.39999999999999997</v>
      </c>
      <c r="T254" s="192">
        <v>286.5</v>
      </c>
      <c r="U254" s="291">
        <v>4506.3900000000003</v>
      </c>
      <c r="V254" s="291">
        <v>4506.3900000000003</v>
      </c>
      <c r="W254" s="292">
        <v>66620.52</v>
      </c>
      <c r="X254" s="292">
        <v>36051.120000000003</v>
      </c>
      <c r="Y254" s="292">
        <v>63424.880000000005</v>
      </c>
      <c r="Z254" s="292">
        <v>9851.1200000000008</v>
      </c>
      <c r="AA254" s="290">
        <v>0</v>
      </c>
      <c r="AB254" s="285">
        <v>9998.8868000000002</v>
      </c>
      <c r="AC254" s="290">
        <v>5551.71</v>
      </c>
      <c r="AD254" s="192">
        <v>8</v>
      </c>
      <c r="AE254" s="290">
        <v>5000</v>
      </c>
      <c r="AF254" s="194">
        <v>49413.68</v>
      </c>
      <c r="AG254" s="192" t="s">
        <v>1329</v>
      </c>
    </row>
    <row r="255" spans="1:34" x14ac:dyDescent="0.3">
      <c r="A255" s="192">
        <v>5832</v>
      </c>
      <c r="B255" s="192">
        <v>81</v>
      </c>
      <c r="C255" s="192">
        <v>2300</v>
      </c>
      <c r="D255" s="192" t="s">
        <v>585</v>
      </c>
      <c r="E255" s="192">
        <v>2887665</v>
      </c>
      <c r="F255" s="192" t="s">
        <v>1338</v>
      </c>
      <c r="G255" s="290">
        <v>1</v>
      </c>
      <c r="H255" s="192">
        <v>7641.12</v>
      </c>
      <c r="I255" s="192">
        <v>416.55</v>
      </c>
      <c r="J255" s="192">
        <v>197.6</v>
      </c>
      <c r="K255" s="192">
        <v>0</v>
      </c>
      <c r="L255" s="192">
        <v>0</v>
      </c>
      <c r="M255" s="192">
        <v>0</v>
      </c>
      <c r="N255" s="192">
        <v>36.5</v>
      </c>
      <c r="O255" s="192">
        <v>8291.77</v>
      </c>
      <c r="P255" s="192">
        <v>374</v>
      </c>
      <c r="Q255" s="192">
        <v>622.22</v>
      </c>
      <c r="R255" s="192">
        <v>0</v>
      </c>
      <c r="S255" s="285">
        <v>1</v>
      </c>
      <c r="T255" s="192">
        <v>771.52</v>
      </c>
      <c r="U255" s="291">
        <v>10059.51</v>
      </c>
      <c r="V255" s="291">
        <v>10059.51</v>
      </c>
      <c r="W255" s="292">
        <v>123124.56</v>
      </c>
      <c r="X255" s="292">
        <v>120714.12</v>
      </c>
      <c r="Y255" s="292">
        <v>121797.51999999999</v>
      </c>
      <c r="Z255" s="292">
        <v>46444.91</v>
      </c>
      <c r="AA255" s="290">
        <v>47513.613509999988</v>
      </c>
      <c r="AB255" s="285">
        <v>47142.050549999993</v>
      </c>
      <c r="AC255" s="290">
        <v>10260.379999999999</v>
      </c>
      <c r="AD255" s="192">
        <v>12</v>
      </c>
      <c r="AE255" s="290">
        <v>10000</v>
      </c>
      <c r="AF255" s="194">
        <v>133124.56</v>
      </c>
      <c r="AG255" s="192" t="s">
        <v>1329</v>
      </c>
    </row>
    <row r="256" spans="1:34" x14ac:dyDescent="0.3">
      <c r="A256" s="192">
        <v>5832</v>
      </c>
      <c r="B256" s="192">
        <v>81</v>
      </c>
      <c r="C256" s="192">
        <v>2300</v>
      </c>
      <c r="D256" s="192" t="s">
        <v>585</v>
      </c>
      <c r="E256" s="192">
        <v>2887850</v>
      </c>
      <c r="F256" s="192" t="s">
        <v>1282</v>
      </c>
      <c r="G256" s="290">
        <v>0</v>
      </c>
      <c r="H256" s="192">
        <v>1873.25</v>
      </c>
      <c r="I256" s="192">
        <v>0</v>
      </c>
      <c r="J256" s="192">
        <v>149</v>
      </c>
      <c r="K256" s="192">
        <v>0</v>
      </c>
      <c r="L256" s="192">
        <v>0</v>
      </c>
      <c r="M256" s="192">
        <v>0</v>
      </c>
      <c r="N256" s="192">
        <v>0</v>
      </c>
      <c r="O256" s="192">
        <v>2022.25</v>
      </c>
      <c r="P256" s="192">
        <v>71.66</v>
      </c>
      <c r="Q256" s="192">
        <v>151.68</v>
      </c>
      <c r="R256" s="192">
        <v>0</v>
      </c>
      <c r="S256" s="285">
        <v>0</v>
      </c>
      <c r="T256" s="192">
        <v>252.89</v>
      </c>
      <c r="U256" s="291">
        <v>2498.48</v>
      </c>
      <c r="V256" s="291">
        <v>2498.48</v>
      </c>
      <c r="W256" s="292">
        <v>0</v>
      </c>
      <c r="X256" s="292">
        <v>29981.760000000002</v>
      </c>
      <c r="Y256" s="292">
        <v>13192.8</v>
      </c>
      <c r="Z256" s="292">
        <v>0</v>
      </c>
      <c r="AA256" s="290">
        <v>0</v>
      </c>
      <c r="AB256" s="285">
        <v>0</v>
      </c>
      <c r="AC256" s="290">
        <v>4190.4799999999996</v>
      </c>
      <c r="AD256" s="192">
        <v>12</v>
      </c>
      <c r="AE256" s="290"/>
      <c r="AF256" s="194">
        <v>50285.759999999995</v>
      </c>
      <c r="AG256" s="192" t="s">
        <v>1283</v>
      </c>
    </row>
    <row r="257" spans="1:33" x14ac:dyDescent="0.3">
      <c r="A257" s="192">
        <v>5832</v>
      </c>
      <c r="B257" s="192">
        <v>81</v>
      </c>
      <c r="C257" s="192">
        <v>2300</v>
      </c>
      <c r="D257" s="192" t="s">
        <v>585</v>
      </c>
      <c r="E257" s="192">
        <v>2945684</v>
      </c>
      <c r="F257" s="192" t="s">
        <v>1339</v>
      </c>
      <c r="G257" s="290">
        <v>1</v>
      </c>
      <c r="H257" s="192">
        <v>6576.81</v>
      </c>
      <c r="I257" s="192">
        <v>378.93</v>
      </c>
      <c r="J257" s="192">
        <v>197.6</v>
      </c>
      <c r="K257" s="192">
        <v>0</v>
      </c>
      <c r="L257" s="192">
        <v>0</v>
      </c>
      <c r="M257" s="192">
        <v>0</v>
      </c>
      <c r="N257" s="192">
        <v>36.5</v>
      </c>
      <c r="O257" s="192">
        <v>7189.84</v>
      </c>
      <c r="P257" s="192">
        <v>290</v>
      </c>
      <c r="Q257" s="192">
        <v>539.24</v>
      </c>
      <c r="R257" s="192">
        <v>0</v>
      </c>
      <c r="S257" s="285">
        <v>1</v>
      </c>
      <c r="T257" s="192">
        <v>1321.23</v>
      </c>
      <c r="U257" s="291">
        <v>9340.31</v>
      </c>
      <c r="V257" s="291">
        <v>9340.31</v>
      </c>
      <c r="W257" s="292">
        <v>141516.12</v>
      </c>
      <c r="X257" s="292">
        <v>112083.72</v>
      </c>
      <c r="Y257" s="292">
        <v>125627.68</v>
      </c>
      <c r="Z257" s="292">
        <v>127049.63</v>
      </c>
      <c r="AA257" s="290">
        <v>128843.92421999999</v>
      </c>
      <c r="AB257" s="285">
        <v>127836.34709999998</v>
      </c>
      <c r="AC257" s="290">
        <v>10000</v>
      </c>
      <c r="AD257" s="192">
        <v>12</v>
      </c>
      <c r="AE257" s="290">
        <v>10000</v>
      </c>
      <c r="AF257" s="194">
        <v>130000</v>
      </c>
    </row>
    <row r="258" spans="1:33" x14ac:dyDescent="0.3">
      <c r="A258" s="192">
        <v>5832</v>
      </c>
      <c r="B258" s="192">
        <v>81</v>
      </c>
      <c r="C258" s="192">
        <v>2300</v>
      </c>
      <c r="D258" s="192" t="s">
        <v>585</v>
      </c>
      <c r="E258" s="192">
        <v>3048752</v>
      </c>
      <c r="F258" s="192" t="s">
        <v>1340</v>
      </c>
      <c r="G258" s="290">
        <v>1</v>
      </c>
      <c r="H258" s="192">
        <v>1400</v>
      </c>
      <c r="I258" s="192">
        <v>0</v>
      </c>
      <c r="J258" s="192">
        <v>42.4</v>
      </c>
      <c r="K258" s="192">
        <v>0</v>
      </c>
      <c r="L258" s="192">
        <v>0</v>
      </c>
      <c r="M258" s="192">
        <v>0</v>
      </c>
      <c r="N258" s="192">
        <v>0</v>
      </c>
      <c r="O258" s="192">
        <v>1442.4</v>
      </c>
      <c r="P258" s="192">
        <v>51</v>
      </c>
      <c r="Q258" s="192">
        <v>108.18</v>
      </c>
      <c r="R258" s="192">
        <v>0</v>
      </c>
      <c r="S258" s="285">
        <v>1</v>
      </c>
      <c r="T258" s="192">
        <v>0</v>
      </c>
      <c r="U258" s="291">
        <v>1601.58</v>
      </c>
      <c r="V258" s="291">
        <v>1601.58</v>
      </c>
      <c r="W258" s="292">
        <v>0</v>
      </c>
      <c r="X258" s="292">
        <v>19218.96</v>
      </c>
      <c r="Y258" s="292">
        <v>6406.32</v>
      </c>
      <c r="Z258" s="292">
        <v>0</v>
      </c>
      <c r="AA258" s="290">
        <v>0</v>
      </c>
      <c r="AB258" s="285">
        <v>0</v>
      </c>
      <c r="AC258" s="290">
        <v>1601.58</v>
      </c>
      <c r="AD258" s="192">
        <v>12</v>
      </c>
      <c r="AE258" s="290"/>
      <c r="AF258" s="194">
        <v>19218.96</v>
      </c>
      <c r="AG258" s="192" t="s">
        <v>1341</v>
      </c>
    </row>
    <row r="259" spans="1:33" x14ac:dyDescent="0.3">
      <c r="A259" s="192">
        <v>5832</v>
      </c>
      <c r="B259" s="192">
        <v>81</v>
      </c>
      <c r="C259" s="192">
        <v>2300</v>
      </c>
      <c r="D259" s="192" t="s">
        <v>585</v>
      </c>
      <c r="E259" s="192">
        <v>3287909</v>
      </c>
      <c r="F259" s="192" t="s">
        <v>1342</v>
      </c>
      <c r="G259" s="290">
        <v>0.85</v>
      </c>
      <c r="H259" s="192">
        <v>5352.05</v>
      </c>
      <c r="I259" s="192">
        <v>319.64</v>
      </c>
      <c r="J259" s="192">
        <v>190.31</v>
      </c>
      <c r="K259" s="192">
        <v>0</v>
      </c>
      <c r="L259" s="192">
        <v>0</v>
      </c>
      <c r="M259" s="192">
        <v>0</v>
      </c>
      <c r="N259" s="192">
        <v>487.85</v>
      </c>
      <c r="O259" s="192">
        <v>6349.85</v>
      </c>
      <c r="P259" s="192">
        <v>226</v>
      </c>
      <c r="Q259" s="192">
        <v>476.24</v>
      </c>
      <c r="R259" s="192">
        <v>0</v>
      </c>
      <c r="S259" s="285">
        <v>0.56666666666666665</v>
      </c>
      <c r="T259" s="192">
        <v>1156.72</v>
      </c>
      <c r="U259" s="291">
        <v>8208.81</v>
      </c>
      <c r="V259" s="291">
        <v>8208.81</v>
      </c>
      <c r="W259" s="292">
        <v>127572.12</v>
      </c>
      <c r="X259" s="292">
        <v>65670.48</v>
      </c>
      <c r="Y259" s="292">
        <v>110694.84</v>
      </c>
      <c r="Z259" s="292">
        <v>113326.26</v>
      </c>
      <c r="AA259" s="290">
        <v>115285.55279999999</v>
      </c>
      <c r="AB259" s="285">
        <v>114384.004</v>
      </c>
      <c r="AC259" s="290">
        <v>10631.01</v>
      </c>
      <c r="AD259" s="192">
        <v>8</v>
      </c>
      <c r="AE259" s="290">
        <v>10000</v>
      </c>
      <c r="AF259" s="194">
        <v>95048.08</v>
      </c>
    </row>
    <row r="260" spans="1:33" x14ac:dyDescent="0.3">
      <c r="A260" s="192">
        <v>5832</v>
      </c>
      <c r="B260" s="192">
        <v>81</v>
      </c>
      <c r="C260" s="192">
        <v>2300</v>
      </c>
      <c r="D260" s="192" t="s">
        <v>585</v>
      </c>
      <c r="E260" s="192">
        <v>3627661</v>
      </c>
      <c r="F260" s="192" t="s">
        <v>1343</v>
      </c>
      <c r="G260" s="290">
        <v>1</v>
      </c>
      <c r="H260" s="192">
        <v>6962.67</v>
      </c>
      <c r="I260" s="192">
        <v>379.91</v>
      </c>
      <c r="J260" s="192">
        <v>197.6</v>
      </c>
      <c r="K260" s="192">
        <v>0</v>
      </c>
      <c r="L260" s="192">
        <v>0</v>
      </c>
      <c r="M260" s="192">
        <v>0</v>
      </c>
      <c r="N260" s="192">
        <v>353.5</v>
      </c>
      <c r="O260" s="192">
        <v>7893.68</v>
      </c>
      <c r="P260" s="192">
        <v>344</v>
      </c>
      <c r="Q260" s="192">
        <v>592.03</v>
      </c>
      <c r="R260" s="192">
        <v>0</v>
      </c>
      <c r="S260" s="285">
        <v>1</v>
      </c>
      <c r="T260" s="192">
        <v>1471.26</v>
      </c>
      <c r="U260" s="291">
        <v>10300.969999999999</v>
      </c>
      <c r="V260" s="291">
        <v>10300.969999999999</v>
      </c>
      <c r="W260" s="292">
        <v>130264.79999999999</v>
      </c>
      <c r="X260" s="292">
        <v>123611.63999999998</v>
      </c>
      <c r="Y260" s="292">
        <v>127273</v>
      </c>
      <c r="Z260" s="292">
        <v>119429.65</v>
      </c>
      <c r="AA260" s="290">
        <v>122126.25149999998</v>
      </c>
      <c r="AB260" s="285">
        <v>121171.20749999999</v>
      </c>
      <c r="AC260" s="290">
        <v>10855.4</v>
      </c>
      <c r="AD260" s="192">
        <v>12</v>
      </c>
      <c r="AE260" s="290">
        <v>10000</v>
      </c>
      <c r="AF260" s="194">
        <v>140264.79999999999</v>
      </c>
    </row>
    <row r="261" spans="1:33" x14ac:dyDescent="0.3">
      <c r="A261" s="192">
        <v>5832</v>
      </c>
      <c r="B261" s="192">
        <v>81</v>
      </c>
      <c r="C261" s="192">
        <v>2300</v>
      </c>
      <c r="D261" s="192" t="s">
        <v>585</v>
      </c>
      <c r="E261" s="192">
        <v>5429071</v>
      </c>
      <c r="F261" s="192" t="s">
        <v>1303</v>
      </c>
      <c r="G261" s="290">
        <v>0</v>
      </c>
      <c r="H261" s="192">
        <v>383.5</v>
      </c>
      <c r="I261" s="192">
        <v>0</v>
      </c>
      <c r="J261" s="192">
        <v>0</v>
      </c>
      <c r="K261" s="192">
        <v>0</v>
      </c>
      <c r="L261" s="192">
        <v>0</v>
      </c>
      <c r="M261" s="192">
        <v>0</v>
      </c>
      <c r="N261" s="192">
        <v>0</v>
      </c>
      <c r="O261" s="192">
        <v>383.5</v>
      </c>
      <c r="P261" s="192">
        <v>12.51</v>
      </c>
      <c r="Q261" s="192">
        <v>28.76</v>
      </c>
      <c r="R261" s="192">
        <v>0</v>
      </c>
      <c r="S261" s="285">
        <v>0</v>
      </c>
      <c r="T261" s="192">
        <v>51.77</v>
      </c>
      <c r="U261" s="291">
        <v>476.54</v>
      </c>
      <c r="V261" s="291">
        <v>476.54</v>
      </c>
      <c r="W261" s="292">
        <v>45741.96</v>
      </c>
      <c r="X261" s="292">
        <v>5718.4800000000005</v>
      </c>
      <c r="Y261" s="292">
        <v>15249.88</v>
      </c>
      <c r="Z261" s="292">
        <v>6147.51</v>
      </c>
      <c r="AA261" s="290">
        <v>0</v>
      </c>
      <c r="AB261" s="285">
        <v>3319.1007500000001</v>
      </c>
      <c r="AC261" s="290">
        <v>3811.83</v>
      </c>
      <c r="AD261" s="192">
        <v>12</v>
      </c>
      <c r="AE261" s="290">
        <v>3000</v>
      </c>
      <c r="AF261" s="194">
        <v>48741.96</v>
      </c>
      <c r="AG261" s="192" t="s">
        <v>1329</v>
      </c>
    </row>
    <row r="262" spans="1:33" x14ac:dyDescent="0.3">
      <c r="A262" s="192">
        <v>5832</v>
      </c>
      <c r="B262" s="192">
        <v>81</v>
      </c>
      <c r="C262" s="192">
        <v>2300</v>
      </c>
      <c r="D262" s="192" t="s">
        <v>585</v>
      </c>
      <c r="E262" s="192">
        <v>5646436</v>
      </c>
      <c r="F262" s="192" t="s">
        <v>1344</v>
      </c>
      <c r="G262" s="290">
        <v>0</v>
      </c>
      <c r="H262" s="192">
        <v>2197.75</v>
      </c>
      <c r="I262" s="192">
        <v>0</v>
      </c>
      <c r="J262" s="192">
        <v>106</v>
      </c>
      <c r="K262" s="192">
        <v>0</v>
      </c>
      <c r="L262" s="192">
        <v>0</v>
      </c>
      <c r="M262" s="192">
        <v>0</v>
      </c>
      <c r="N262" s="192">
        <v>0</v>
      </c>
      <c r="O262" s="192">
        <v>2303.75</v>
      </c>
      <c r="P262" s="192">
        <v>87</v>
      </c>
      <c r="Q262" s="192">
        <v>184.03</v>
      </c>
      <c r="R262" s="192">
        <v>0</v>
      </c>
      <c r="S262" s="285">
        <v>0</v>
      </c>
      <c r="T262" s="192">
        <v>296.7</v>
      </c>
      <c r="U262" s="291">
        <v>2871.48</v>
      </c>
      <c r="V262" s="291">
        <v>2871.48</v>
      </c>
      <c r="W262" s="292">
        <v>33293.279999999999</v>
      </c>
      <c r="X262" s="292">
        <v>34457.760000000002</v>
      </c>
      <c r="Y262" s="292">
        <v>11097.76</v>
      </c>
      <c r="Z262" s="292">
        <v>6080.19</v>
      </c>
      <c r="AA262" s="290">
        <v>0</v>
      </c>
      <c r="AB262" s="285">
        <v>3019.20885</v>
      </c>
      <c r="AC262" s="290">
        <v>3197.01</v>
      </c>
      <c r="AD262" s="192">
        <v>12</v>
      </c>
      <c r="AE262" s="290">
        <v>3000</v>
      </c>
      <c r="AF262" s="194">
        <v>41364.120000000003</v>
      </c>
      <c r="AG262" s="192" t="s">
        <v>1329</v>
      </c>
    </row>
    <row r="263" spans="1:33" x14ac:dyDescent="0.3">
      <c r="A263" s="192">
        <v>5832</v>
      </c>
      <c r="B263" s="192">
        <v>81</v>
      </c>
      <c r="C263" s="192">
        <v>2300</v>
      </c>
      <c r="D263" s="192" t="s">
        <v>585</v>
      </c>
      <c r="E263" s="192">
        <v>5728726</v>
      </c>
      <c r="F263" s="192" t="s">
        <v>1345</v>
      </c>
      <c r="G263" s="290">
        <v>1</v>
      </c>
      <c r="H263" s="192">
        <v>6872.42</v>
      </c>
      <c r="I263" s="192">
        <v>376.97</v>
      </c>
      <c r="J263" s="192">
        <v>197.6</v>
      </c>
      <c r="K263" s="192">
        <v>0</v>
      </c>
      <c r="L263" s="192">
        <v>0</v>
      </c>
      <c r="M263" s="192">
        <v>0</v>
      </c>
      <c r="N263" s="192">
        <v>36.5</v>
      </c>
      <c r="O263" s="192">
        <v>7483.49</v>
      </c>
      <c r="P263" s="192">
        <v>312</v>
      </c>
      <c r="Q263" s="192">
        <v>561.26</v>
      </c>
      <c r="R263" s="192">
        <v>0</v>
      </c>
      <c r="S263" s="285">
        <v>1</v>
      </c>
      <c r="T263" s="192">
        <v>1435.59</v>
      </c>
      <c r="U263" s="291">
        <v>9792.34</v>
      </c>
      <c r="V263" s="291">
        <v>9792.34</v>
      </c>
      <c r="W263" s="292">
        <v>132837.96</v>
      </c>
      <c r="X263" s="292">
        <v>117508.08</v>
      </c>
      <c r="Y263" s="292">
        <v>122403.88</v>
      </c>
      <c r="Z263" s="292">
        <v>116552.19</v>
      </c>
      <c r="AA263" s="290">
        <v>119079.45059999998</v>
      </c>
      <c r="AB263" s="285">
        <v>118148.23299999999</v>
      </c>
      <c r="AC263" s="290">
        <v>11069.83</v>
      </c>
      <c r="AD263" s="192">
        <v>12</v>
      </c>
      <c r="AE263" s="290">
        <v>10000</v>
      </c>
      <c r="AF263" s="194">
        <v>142837.96</v>
      </c>
    </row>
    <row r="264" spans="1:33" x14ac:dyDescent="0.3">
      <c r="A264" s="192">
        <v>5832</v>
      </c>
      <c r="B264" s="192">
        <v>81</v>
      </c>
      <c r="C264" s="192">
        <v>2300</v>
      </c>
      <c r="D264" s="192" t="s">
        <v>585</v>
      </c>
      <c r="E264" s="192">
        <v>5829453</v>
      </c>
      <c r="F264" s="192" t="s">
        <v>1346</v>
      </c>
      <c r="G264" s="290">
        <v>0</v>
      </c>
      <c r="H264" s="192">
        <v>3573.93</v>
      </c>
      <c r="I264" s="192">
        <v>0</v>
      </c>
      <c r="J264" s="192">
        <v>116</v>
      </c>
      <c r="K264" s="192">
        <v>0</v>
      </c>
      <c r="L264" s="192">
        <v>0</v>
      </c>
      <c r="M264" s="192">
        <v>0</v>
      </c>
      <c r="N264" s="192">
        <v>0</v>
      </c>
      <c r="O264" s="192">
        <v>3689.93</v>
      </c>
      <c r="P264" s="192">
        <v>136</v>
      </c>
      <c r="Q264" s="192">
        <v>287.99</v>
      </c>
      <c r="R264" s="192">
        <v>0</v>
      </c>
      <c r="S264" s="285">
        <v>0</v>
      </c>
      <c r="T264" s="192">
        <v>482.48</v>
      </c>
      <c r="U264" s="291">
        <v>4596.3999999999996</v>
      </c>
      <c r="V264" s="291">
        <v>4596.3999999999996</v>
      </c>
      <c r="W264" s="292">
        <v>34780.559999999998</v>
      </c>
      <c r="X264" s="292">
        <v>55156.799999999996</v>
      </c>
      <c r="Y264" s="292">
        <v>51965.2</v>
      </c>
      <c r="Z264" s="292">
        <v>5364.37</v>
      </c>
      <c r="AA264" s="290">
        <v>0</v>
      </c>
      <c r="AB264" s="285">
        <v>5444.8355499999998</v>
      </c>
      <c r="AC264" s="290">
        <v>2898.38</v>
      </c>
      <c r="AD264" s="192">
        <v>12</v>
      </c>
      <c r="AE264" s="290">
        <v>3000</v>
      </c>
      <c r="AF264" s="194">
        <v>37780.559999999998</v>
      </c>
      <c r="AG264" s="192" t="s">
        <v>1329</v>
      </c>
    </row>
    <row r="265" spans="1:33" x14ac:dyDescent="0.3">
      <c r="A265" s="192">
        <v>5832</v>
      </c>
      <c r="B265" s="192">
        <v>81</v>
      </c>
      <c r="C265" s="192">
        <v>2300</v>
      </c>
      <c r="D265" s="192" t="s">
        <v>585</v>
      </c>
      <c r="E265" s="192">
        <v>5843016</v>
      </c>
      <c r="F265" s="192" t="s">
        <v>1347</v>
      </c>
      <c r="G265" s="290">
        <v>1</v>
      </c>
      <c r="H265" s="192">
        <v>7338.5</v>
      </c>
      <c r="I265" s="192">
        <v>463.44</v>
      </c>
      <c r="J265" s="192">
        <v>197.6</v>
      </c>
      <c r="K265" s="192">
        <v>0</v>
      </c>
      <c r="L265" s="192">
        <v>0</v>
      </c>
      <c r="M265" s="192">
        <v>0</v>
      </c>
      <c r="N265" s="192">
        <v>36.5</v>
      </c>
      <c r="O265" s="192">
        <v>8036.04</v>
      </c>
      <c r="P265" s="192">
        <v>354</v>
      </c>
      <c r="Q265" s="192">
        <v>602.70000000000005</v>
      </c>
      <c r="R265" s="192">
        <v>0</v>
      </c>
      <c r="S265" s="285">
        <v>1</v>
      </c>
      <c r="T265" s="192">
        <v>1548.3</v>
      </c>
      <c r="U265" s="291">
        <v>10541.04</v>
      </c>
      <c r="V265" s="291">
        <v>10541.04</v>
      </c>
      <c r="W265" s="292">
        <v>123524.88</v>
      </c>
      <c r="X265" s="292">
        <v>126492.48000000001</v>
      </c>
      <c r="Y265" s="292">
        <v>124916.48000000001</v>
      </c>
      <c r="Z265" s="292">
        <v>90312.88</v>
      </c>
      <c r="AA265" s="290">
        <v>0</v>
      </c>
      <c r="AB265" s="285">
        <v>91667.573199999999</v>
      </c>
      <c r="AC265" s="290">
        <v>10293.74</v>
      </c>
      <c r="AD265" s="192">
        <v>12</v>
      </c>
      <c r="AE265" s="290">
        <v>10000</v>
      </c>
      <c r="AF265" s="194">
        <v>133524.88</v>
      </c>
    </row>
    <row r="266" spans="1:33" x14ac:dyDescent="0.3">
      <c r="A266" s="192">
        <v>5832</v>
      </c>
      <c r="B266" s="192">
        <v>81</v>
      </c>
      <c r="C266" s="192">
        <v>2300</v>
      </c>
      <c r="D266" s="192" t="s">
        <v>585</v>
      </c>
      <c r="E266" s="192">
        <v>6284185</v>
      </c>
      <c r="F266" s="192" t="s">
        <v>1348</v>
      </c>
      <c r="G266" s="290">
        <v>1</v>
      </c>
      <c r="H266" s="192">
        <v>6430.98</v>
      </c>
      <c r="I266" s="192">
        <v>374.93</v>
      </c>
      <c r="J266" s="192">
        <v>197.6</v>
      </c>
      <c r="K266" s="192">
        <v>0</v>
      </c>
      <c r="L266" s="192">
        <v>0</v>
      </c>
      <c r="M266" s="192">
        <v>0</v>
      </c>
      <c r="N266" s="192">
        <v>36.5</v>
      </c>
      <c r="O266" s="192">
        <v>7040.01</v>
      </c>
      <c r="P266" s="192">
        <v>279</v>
      </c>
      <c r="Q266" s="192">
        <v>527.99</v>
      </c>
      <c r="R266" s="192">
        <v>0</v>
      </c>
      <c r="S266" s="285">
        <v>1</v>
      </c>
      <c r="T266" s="192">
        <v>1289.22</v>
      </c>
      <c r="U266" s="291">
        <v>9136.2199999999993</v>
      </c>
      <c r="V266" s="291">
        <v>9136.2199999999993</v>
      </c>
      <c r="W266" s="292">
        <v>134567.40000000002</v>
      </c>
      <c r="X266" s="292">
        <v>109634.63999999998</v>
      </c>
      <c r="Y266" s="292">
        <v>120855.91999999998</v>
      </c>
      <c r="Z266" s="292">
        <v>114089.76</v>
      </c>
      <c r="AA266" s="290">
        <v>116885.55548999998</v>
      </c>
      <c r="AB266" s="285">
        <v>115971.49444999998</v>
      </c>
      <c r="AC266" s="290">
        <v>11213.95</v>
      </c>
      <c r="AD266" s="192">
        <v>12</v>
      </c>
      <c r="AE266" s="290">
        <v>10000</v>
      </c>
      <c r="AF266" s="194">
        <v>144567.40000000002</v>
      </c>
    </row>
    <row r="267" spans="1:33" x14ac:dyDescent="0.3">
      <c r="A267" s="192">
        <v>5832</v>
      </c>
      <c r="B267" s="192">
        <v>81</v>
      </c>
      <c r="C267" s="192">
        <v>2300</v>
      </c>
      <c r="D267" s="192" t="s">
        <v>585</v>
      </c>
      <c r="E267" s="192">
        <v>6293365</v>
      </c>
      <c r="F267" s="192" t="s">
        <v>1349</v>
      </c>
      <c r="G267" s="290">
        <v>0</v>
      </c>
      <c r="H267" s="192">
        <v>4262.75</v>
      </c>
      <c r="I267" s="192">
        <v>0</v>
      </c>
      <c r="J267" s="192">
        <v>149</v>
      </c>
      <c r="K267" s="192">
        <v>0</v>
      </c>
      <c r="L267" s="192">
        <v>0</v>
      </c>
      <c r="M267" s="192">
        <v>0</v>
      </c>
      <c r="N267" s="192">
        <v>0</v>
      </c>
      <c r="O267" s="192">
        <v>4411.75</v>
      </c>
      <c r="P267" s="192">
        <v>22</v>
      </c>
      <c r="Q267" s="192">
        <v>342.13</v>
      </c>
      <c r="R267" s="192">
        <v>0</v>
      </c>
      <c r="S267" s="285">
        <v>0</v>
      </c>
      <c r="T267" s="192">
        <v>575.48</v>
      </c>
      <c r="U267" s="291">
        <v>5351.36</v>
      </c>
      <c r="V267" s="291">
        <v>5351.36</v>
      </c>
      <c r="W267" s="292">
        <v>91370.16</v>
      </c>
      <c r="X267" s="292">
        <v>42810.879999999997</v>
      </c>
      <c r="Y267" s="292">
        <v>52505.72</v>
      </c>
      <c r="Z267" s="292">
        <v>40161.79</v>
      </c>
      <c r="AA267" s="290">
        <v>33954.219089999999</v>
      </c>
      <c r="AB267" s="285">
        <v>33688.692449999995</v>
      </c>
      <c r="AC267" s="290">
        <v>7614.18</v>
      </c>
      <c r="AD267" s="192">
        <v>8</v>
      </c>
      <c r="AE267" s="290">
        <v>7000</v>
      </c>
      <c r="AF267" s="194">
        <v>67913.440000000002</v>
      </c>
    </row>
    <row r="268" spans="1:33" s="207" customFormat="1" x14ac:dyDescent="0.3">
      <c r="A268" s="207">
        <v>5832</v>
      </c>
      <c r="B268" s="207">
        <v>81</v>
      </c>
      <c r="C268" s="207">
        <v>2300</v>
      </c>
      <c r="D268" s="207" t="s">
        <v>585</v>
      </c>
      <c r="E268" s="207">
        <v>6830954</v>
      </c>
      <c r="F268" s="207" t="s">
        <v>1350</v>
      </c>
      <c r="G268" s="305">
        <v>1</v>
      </c>
      <c r="H268" s="207">
        <v>7938.02</v>
      </c>
      <c r="I268" s="207">
        <v>1150.3</v>
      </c>
      <c r="J268" s="207">
        <v>48.6</v>
      </c>
      <c r="K268" s="207">
        <v>0</v>
      </c>
      <c r="L268" s="207">
        <v>0</v>
      </c>
      <c r="M268" s="207">
        <v>0</v>
      </c>
      <c r="N268" s="207">
        <v>36.5</v>
      </c>
      <c r="O268" s="207">
        <v>9173.42</v>
      </c>
      <c r="P268" s="207">
        <v>91</v>
      </c>
      <c r="Q268" s="207">
        <v>688.01</v>
      </c>
      <c r="R268" s="207">
        <v>0</v>
      </c>
      <c r="S268" s="285">
        <v>0.5</v>
      </c>
      <c r="T268" s="207">
        <v>1766.04</v>
      </c>
      <c r="U268" s="306">
        <v>11718.47</v>
      </c>
      <c r="V268" s="306">
        <v>11718.47</v>
      </c>
      <c r="W268" s="307">
        <v>134911.08000000002</v>
      </c>
      <c r="X268" s="307">
        <v>70310.819999999992</v>
      </c>
      <c r="Y268" s="307">
        <v>138379.96</v>
      </c>
      <c r="Z268" s="307">
        <v>92728.67</v>
      </c>
      <c r="AA268" s="305">
        <v>0</v>
      </c>
      <c r="AB268" s="305">
        <v>94119.600049999994</v>
      </c>
      <c r="AC268" s="305">
        <v>11242.59</v>
      </c>
      <c r="AD268" s="207">
        <v>6</v>
      </c>
      <c r="AE268" s="305">
        <v>11000</v>
      </c>
      <c r="AF268" s="208">
        <v>78455.540000000008</v>
      </c>
      <c r="AG268" s="207" t="s">
        <v>1136</v>
      </c>
    </row>
    <row r="269" spans="1:33" x14ac:dyDescent="0.3">
      <c r="A269" s="192">
        <v>5832</v>
      </c>
      <c r="B269" s="192">
        <v>81</v>
      </c>
      <c r="C269" s="192">
        <v>2300</v>
      </c>
      <c r="D269" s="192" t="s">
        <v>585</v>
      </c>
      <c r="E269" s="192">
        <v>6939875</v>
      </c>
      <c r="F269" s="192" t="s">
        <v>1351</v>
      </c>
      <c r="G269" s="290">
        <v>1</v>
      </c>
      <c r="H269" s="192">
        <v>7221.66</v>
      </c>
      <c r="I269" s="192">
        <v>388.19</v>
      </c>
      <c r="J269" s="192">
        <v>48.6</v>
      </c>
      <c r="K269" s="192">
        <v>0</v>
      </c>
      <c r="L269" s="192">
        <v>0</v>
      </c>
      <c r="M269" s="192">
        <v>0</v>
      </c>
      <c r="N269" s="192">
        <v>36.5</v>
      </c>
      <c r="O269" s="192">
        <v>7694.95</v>
      </c>
      <c r="P269" s="192">
        <v>301</v>
      </c>
      <c r="Q269" s="192">
        <v>577.12</v>
      </c>
      <c r="R269" s="192">
        <v>0</v>
      </c>
      <c r="S269" s="285">
        <v>1</v>
      </c>
      <c r="T269" s="192">
        <v>1505.11</v>
      </c>
      <c r="U269" s="291">
        <v>10078.18</v>
      </c>
      <c r="V269" s="291">
        <v>10078.18</v>
      </c>
      <c r="W269" s="292">
        <v>119098.44</v>
      </c>
      <c r="X269" s="292">
        <v>120938.16</v>
      </c>
      <c r="Y269" s="292">
        <v>120106.56</v>
      </c>
      <c r="Z269" s="292">
        <v>39191.699999999997</v>
      </c>
      <c r="AA269" s="290">
        <v>0</v>
      </c>
      <c r="AB269" s="285">
        <v>39779.575499999992</v>
      </c>
      <c r="AC269" s="290">
        <v>9924.8700000000008</v>
      </c>
      <c r="AD269" s="192">
        <v>12</v>
      </c>
      <c r="AE269" s="290">
        <v>9000</v>
      </c>
      <c r="AF269" s="194">
        <v>128098.44</v>
      </c>
      <c r="AG269" s="192" t="s">
        <v>1329</v>
      </c>
    </row>
    <row r="270" spans="1:33" x14ac:dyDescent="0.3">
      <c r="A270" s="192">
        <v>5832</v>
      </c>
      <c r="B270" s="192">
        <v>81</v>
      </c>
      <c r="C270" s="192">
        <v>2300</v>
      </c>
      <c r="D270" s="192" t="s">
        <v>585</v>
      </c>
      <c r="E270" s="192">
        <v>20024443</v>
      </c>
      <c r="F270" s="192" t="s">
        <v>1352</v>
      </c>
      <c r="G270" s="290">
        <v>1</v>
      </c>
      <c r="H270" s="192">
        <v>6953.9</v>
      </c>
      <c r="I270" s="192">
        <v>379.62</v>
      </c>
      <c r="J270" s="192">
        <v>197.6</v>
      </c>
      <c r="K270" s="192">
        <v>0</v>
      </c>
      <c r="L270" s="192">
        <v>0</v>
      </c>
      <c r="M270" s="192">
        <v>0</v>
      </c>
      <c r="N270" s="192">
        <v>353.5</v>
      </c>
      <c r="O270" s="192">
        <v>7884.62</v>
      </c>
      <c r="P270" s="192">
        <v>343</v>
      </c>
      <c r="Q270" s="192">
        <v>591.35</v>
      </c>
      <c r="R270" s="192">
        <v>0</v>
      </c>
      <c r="S270" s="285">
        <v>1</v>
      </c>
      <c r="T270" s="192">
        <v>1469.32</v>
      </c>
      <c r="U270" s="291">
        <v>10288.290000000001</v>
      </c>
      <c r="V270" s="291">
        <v>10288.290000000001</v>
      </c>
      <c r="W270" s="292">
        <v>121641.84</v>
      </c>
      <c r="X270" s="292">
        <v>123459.48000000001</v>
      </c>
      <c r="Y270" s="292">
        <v>122638.44</v>
      </c>
      <c r="Z270" s="292">
        <v>41831.93</v>
      </c>
      <c r="AA270" s="290">
        <v>0</v>
      </c>
      <c r="AB270" s="285">
        <v>42459.408949999997</v>
      </c>
      <c r="AC270" s="290">
        <v>9000</v>
      </c>
      <c r="AD270" s="192">
        <v>12</v>
      </c>
      <c r="AE270" s="290">
        <v>10000</v>
      </c>
      <c r="AF270" s="194">
        <v>118000</v>
      </c>
      <c r="AG270" s="192" t="s">
        <v>1329</v>
      </c>
    </row>
    <row r="271" spans="1:33" x14ac:dyDescent="0.3">
      <c r="A271" s="192">
        <v>5832</v>
      </c>
      <c r="B271" s="192">
        <v>81</v>
      </c>
      <c r="C271" s="192">
        <v>2300</v>
      </c>
      <c r="D271" s="192" t="s">
        <v>585</v>
      </c>
      <c r="E271" s="192">
        <v>20313290</v>
      </c>
      <c r="F271" s="192" t="s">
        <v>1353</v>
      </c>
      <c r="G271" s="290">
        <v>0.6</v>
      </c>
      <c r="H271" s="192">
        <v>3862.82</v>
      </c>
      <c r="I271" s="192">
        <v>651.12</v>
      </c>
      <c r="J271" s="192">
        <v>149</v>
      </c>
      <c r="K271" s="192">
        <v>0</v>
      </c>
      <c r="L271" s="192">
        <v>0</v>
      </c>
      <c r="M271" s="192">
        <v>0</v>
      </c>
      <c r="N271" s="192">
        <v>318.60000000000002</v>
      </c>
      <c r="O271" s="192">
        <v>4981.54</v>
      </c>
      <c r="P271" s="192">
        <v>177</v>
      </c>
      <c r="Q271" s="192">
        <v>373.62</v>
      </c>
      <c r="R271" s="192">
        <v>0</v>
      </c>
      <c r="S271" s="285">
        <v>0.39999999999999997</v>
      </c>
      <c r="T271" s="192">
        <v>861.24</v>
      </c>
      <c r="U271" s="291">
        <v>6393.4</v>
      </c>
      <c r="V271" s="291">
        <v>6393.4</v>
      </c>
      <c r="W271" s="292">
        <v>112341.59999999999</v>
      </c>
      <c r="X271" s="292">
        <v>51147.199999999997</v>
      </c>
      <c r="Y271" s="292">
        <v>90182.76</v>
      </c>
      <c r="Z271" s="292">
        <v>66999.5</v>
      </c>
      <c r="AA271" s="290">
        <v>67636.913519999987</v>
      </c>
      <c r="AB271" s="285">
        <v>67107.983599999978</v>
      </c>
      <c r="AC271" s="290">
        <v>7000</v>
      </c>
      <c r="AD271" s="192">
        <v>8</v>
      </c>
      <c r="AE271" s="290">
        <v>9000</v>
      </c>
      <c r="AF271" s="194">
        <v>65000</v>
      </c>
    </row>
    <row r="272" spans="1:33" x14ac:dyDescent="0.3">
      <c r="A272" s="192">
        <v>5832</v>
      </c>
      <c r="B272" s="192">
        <v>81</v>
      </c>
      <c r="C272" s="192">
        <v>2300</v>
      </c>
      <c r="D272" s="192" t="s">
        <v>585</v>
      </c>
      <c r="E272" s="192">
        <v>32152498</v>
      </c>
      <c r="F272" s="192" t="s">
        <v>1354</v>
      </c>
      <c r="G272" s="290">
        <v>0.6</v>
      </c>
      <c r="H272" s="192">
        <v>3856.77</v>
      </c>
      <c r="I272" s="192">
        <v>592.39</v>
      </c>
      <c r="J272" s="192">
        <v>170.87</v>
      </c>
      <c r="K272" s="192">
        <v>0</v>
      </c>
      <c r="L272" s="192">
        <v>0</v>
      </c>
      <c r="M272" s="192">
        <v>0</v>
      </c>
      <c r="N272" s="192">
        <v>0</v>
      </c>
      <c r="O272" s="192">
        <v>4620.03</v>
      </c>
      <c r="P272" s="192">
        <v>169</v>
      </c>
      <c r="Q272" s="192">
        <v>357.75</v>
      </c>
      <c r="R272" s="192">
        <v>0</v>
      </c>
      <c r="S272" s="285">
        <v>0.39999999999999997</v>
      </c>
      <c r="T272" s="192">
        <v>525.15</v>
      </c>
      <c r="U272" s="291">
        <v>5671.93</v>
      </c>
      <c r="V272" s="291">
        <v>5671.93</v>
      </c>
      <c r="W272" s="292">
        <v>63255.72</v>
      </c>
      <c r="X272" s="292">
        <v>45375.44</v>
      </c>
      <c r="Y272" s="292">
        <v>74331.360000000001</v>
      </c>
      <c r="Z272" s="292">
        <v>19859.669999999998</v>
      </c>
      <c r="AA272" s="290">
        <v>23151.4107</v>
      </c>
      <c r="AB272" s="285">
        <v>22970.363499999999</v>
      </c>
      <c r="AC272" s="290">
        <v>5800</v>
      </c>
      <c r="AD272" s="192">
        <v>8</v>
      </c>
      <c r="AE272" s="290">
        <v>5000</v>
      </c>
      <c r="AF272" s="194">
        <v>51400</v>
      </c>
      <c r="AG272" s="192" t="s">
        <v>1329</v>
      </c>
    </row>
    <row r="273" spans="1:34" s="196" customFormat="1" x14ac:dyDescent="0.3">
      <c r="G273" s="288">
        <f>SUM(G245:G272)</f>
        <v>19.350000000000001</v>
      </c>
      <c r="H273" s="288">
        <f t="shared" ref="H273:AF273" si="25">SUM(H245:H272)</f>
        <v>140365.97</v>
      </c>
      <c r="I273" s="288">
        <f t="shared" si="25"/>
        <v>11105.78</v>
      </c>
      <c r="J273" s="288">
        <f t="shared" si="25"/>
        <v>4299.9099999999989</v>
      </c>
      <c r="K273" s="288">
        <f t="shared" si="25"/>
        <v>0</v>
      </c>
      <c r="L273" s="288">
        <f t="shared" si="25"/>
        <v>0</v>
      </c>
      <c r="M273" s="288">
        <f t="shared" si="25"/>
        <v>0</v>
      </c>
      <c r="N273" s="288">
        <f t="shared" si="25"/>
        <v>2024.4499999999998</v>
      </c>
      <c r="O273" s="288">
        <f t="shared" si="25"/>
        <v>157796.10999999999</v>
      </c>
      <c r="P273" s="288">
        <f t="shared" si="25"/>
        <v>5992.89</v>
      </c>
      <c r="Q273" s="288">
        <f t="shared" si="25"/>
        <v>11913.210000000003</v>
      </c>
      <c r="R273" s="288">
        <f t="shared" si="25"/>
        <v>0</v>
      </c>
      <c r="S273" s="288">
        <f t="shared" si="25"/>
        <v>17.399999999999999</v>
      </c>
      <c r="T273" s="288">
        <f t="shared" si="25"/>
        <v>26956.640000000003</v>
      </c>
      <c r="U273" s="288">
        <f t="shared" si="25"/>
        <v>202658.84999999998</v>
      </c>
      <c r="V273" s="288">
        <f t="shared" si="25"/>
        <v>202658.84999999998</v>
      </c>
      <c r="W273" s="288">
        <f t="shared" si="25"/>
        <v>2678201.2800000003</v>
      </c>
      <c r="X273" s="288">
        <f t="shared" si="25"/>
        <v>2169734.5399999996</v>
      </c>
      <c r="Y273" s="288">
        <f t="shared" si="25"/>
        <v>2500450.8399999994</v>
      </c>
      <c r="Z273" s="288">
        <f t="shared" si="25"/>
        <v>1665649.8299999998</v>
      </c>
      <c r="AA273" s="288">
        <f t="shared" si="25"/>
        <v>1309985.1976199998</v>
      </c>
      <c r="AB273" s="288">
        <f t="shared" si="25"/>
        <v>1672354.4781999998</v>
      </c>
      <c r="AC273" s="288">
        <f t="shared" si="25"/>
        <v>219416.15999999997</v>
      </c>
      <c r="AD273" s="288">
        <f t="shared" si="25"/>
        <v>302</v>
      </c>
      <c r="AE273" s="288">
        <f t="shared" si="25"/>
        <v>208500</v>
      </c>
      <c r="AF273" s="288">
        <f t="shared" si="25"/>
        <v>2556261.2600000002</v>
      </c>
      <c r="AG273" s="288"/>
      <c r="AH273" s="288">
        <v>0</v>
      </c>
    </row>
    <row r="274" spans="1:34" x14ac:dyDescent="0.3">
      <c r="W274" s="292"/>
      <c r="X274" s="292"/>
      <c r="Y274" s="292"/>
      <c r="Z274" s="292"/>
      <c r="AA274" s="290"/>
      <c r="AB274" s="285"/>
      <c r="AC274" s="290"/>
      <c r="AE274" s="290"/>
      <c r="AF274" s="194"/>
    </row>
    <row r="275" spans="1:34" x14ac:dyDescent="0.3">
      <c r="A275" s="192">
        <v>5832</v>
      </c>
      <c r="B275" s="192">
        <v>81</v>
      </c>
      <c r="C275" s="192">
        <v>2400</v>
      </c>
      <c r="D275" s="192" t="s">
        <v>428</v>
      </c>
      <c r="E275" s="192">
        <v>2564922</v>
      </c>
      <c r="F275" s="192" t="s">
        <v>1355</v>
      </c>
      <c r="G275" s="290">
        <v>1</v>
      </c>
      <c r="H275" s="192">
        <v>4310.1499999999996</v>
      </c>
      <c r="I275" s="192">
        <v>373.74</v>
      </c>
      <c r="J275" s="192">
        <v>197.6</v>
      </c>
      <c r="K275" s="192">
        <v>0</v>
      </c>
      <c r="L275" s="192">
        <v>0</v>
      </c>
      <c r="M275" s="192">
        <v>0</v>
      </c>
      <c r="N275" s="192">
        <v>88.5</v>
      </c>
      <c r="O275" s="192">
        <v>4969.99</v>
      </c>
      <c r="P275" s="192">
        <v>150</v>
      </c>
      <c r="Q275" s="192">
        <v>372.74</v>
      </c>
      <c r="R275" s="192">
        <v>0</v>
      </c>
      <c r="S275" s="285">
        <v>1</v>
      </c>
      <c r="T275" s="192">
        <v>1020.18</v>
      </c>
      <c r="U275" s="291">
        <v>6512.91</v>
      </c>
      <c r="V275" s="291">
        <v>6512.91</v>
      </c>
      <c r="W275" s="292">
        <v>92187.48</v>
      </c>
      <c r="X275" s="292">
        <v>78154.92</v>
      </c>
      <c r="Y275" s="292">
        <v>93704.88</v>
      </c>
      <c r="Z275" s="292">
        <v>107991.31</v>
      </c>
      <c r="AA275" s="290">
        <v>111636.31743</v>
      </c>
      <c r="AB275" s="285">
        <v>110763.30614999999</v>
      </c>
      <c r="AC275" s="290">
        <v>8000</v>
      </c>
      <c r="AD275" s="192">
        <v>12</v>
      </c>
      <c r="AE275" s="290">
        <v>9000</v>
      </c>
      <c r="AF275" s="194">
        <v>105000</v>
      </c>
    </row>
    <row r="276" spans="1:34" x14ac:dyDescent="0.3">
      <c r="A276" s="192">
        <v>5832</v>
      </c>
      <c r="B276" s="192">
        <v>81</v>
      </c>
      <c r="C276" s="192">
        <v>2400</v>
      </c>
      <c r="D276" s="192" t="s">
        <v>428</v>
      </c>
      <c r="E276" s="192">
        <v>2887945</v>
      </c>
      <c r="F276" s="192" t="s">
        <v>1356</v>
      </c>
      <c r="G276" s="290">
        <v>0.9</v>
      </c>
      <c r="H276" s="192">
        <v>6316.04</v>
      </c>
      <c r="I276" s="192">
        <v>367.41</v>
      </c>
      <c r="J276" s="192">
        <v>192.74</v>
      </c>
      <c r="K276" s="192">
        <v>0</v>
      </c>
      <c r="L276" s="192">
        <v>0</v>
      </c>
      <c r="M276" s="192">
        <v>0</v>
      </c>
      <c r="N276" s="192">
        <v>36.5</v>
      </c>
      <c r="O276" s="192">
        <v>6912.69</v>
      </c>
      <c r="P276" s="192">
        <v>0</v>
      </c>
      <c r="Q276" s="192">
        <v>0</v>
      </c>
      <c r="R276" s="192">
        <v>0</v>
      </c>
      <c r="S276" s="285">
        <v>0.9</v>
      </c>
      <c r="T276" s="192">
        <v>33.25</v>
      </c>
      <c r="U276" s="291">
        <v>6945.94</v>
      </c>
      <c r="V276" s="291">
        <v>6945.94</v>
      </c>
      <c r="W276" s="292">
        <v>82270.680000000008</v>
      </c>
      <c r="X276" s="292">
        <v>83351.28</v>
      </c>
      <c r="Y276" s="292">
        <v>81686.039999999994</v>
      </c>
      <c r="Z276" s="292">
        <v>106627.52</v>
      </c>
      <c r="AA276" s="290">
        <v>109041.28356</v>
      </c>
      <c r="AB276" s="285">
        <v>108188.5658</v>
      </c>
      <c r="AC276" s="290">
        <v>8246.2099999999991</v>
      </c>
      <c r="AD276" s="192">
        <v>12</v>
      </c>
      <c r="AE276" s="290">
        <v>9000</v>
      </c>
      <c r="AF276" s="194">
        <v>107954.51999999999</v>
      </c>
    </row>
    <row r="277" spans="1:34" x14ac:dyDescent="0.3">
      <c r="A277" s="192">
        <v>5832</v>
      </c>
      <c r="B277" s="192">
        <v>81</v>
      </c>
      <c r="C277" s="192">
        <v>2400</v>
      </c>
      <c r="D277" s="192" t="s">
        <v>428</v>
      </c>
      <c r="E277" s="192">
        <v>5905505</v>
      </c>
      <c r="F277" s="192" t="s">
        <v>1357</v>
      </c>
      <c r="G277" s="290">
        <v>1</v>
      </c>
      <c r="H277" s="192">
        <v>5131.47</v>
      </c>
      <c r="I277" s="192">
        <v>361.17</v>
      </c>
      <c r="J277" s="192">
        <v>185.45</v>
      </c>
      <c r="K277" s="192">
        <v>0</v>
      </c>
      <c r="L277" s="192">
        <v>0</v>
      </c>
      <c r="M277" s="192">
        <v>0</v>
      </c>
      <c r="N277" s="192">
        <v>36.5</v>
      </c>
      <c r="O277" s="192">
        <v>5714.59</v>
      </c>
      <c r="P277" s="192">
        <v>203</v>
      </c>
      <c r="Q277" s="192">
        <v>428.59</v>
      </c>
      <c r="R277" s="192">
        <v>0</v>
      </c>
      <c r="S277" s="285">
        <v>1</v>
      </c>
      <c r="T277" s="192">
        <v>1176.93</v>
      </c>
      <c r="U277" s="291">
        <v>7523.11</v>
      </c>
      <c r="V277" s="291">
        <v>7523.11</v>
      </c>
      <c r="W277" s="292">
        <v>100608.48000000001</v>
      </c>
      <c r="X277" s="292">
        <v>90277.319999999992</v>
      </c>
      <c r="Y277" s="292">
        <v>96196.84</v>
      </c>
      <c r="Z277" s="292">
        <v>99758.399999999994</v>
      </c>
      <c r="AA277" s="290">
        <v>99711.728159999984</v>
      </c>
      <c r="AB277" s="285">
        <v>98931.968799999988</v>
      </c>
      <c r="AC277" s="290">
        <v>8384.0400000000009</v>
      </c>
      <c r="AD277" s="192">
        <v>12</v>
      </c>
      <c r="AE277" s="290">
        <v>9000</v>
      </c>
      <c r="AF277" s="194">
        <v>109608.48000000001</v>
      </c>
    </row>
    <row r="278" spans="1:34" s="196" customFormat="1" x14ac:dyDescent="0.3">
      <c r="G278" s="288">
        <f>SUM(G275:G277)</f>
        <v>2.9</v>
      </c>
      <c r="H278" s="288">
        <f t="shared" ref="H278:AF278" si="26">SUM(H275:H277)</f>
        <v>15757.66</v>
      </c>
      <c r="I278" s="288">
        <f t="shared" si="26"/>
        <v>1102.3200000000002</v>
      </c>
      <c r="J278" s="288">
        <f t="shared" si="26"/>
        <v>575.79</v>
      </c>
      <c r="K278" s="288">
        <f t="shared" si="26"/>
        <v>0</v>
      </c>
      <c r="L278" s="288">
        <f t="shared" si="26"/>
        <v>0</v>
      </c>
      <c r="M278" s="288">
        <f t="shared" si="26"/>
        <v>0</v>
      </c>
      <c r="N278" s="288">
        <f t="shared" si="26"/>
        <v>161.5</v>
      </c>
      <c r="O278" s="288">
        <f t="shared" si="26"/>
        <v>17597.27</v>
      </c>
      <c r="P278" s="288">
        <f t="shared" si="26"/>
        <v>353</v>
      </c>
      <c r="Q278" s="288">
        <f t="shared" si="26"/>
        <v>801.32999999999993</v>
      </c>
      <c r="R278" s="288">
        <f t="shared" si="26"/>
        <v>0</v>
      </c>
      <c r="S278" s="288">
        <f t="shared" si="26"/>
        <v>2.9</v>
      </c>
      <c r="T278" s="288">
        <f t="shared" si="26"/>
        <v>2230.3599999999997</v>
      </c>
      <c r="U278" s="288">
        <f t="shared" si="26"/>
        <v>20981.96</v>
      </c>
      <c r="V278" s="288">
        <f t="shared" si="26"/>
        <v>20981.96</v>
      </c>
      <c r="W278" s="288">
        <f t="shared" si="26"/>
        <v>275066.64</v>
      </c>
      <c r="X278" s="288">
        <f t="shared" si="26"/>
        <v>251783.52000000002</v>
      </c>
      <c r="Y278" s="288">
        <f t="shared" si="26"/>
        <v>271587.76</v>
      </c>
      <c r="Z278" s="288">
        <f t="shared" si="26"/>
        <v>314377.23</v>
      </c>
      <c r="AA278" s="288">
        <f t="shared" si="26"/>
        <v>320389.32915000001</v>
      </c>
      <c r="AB278" s="288">
        <f t="shared" si="26"/>
        <v>317883.84074999997</v>
      </c>
      <c r="AC278" s="288">
        <f t="shared" si="26"/>
        <v>24630.25</v>
      </c>
      <c r="AD278" s="288">
        <f t="shared" si="26"/>
        <v>36</v>
      </c>
      <c r="AE278" s="288">
        <f t="shared" si="26"/>
        <v>27000</v>
      </c>
      <c r="AF278" s="288">
        <f t="shared" si="26"/>
        <v>322563</v>
      </c>
      <c r="AG278" s="288"/>
      <c r="AH278" s="288">
        <v>0</v>
      </c>
    </row>
    <row r="279" spans="1:34" x14ac:dyDescent="0.3">
      <c r="W279" s="292"/>
      <c r="X279" s="292"/>
      <c r="Y279" s="292"/>
      <c r="Z279" s="292"/>
      <c r="AA279" s="290"/>
      <c r="AB279" s="285">
        <v>0</v>
      </c>
      <c r="AC279" s="290"/>
      <c r="AE279" s="290"/>
      <c r="AF279" s="194"/>
    </row>
    <row r="280" spans="1:34" x14ac:dyDescent="0.3">
      <c r="A280" s="192">
        <v>5832</v>
      </c>
      <c r="B280" s="192">
        <v>81</v>
      </c>
      <c r="C280" s="192">
        <v>3200</v>
      </c>
      <c r="D280" s="192" t="s">
        <v>1358</v>
      </c>
      <c r="E280" s="192">
        <v>31615191</v>
      </c>
      <c r="F280" s="192" t="s">
        <v>1359</v>
      </c>
      <c r="G280" s="290">
        <v>0.6</v>
      </c>
      <c r="H280" s="192">
        <v>3312.35</v>
      </c>
      <c r="I280" s="192">
        <v>215</v>
      </c>
      <c r="J280" s="192">
        <v>170.87</v>
      </c>
      <c r="K280" s="192">
        <v>0</v>
      </c>
      <c r="L280" s="192">
        <v>0</v>
      </c>
      <c r="M280" s="192">
        <v>0</v>
      </c>
      <c r="N280" s="192">
        <v>36.5</v>
      </c>
      <c r="O280" s="192">
        <v>3734.72</v>
      </c>
      <c r="P280" s="192">
        <v>138</v>
      </c>
      <c r="Q280" s="192">
        <v>291.35000000000002</v>
      </c>
      <c r="R280" s="192">
        <v>0</v>
      </c>
      <c r="S280" s="285">
        <v>0.6</v>
      </c>
      <c r="T280" s="192">
        <v>448.08</v>
      </c>
      <c r="U280" s="291">
        <v>4612.1499999999996</v>
      </c>
      <c r="V280" s="291">
        <v>4612.1499999999996</v>
      </c>
      <c r="W280" s="292">
        <v>63894.240000000005</v>
      </c>
      <c r="X280" s="292">
        <v>55345.799999999996</v>
      </c>
      <c r="Y280" s="292">
        <v>60517.040000000008</v>
      </c>
      <c r="Z280" s="292">
        <v>1679.18</v>
      </c>
      <c r="AA280" s="290">
        <v>0</v>
      </c>
      <c r="AB280" s="285">
        <v>0</v>
      </c>
      <c r="AC280" s="290">
        <v>0</v>
      </c>
      <c r="AD280" s="192">
        <v>12</v>
      </c>
      <c r="AE280" s="290"/>
      <c r="AF280" s="194">
        <v>0</v>
      </c>
      <c r="AG280" s="192" t="s">
        <v>1360</v>
      </c>
    </row>
    <row r="281" spans="1:34" s="196" customFormat="1" x14ac:dyDescent="0.3">
      <c r="G281" s="288">
        <f>SUM(G280)</f>
        <v>0.6</v>
      </c>
      <c r="H281" s="288">
        <f t="shared" ref="H281:AF281" si="27">SUM(H280)</f>
        <v>3312.35</v>
      </c>
      <c r="I281" s="288">
        <f t="shared" si="27"/>
        <v>215</v>
      </c>
      <c r="J281" s="288">
        <f t="shared" si="27"/>
        <v>170.87</v>
      </c>
      <c r="K281" s="288">
        <f t="shared" si="27"/>
        <v>0</v>
      </c>
      <c r="L281" s="288">
        <f t="shared" si="27"/>
        <v>0</v>
      </c>
      <c r="M281" s="288">
        <f t="shared" si="27"/>
        <v>0</v>
      </c>
      <c r="N281" s="288">
        <f t="shared" si="27"/>
        <v>36.5</v>
      </c>
      <c r="O281" s="288">
        <f t="shared" si="27"/>
        <v>3734.72</v>
      </c>
      <c r="P281" s="288">
        <f t="shared" si="27"/>
        <v>138</v>
      </c>
      <c r="Q281" s="288">
        <f t="shared" si="27"/>
        <v>291.35000000000002</v>
      </c>
      <c r="R281" s="288">
        <f t="shared" si="27"/>
        <v>0</v>
      </c>
      <c r="S281" s="288">
        <f t="shared" si="27"/>
        <v>0.6</v>
      </c>
      <c r="T281" s="288">
        <f t="shared" si="27"/>
        <v>448.08</v>
      </c>
      <c r="U281" s="288">
        <f t="shared" si="27"/>
        <v>4612.1499999999996</v>
      </c>
      <c r="V281" s="288">
        <f t="shared" si="27"/>
        <v>4612.1499999999996</v>
      </c>
      <c r="W281" s="288">
        <f t="shared" si="27"/>
        <v>63894.240000000005</v>
      </c>
      <c r="X281" s="288">
        <f t="shared" si="27"/>
        <v>55345.799999999996</v>
      </c>
      <c r="Y281" s="288">
        <f t="shared" si="27"/>
        <v>60517.040000000008</v>
      </c>
      <c r="Z281" s="288">
        <f t="shared" si="27"/>
        <v>1679.18</v>
      </c>
      <c r="AA281" s="288">
        <f t="shared" si="27"/>
        <v>0</v>
      </c>
      <c r="AB281" s="288">
        <f t="shared" si="27"/>
        <v>0</v>
      </c>
      <c r="AC281" s="288">
        <f t="shared" si="27"/>
        <v>0</v>
      </c>
      <c r="AD281" s="288">
        <f t="shared" si="27"/>
        <v>12</v>
      </c>
      <c r="AE281" s="288">
        <f t="shared" si="27"/>
        <v>0</v>
      </c>
      <c r="AF281" s="288">
        <f t="shared" si="27"/>
        <v>0</v>
      </c>
      <c r="AG281" s="288"/>
      <c r="AH281" s="288">
        <v>0</v>
      </c>
    </row>
    <row r="282" spans="1:34" s="193" customFormat="1" x14ac:dyDescent="0.3"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  <c r="AB282" s="285"/>
      <c r="AC282" s="285"/>
      <c r="AD282" s="285"/>
      <c r="AE282" s="285"/>
      <c r="AF282" s="301"/>
      <c r="AG282" s="285"/>
      <c r="AH282" s="285"/>
    </row>
    <row r="283" spans="1:34" ht="14.25" customHeight="1" x14ac:dyDescent="0.3">
      <c r="A283" s="192">
        <v>5832</v>
      </c>
      <c r="B283" s="192">
        <v>81</v>
      </c>
      <c r="C283" s="192">
        <v>3210</v>
      </c>
      <c r="D283" s="192" t="s">
        <v>1361</v>
      </c>
      <c r="E283" s="192">
        <v>2304011</v>
      </c>
      <c r="F283" s="192" t="s">
        <v>1362</v>
      </c>
      <c r="G283" s="290">
        <v>0.9</v>
      </c>
      <c r="H283" s="192">
        <v>5702.45</v>
      </c>
      <c r="I283" s="192">
        <v>346.74</v>
      </c>
      <c r="J283" s="192">
        <v>192.74</v>
      </c>
      <c r="K283" s="192">
        <v>0</v>
      </c>
      <c r="L283" s="192">
        <v>0</v>
      </c>
      <c r="M283" s="192">
        <v>0</v>
      </c>
      <c r="N283" s="192">
        <v>36.5</v>
      </c>
      <c r="O283" s="192">
        <v>6278.43</v>
      </c>
      <c r="P283" s="192">
        <v>223</v>
      </c>
      <c r="Q283" s="192">
        <v>470.88</v>
      </c>
      <c r="R283" s="192">
        <v>0</v>
      </c>
      <c r="S283" s="285">
        <v>0.9</v>
      </c>
      <c r="T283" s="192">
        <v>1312.22</v>
      </c>
      <c r="U283" s="291">
        <v>8284.5300000000007</v>
      </c>
      <c r="V283" s="291">
        <v>8284.5300000000007</v>
      </c>
      <c r="W283" s="292">
        <v>101113.08</v>
      </c>
      <c r="X283" s="292">
        <v>99414.360000000015</v>
      </c>
      <c r="Y283" s="292">
        <v>99791.76</v>
      </c>
      <c r="Z283" s="292">
        <v>108046.9</v>
      </c>
      <c r="AA283" s="290">
        <v>109785.50582999998</v>
      </c>
      <c r="AB283" s="285">
        <v>108926.96814999999</v>
      </c>
      <c r="AC283" s="290">
        <v>8426.09</v>
      </c>
      <c r="AD283" s="192">
        <v>12</v>
      </c>
      <c r="AE283" s="290">
        <v>9000</v>
      </c>
      <c r="AF283" s="194">
        <v>110113.08</v>
      </c>
      <c r="AG283" s="192" t="s">
        <v>1363</v>
      </c>
    </row>
    <row r="284" spans="1:34" x14ac:dyDescent="0.3">
      <c r="A284" s="192">
        <v>5832</v>
      </c>
      <c r="B284" s="192">
        <v>81</v>
      </c>
      <c r="C284" s="192">
        <v>3210</v>
      </c>
      <c r="D284" s="192" t="s">
        <v>1361</v>
      </c>
      <c r="E284" s="192">
        <v>2888671</v>
      </c>
      <c r="F284" s="192" t="s">
        <v>1364</v>
      </c>
      <c r="G284" s="290">
        <v>1</v>
      </c>
      <c r="H284" s="192">
        <v>6690.94</v>
      </c>
      <c r="I284" s="192">
        <v>404.58</v>
      </c>
      <c r="J284" s="192">
        <v>197.6</v>
      </c>
      <c r="K284" s="192">
        <v>0</v>
      </c>
      <c r="L284" s="192">
        <v>0</v>
      </c>
      <c r="M284" s="192">
        <v>0</v>
      </c>
      <c r="N284" s="192">
        <v>36.5</v>
      </c>
      <c r="O284" s="192">
        <v>7329.62</v>
      </c>
      <c r="P284" s="192">
        <v>301</v>
      </c>
      <c r="Q284" s="192">
        <v>550.53</v>
      </c>
      <c r="R284" s="192">
        <v>0</v>
      </c>
      <c r="S284" s="285">
        <v>1</v>
      </c>
      <c r="T284" s="192">
        <v>689.71</v>
      </c>
      <c r="U284" s="291">
        <v>8870.86</v>
      </c>
      <c r="V284" s="291">
        <v>8870.86</v>
      </c>
      <c r="W284" s="292">
        <v>115929.48000000001</v>
      </c>
      <c r="X284" s="292">
        <v>106450.32</v>
      </c>
      <c r="Y284" s="292">
        <v>113111.16</v>
      </c>
      <c r="Z284" s="292">
        <v>126455.29</v>
      </c>
      <c r="AA284" s="290">
        <v>128243.27999999998</v>
      </c>
      <c r="AB284" s="285">
        <v>127240.4</v>
      </c>
      <c r="AC284" s="290">
        <v>9660.7900000000009</v>
      </c>
      <c r="AD284" s="192">
        <v>12</v>
      </c>
      <c r="AE284" s="290">
        <v>9000</v>
      </c>
      <c r="AF284" s="194">
        <v>124929.48000000001</v>
      </c>
      <c r="AG284" s="192" t="s">
        <v>1363</v>
      </c>
    </row>
    <row r="285" spans="1:34" x14ac:dyDescent="0.3">
      <c r="A285" s="192">
        <v>5832</v>
      </c>
      <c r="B285" s="192">
        <v>81</v>
      </c>
      <c r="C285" s="192">
        <v>3210</v>
      </c>
      <c r="D285" s="192" t="s">
        <v>1361</v>
      </c>
      <c r="E285" s="192">
        <v>3327779</v>
      </c>
      <c r="F285" s="192" t="s">
        <v>1365</v>
      </c>
      <c r="G285" s="290">
        <v>1</v>
      </c>
      <c r="H285" s="192">
        <v>6415.79</v>
      </c>
      <c r="I285" s="192">
        <v>548.70000000000005</v>
      </c>
      <c r="J285" s="192">
        <v>197.6</v>
      </c>
      <c r="K285" s="192">
        <v>0</v>
      </c>
      <c r="L285" s="192">
        <v>0</v>
      </c>
      <c r="M285" s="192">
        <v>0</v>
      </c>
      <c r="N285" s="192">
        <v>503.5</v>
      </c>
      <c r="O285" s="192">
        <v>7665.59</v>
      </c>
      <c r="P285" s="192">
        <v>326</v>
      </c>
      <c r="Q285" s="192">
        <v>574.91999999999996</v>
      </c>
      <c r="R285" s="192">
        <v>0</v>
      </c>
      <c r="S285" s="285">
        <v>0.66666666666666663</v>
      </c>
      <c r="T285" s="192">
        <v>589.19000000000005</v>
      </c>
      <c r="U285" s="291">
        <v>9155.7000000000007</v>
      </c>
      <c r="V285" s="291">
        <v>9155.7000000000007</v>
      </c>
      <c r="W285" s="292">
        <v>116753.76</v>
      </c>
      <c r="X285" s="292">
        <v>73245.600000000006</v>
      </c>
      <c r="Y285" s="292">
        <v>114736.6</v>
      </c>
      <c r="Z285" s="292">
        <v>128075.58</v>
      </c>
      <c r="AA285" s="290">
        <v>131011.81466999999</v>
      </c>
      <c r="AB285" s="285">
        <v>129987.28435</v>
      </c>
      <c r="AC285" s="290">
        <v>9729.48</v>
      </c>
      <c r="AD285" s="192">
        <v>8</v>
      </c>
      <c r="AE285" s="290">
        <v>9000</v>
      </c>
      <c r="AF285" s="194">
        <v>86835.839999999997</v>
      </c>
      <c r="AG285" s="192" t="s">
        <v>1366</v>
      </c>
    </row>
    <row r="286" spans="1:34" x14ac:dyDescent="0.3">
      <c r="A286" s="192">
        <v>5832</v>
      </c>
      <c r="B286" s="192">
        <v>81</v>
      </c>
      <c r="C286" s="192">
        <v>3210</v>
      </c>
      <c r="D286" s="192" t="s">
        <v>1361</v>
      </c>
      <c r="E286" s="192">
        <v>5618605</v>
      </c>
      <c r="F286" s="192" t="s">
        <v>1309</v>
      </c>
      <c r="G286" s="290">
        <v>0.5</v>
      </c>
      <c r="H286" s="192">
        <v>3434.13</v>
      </c>
      <c r="I286" s="192">
        <v>191.58</v>
      </c>
      <c r="J286" s="192">
        <v>173.3</v>
      </c>
      <c r="K286" s="192">
        <v>0</v>
      </c>
      <c r="L286" s="192">
        <v>0</v>
      </c>
      <c r="M286" s="192">
        <v>0</v>
      </c>
      <c r="N286" s="192">
        <v>176.5</v>
      </c>
      <c r="O286" s="192">
        <v>3975.51</v>
      </c>
      <c r="P286" s="192">
        <v>141</v>
      </c>
      <c r="Q286" s="192">
        <v>298.88</v>
      </c>
      <c r="R286" s="192">
        <v>0</v>
      </c>
      <c r="S286" s="285">
        <v>0.5</v>
      </c>
      <c r="T286" s="192">
        <v>323.26</v>
      </c>
      <c r="U286" s="291">
        <v>4738.6499999999996</v>
      </c>
      <c r="V286" s="291">
        <v>4738.6499999999996</v>
      </c>
      <c r="W286" s="292">
        <v>56065.680000000008</v>
      </c>
      <c r="X286" s="292">
        <v>56863.799999999996</v>
      </c>
      <c r="Y286" s="292">
        <v>55787.72</v>
      </c>
      <c r="Z286" s="292">
        <v>59234.11</v>
      </c>
      <c r="AA286" s="290">
        <v>60596.494529999996</v>
      </c>
      <c r="AB286" s="285">
        <v>60122.621649999994</v>
      </c>
      <c r="AC286" s="290">
        <v>4672.1400000000003</v>
      </c>
      <c r="AD286" s="192">
        <v>12</v>
      </c>
      <c r="AE286" s="290">
        <v>4500</v>
      </c>
      <c r="AF286" s="194">
        <v>60565.680000000008</v>
      </c>
      <c r="AG286" s="192" t="s">
        <v>1366</v>
      </c>
    </row>
    <row r="287" spans="1:34" x14ac:dyDescent="0.3">
      <c r="A287" s="192">
        <v>5832</v>
      </c>
      <c r="B287" s="192">
        <v>81</v>
      </c>
      <c r="C287" s="192">
        <v>3210</v>
      </c>
      <c r="D287" s="192" t="s">
        <v>1361</v>
      </c>
      <c r="E287" s="192">
        <v>5877593</v>
      </c>
      <c r="F287" s="192" t="s">
        <v>1367</v>
      </c>
      <c r="G287" s="290">
        <v>0.9</v>
      </c>
      <c r="H287" s="192">
        <v>4828.8500000000004</v>
      </c>
      <c r="I287" s="192">
        <v>330.44</v>
      </c>
      <c r="J287" s="192">
        <v>192.74</v>
      </c>
      <c r="K287" s="192">
        <v>0</v>
      </c>
      <c r="L287" s="192">
        <v>0</v>
      </c>
      <c r="M287" s="192">
        <v>0</v>
      </c>
      <c r="N287" s="192">
        <v>0</v>
      </c>
      <c r="O287" s="192">
        <v>5352.03</v>
      </c>
      <c r="P287" s="192">
        <v>190</v>
      </c>
      <c r="Q287" s="192">
        <v>401.4</v>
      </c>
      <c r="R287" s="192">
        <v>0</v>
      </c>
      <c r="S287" s="285">
        <v>0.9</v>
      </c>
      <c r="T287" s="192">
        <v>1119.74</v>
      </c>
      <c r="U287" s="291">
        <v>7063.17</v>
      </c>
      <c r="V287" s="291">
        <v>7063.17</v>
      </c>
      <c r="W287" s="292">
        <v>89609.76</v>
      </c>
      <c r="X287" s="292">
        <v>84758.040000000008</v>
      </c>
      <c r="Y287" s="292">
        <v>89409.68</v>
      </c>
      <c r="Z287" s="292">
        <v>84369.75</v>
      </c>
      <c r="AA287" s="290">
        <v>86314.745219999997</v>
      </c>
      <c r="AB287" s="285">
        <v>85639.752099999998</v>
      </c>
      <c r="AC287" s="290">
        <v>7467.48</v>
      </c>
      <c r="AD287" s="192">
        <v>12</v>
      </c>
      <c r="AE287" s="290">
        <v>7500</v>
      </c>
      <c r="AF287" s="194">
        <v>97109.759999999995</v>
      </c>
      <c r="AG287" s="192" t="s">
        <v>1363</v>
      </c>
    </row>
    <row r="288" spans="1:34" x14ac:dyDescent="0.3">
      <c r="A288" s="192">
        <v>5832</v>
      </c>
      <c r="B288" s="192">
        <v>81</v>
      </c>
      <c r="C288" s="192">
        <v>3210</v>
      </c>
      <c r="D288" s="192" t="s">
        <v>1361</v>
      </c>
      <c r="E288" s="192">
        <v>5904611</v>
      </c>
      <c r="F288" s="192" t="s">
        <v>1368</v>
      </c>
      <c r="G288" s="290">
        <v>0.52</v>
      </c>
      <c r="H288" s="192">
        <v>3237.08</v>
      </c>
      <c r="I288" s="192">
        <v>198.45</v>
      </c>
      <c r="J288" s="192">
        <v>174.27</v>
      </c>
      <c r="K288" s="192">
        <v>0</v>
      </c>
      <c r="L288" s="192">
        <v>0</v>
      </c>
      <c r="M288" s="192">
        <v>0</v>
      </c>
      <c r="N288" s="192">
        <v>36.5</v>
      </c>
      <c r="O288" s="192">
        <v>3646.3</v>
      </c>
      <c r="P288" s="192">
        <v>0</v>
      </c>
      <c r="Q288" s="192">
        <v>0</v>
      </c>
      <c r="R288" s="192">
        <v>0</v>
      </c>
      <c r="S288" s="285">
        <v>0.52</v>
      </c>
      <c r="T288" s="192">
        <v>29.97</v>
      </c>
      <c r="U288" s="291">
        <v>3676.27</v>
      </c>
      <c r="V288" s="291">
        <v>3676.27</v>
      </c>
      <c r="W288" s="292">
        <v>43416.959999999999</v>
      </c>
      <c r="X288" s="292">
        <v>44115.24</v>
      </c>
      <c r="Y288" s="292">
        <v>43799.6</v>
      </c>
      <c r="Z288" s="292">
        <v>12863</v>
      </c>
      <c r="AA288" s="290">
        <v>0</v>
      </c>
      <c r="AB288" s="285">
        <v>9216.4435999999987</v>
      </c>
      <c r="AC288" s="290">
        <v>3600</v>
      </c>
      <c r="AD288" s="192">
        <v>12</v>
      </c>
      <c r="AE288" s="290">
        <v>3000</v>
      </c>
      <c r="AF288" s="194">
        <v>46200</v>
      </c>
      <c r="AG288" s="192" t="s">
        <v>1363</v>
      </c>
    </row>
    <row r="289" spans="1:34" x14ac:dyDescent="0.3">
      <c r="A289" s="192">
        <v>5832</v>
      </c>
      <c r="B289" s="192">
        <v>81</v>
      </c>
      <c r="C289" s="192">
        <v>3210</v>
      </c>
      <c r="D289" s="192" t="s">
        <v>1361</v>
      </c>
      <c r="E289" s="192">
        <v>6670430</v>
      </c>
      <c r="F289" s="192" t="s">
        <v>1369</v>
      </c>
      <c r="G289" s="290">
        <v>0.1</v>
      </c>
      <c r="H289" s="192">
        <v>715.03</v>
      </c>
      <c r="I289" s="192">
        <v>107.22</v>
      </c>
      <c r="J289" s="192">
        <v>40.15</v>
      </c>
      <c r="K289" s="192">
        <v>0</v>
      </c>
      <c r="L289" s="192">
        <v>0</v>
      </c>
      <c r="M289" s="192">
        <v>0</v>
      </c>
      <c r="N289" s="192">
        <v>4.29</v>
      </c>
      <c r="O289" s="192">
        <v>866.69</v>
      </c>
      <c r="P289" s="192">
        <v>36.619999999999997</v>
      </c>
      <c r="Q289" s="192">
        <v>62.32</v>
      </c>
      <c r="R289" s="192">
        <v>0</v>
      </c>
      <c r="S289" s="285">
        <v>0.10000000000000002</v>
      </c>
      <c r="T289" s="192">
        <v>182.9</v>
      </c>
      <c r="U289" s="291">
        <v>1148.53</v>
      </c>
      <c r="V289" s="291">
        <v>1148.53</v>
      </c>
      <c r="W289" s="292">
        <v>12248.64</v>
      </c>
      <c r="X289" s="292">
        <v>13782.36</v>
      </c>
      <c r="Y289" s="292">
        <v>17560.52</v>
      </c>
      <c r="Z289" s="292">
        <v>11422.83</v>
      </c>
      <c r="AA289" s="290">
        <v>11665.524749999999</v>
      </c>
      <c r="AB289" s="285">
        <v>11574.298749999998</v>
      </c>
      <c r="AC289" s="290">
        <v>1148</v>
      </c>
      <c r="AD289" s="192">
        <v>12</v>
      </c>
      <c r="AE289" s="290">
        <v>1200</v>
      </c>
      <c r="AF289" s="194">
        <v>14976</v>
      </c>
      <c r="AG289" s="192" t="s">
        <v>1366</v>
      </c>
    </row>
    <row r="290" spans="1:34" s="212" customFormat="1" x14ac:dyDescent="0.3">
      <c r="A290" s="212">
        <v>5832</v>
      </c>
      <c r="B290" s="212">
        <v>81</v>
      </c>
      <c r="C290" s="212">
        <v>3210</v>
      </c>
      <c r="D290" s="212" t="s">
        <v>1361</v>
      </c>
      <c r="E290" s="212">
        <v>6850406</v>
      </c>
      <c r="F290" s="212" t="s">
        <v>1370</v>
      </c>
      <c r="G290" s="308">
        <v>1</v>
      </c>
      <c r="H290" s="212">
        <v>7148.59</v>
      </c>
      <c r="I290" s="212">
        <v>2091.77</v>
      </c>
      <c r="J290" s="212">
        <v>197.6</v>
      </c>
      <c r="K290" s="212">
        <v>255.68</v>
      </c>
      <c r="L290" s="212">
        <v>0</v>
      </c>
      <c r="M290" s="212">
        <v>0</v>
      </c>
      <c r="N290" s="212">
        <v>316.5</v>
      </c>
      <c r="O290" s="212">
        <v>10010.14</v>
      </c>
      <c r="P290" s="212">
        <v>506</v>
      </c>
      <c r="Q290" s="212">
        <v>752.72</v>
      </c>
      <c r="R290" s="212">
        <v>0</v>
      </c>
      <c r="S290" s="285">
        <v>0.66666666666666663</v>
      </c>
      <c r="T290" s="212">
        <v>986.1</v>
      </c>
      <c r="U290" s="309">
        <v>12254.96</v>
      </c>
      <c r="V290" s="309">
        <v>12254.96</v>
      </c>
      <c r="W290" s="310">
        <v>145788.84</v>
      </c>
      <c r="X290" s="310">
        <v>98039.679999999993</v>
      </c>
      <c r="Y290" s="310">
        <v>144813.28</v>
      </c>
      <c r="Z290" s="310">
        <v>159247.65</v>
      </c>
      <c r="AA290" s="308">
        <v>162900.59675999999</v>
      </c>
      <c r="AB290" s="308">
        <v>161626.69179999997</v>
      </c>
      <c r="AC290" s="308">
        <v>12149.07</v>
      </c>
      <c r="AD290" s="212">
        <v>8</v>
      </c>
      <c r="AE290" s="308">
        <v>12000</v>
      </c>
      <c r="AF290" s="213">
        <v>109192.56</v>
      </c>
      <c r="AG290" s="212" t="s">
        <v>2201</v>
      </c>
    </row>
    <row r="291" spans="1:34" s="207" customFormat="1" x14ac:dyDescent="0.3">
      <c r="A291" s="207">
        <v>5832</v>
      </c>
      <c r="B291" s="207">
        <v>81</v>
      </c>
      <c r="C291" s="207">
        <v>3210</v>
      </c>
      <c r="D291" s="207" t="s">
        <v>1361</v>
      </c>
      <c r="E291" s="207">
        <v>6939753</v>
      </c>
      <c r="F291" s="207" t="s">
        <v>1371</v>
      </c>
      <c r="G291" s="305">
        <v>0.5</v>
      </c>
      <c r="H291" s="207">
        <v>3432.44</v>
      </c>
      <c r="I291" s="207">
        <v>191.53</v>
      </c>
      <c r="J291" s="207">
        <v>173.3</v>
      </c>
      <c r="K291" s="207">
        <v>0</v>
      </c>
      <c r="L291" s="207">
        <v>0</v>
      </c>
      <c r="M291" s="207">
        <v>0</v>
      </c>
      <c r="N291" s="207">
        <v>176.5</v>
      </c>
      <c r="O291" s="207">
        <v>3973.77</v>
      </c>
      <c r="P291" s="207">
        <v>141</v>
      </c>
      <c r="Q291" s="207">
        <v>298.75</v>
      </c>
      <c r="R291" s="207">
        <v>0</v>
      </c>
      <c r="S291" s="285">
        <v>0.25</v>
      </c>
      <c r="T291" s="207">
        <v>385.23</v>
      </c>
      <c r="U291" s="306">
        <v>4798.75</v>
      </c>
      <c r="V291" s="306">
        <v>4798.75</v>
      </c>
      <c r="W291" s="307">
        <v>56775.96</v>
      </c>
      <c r="X291" s="307">
        <v>28792.5</v>
      </c>
      <c r="Y291" s="307">
        <v>56494.319999999992</v>
      </c>
      <c r="Z291" s="307">
        <v>58692.22</v>
      </c>
      <c r="AA291" s="305">
        <v>59398.316009999995</v>
      </c>
      <c r="AB291" s="305">
        <v>58933.813049999997</v>
      </c>
      <c r="AC291" s="305">
        <v>4731.33</v>
      </c>
      <c r="AD291" s="207">
        <v>6</v>
      </c>
      <c r="AE291" s="305">
        <v>5000</v>
      </c>
      <c r="AF291" s="208">
        <v>33387.979999999996</v>
      </c>
      <c r="AG291" s="207" t="s">
        <v>1372</v>
      </c>
    </row>
    <row r="292" spans="1:34" s="196" customFormat="1" x14ac:dyDescent="0.3">
      <c r="G292" s="288">
        <f>SUM(G283:G291)</f>
        <v>6.42</v>
      </c>
      <c r="H292" s="288">
        <f t="shared" ref="H292:AF292" si="28">SUM(H283:H291)</f>
        <v>41605.300000000003</v>
      </c>
      <c r="I292" s="288">
        <f t="shared" si="28"/>
        <v>4411.0099999999993</v>
      </c>
      <c r="J292" s="288">
        <f t="shared" si="28"/>
        <v>1539.3</v>
      </c>
      <c r="K292" s="288">
        <f t="shared" si="28"/>
        <v>255.68</v>
      </c>
      <c r="L292" s="288">
        <f t="shared" si="28"/>
        <v>0</v>
      </c>
      <c r="M292" s="288">
        <f t="shared" si="28"/>
        <v>0</v>
      </c>
      <c r="N292" s="288">
        <f t="shared" si="28"/>
        <v>1286.79</v>
      </c>
      <c r="O292" s="288">
        <f t="shared" si="28"/>
        <v>49098.080000000002</v>
      </c>
      <c r="P292" s="288">
        <f t="shared" si="28"/>
        <v>1864.62</v>
      </c>
      <c r="Q292" s="288">
        <f t="shared" si="28"/>
        <v>3410.4000000000005</v>
      </c>
      <c r="R292" s="288">
        <f t="shared" si="28"/>
        <v>0</v>
      </c>
      <c r="S292" s="288">
        <f t="shared" si="28"/>
        <v>5.503333333333333</v>
      </c>
      <c r="T292" s="288">
        <f t="shared" si="28"/>
        <v>5618.32</v>
      </c>
      <c r="U292" s="288">
        <f t="shared" si="28"/>
        <v>59991.419999999991</v>
      </c>
      <c r="V292" s="288">
        <f t="shared" si="28"/>
        <v>59991.419999999991</v>
      </c>
      <c r="W292" s="288">
        <f t="shared" si="28"/>
        <v>737702.15999999992</v>
      </c>
      <c r="X292" s="288">
        <f t="shared" si="28"/>
        <v>605461.89999999991</v>
      </c>
      <c r="Y292" s="288">
        <f t="shared" si="28"/>
        <v>735504.6399999999</v>
      </c>
      <c r="Z292" s="288">
        <f t="shared" si="28"/>
        <v>748407.33</v>
      </c>
      <c r="AA292" s="288">
        <f t="shared" si="28"/>
        <v>749916.27776999993</v>
      </c>
      <c r="AB292" s="288">
        <f t="shared" si="28"/>
        <v>753268.27344999998</v>
      </c>
      <c r="AC292" s="288">
        <f t="shared" si="28"/>
        <v>61584.38</v>
      </c>
      <c r="AD292" s="288">
        <f t="shared" si="28"/>
        <v>94</v>
      </c>
      <c r="AE292" s="288">
        <f t="shared" si="28"/>
        <v>60200</v>
      </c>
      <c r="AF292" s="288">
        <f t="shared" si="28"/>
        <v>683310.38000000012</v>
      </c>
      <c r="AG292" s="288"/>
      <c r="AH292" s="288">
        <v>0</v>
      </c>
    </row>
    <row r="293" spans="1:34" s="193" customFormat="1" x14ac:dyDescent="0.3"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  <c r="AB293" s="285"/>
      <c r="AC293" s="285"/>
      <c r="AD293" s="285"/>
      <c r="AE293" s="285"/>
      <c r="AF293" s="301"/>
      <c r="AG293" s="285"/>
      <c r="AH293" s="285"/>
    </row>
    <row r="294" spans="1:34" s="193" customFormat="1" x14ac:dyDescent="0.3">
      <c r="A294" s="193">
        <v>5832</v>
      </c>
      <c r="B294" s="193">
        <v>81</v>
      </c>
      <c r="C294" s="193">
        <v>1000</v>
      </c>
      <c r="D294" s="193" t="s">
        <v>1089</v>
      </c>
      <c r="E294" s="193">
        <v>2885775</v>
      </c>
      <c r="F294" s="193" t="s">
        <v>1247</v>
      </c>
      <c r="G294" s="285">
        <v>1</v>
      </c>
      <c r="H294" s="193">
        <v>6680.81</v>
      </c>
      <c r="I294" s="193">
        <v>398.14</v>
      </c>
      <c r="J294" s="193">
        <v>197.6</v>
      </c>
      <c r="K294" s="193">
        <v>0</v>
      </c>
      <c r="L294" s="193">
        <v>0</v>
      </c>
      <c r="M294" s="193">
        <v>0</v>
      </c>
      <c r="N294" s="193">
        <v>36.5</v>
      </c>
      <c r="O294" s="193">
        <v>7313.05</v>
      </c>
      <c r="P294" s="193">
        <v>299</v>
      </c>
      <c r="Q294" s="193">
        <v>548.48</v>
      </c>
      <c r="R294" s="193">
        <v>0</v>
      </c>
      <c r="S294" s="285">
        <v>1</v>
      </c>
      <c r="T294" s="193">
        <v>574.49</v>
      </c>
      <c r="U294" s="286">
        <v>8735.02</v>
      </c>
      <c r="V294" s="286">
        <v>8735.02</v>
      </c>
      <c r="W294" s="287">
        <v>0</v>
      </c>
      <c r="X294" s="287">
        <v>104820.24</v>
      </c>
      <c r="Y294" s="287">
        <v>55214.8</v>
      </c>
      <c r="Z294" s="287">
        <v>33032.870000000003</v>
      </c>
      <c r="AA294" s="285">
        <v>34113.234210000002</v>
      </c>
      <c r="AB294" s="285">
        <v>125000</v>
      </c>
      <c r="AC294" s="285">
        <v>5068.68</v>
      </c>
      <c r="AD294" s="193">
        <v>12</v>
      </c>
      <c r="AE294" s="285">
        <v>10000</v>
      </c>
      <c r="AF294" s="194">
        <v>70824.160000000003</v>
      </c>
      <c r="AG294" s="193" t="s">
        <v>1248</v>
      </c>
    </row>
    <row r="295" spans="1:34" x14ac:dyDescent="0.3">
      <c r="A295" s="192">
        <v>5832</v>
      </c>
      <c r="B295" s="192">
        <v>81</v>
      </c>
      <c r="C295" s="192">
        <v>3220</v>
      </c>
      <c r="D295" s="192" t="s">
        <v>1373</v>
      </c>
      <c r="E295" s="192">
        <v>2391375</v>
      </c>
      <c r="F295" s="192" t="s">
        <v>1374</v>
      </c>
      <c r="G295" s="290">
        <v>1</v>
      </c>
      <c r="H295" s="192">
        <v>6338.04</v>
      </c>
      <c r="I295" s="192">
        <v>627.04</v>
      </c>
      <c r="J295" s="192">
        <v>197.6</v>
      </c>
      <c r="K295" s="192">
        <v>193.18</v>
      </c>
      <c r="L295" s="192">
        <v>0</v>
      </c>
      <c r="M295" s="192">
        <v>0</v>
      </c>
      <c r="N295" s="192">
        <v>0</v>
      </c>
      <c r="O295" s="192">
        <v>7355.86</v>
      </c>
      <c r="P295" s="192">
        <v>303</v>
      </c>
      <c r="Q295" s="192">
        <v>551.69000000000005</v>
      </c>
      <c r="R295" s="192">
        <v>0</v>
      </c>
      <c r="S295" s="285">
        <v>1</v>
      </c>
      <c r="T295" s="192">
        <v>1468.53</v>
      </c>
      <c r="U295" s="291">
        <v>9679.08</v>
      </c>
      <c r="V295" s="291">
        <v>9679.08</v>
      </c>
      <c r="W295" s="292">
        <v>122490.84</v>
      </c>
      <c r="X295" s="292">
        <v>116148.95999999999</v>
      </c>
      <c r="Y295" s="292">
        <v>123432.2</v>
      </c>
      <c r="Z295" s="292">
        <v>105999.85</v>
      </c>
      <c r="AA295" s="290">
        <v>112010.73542999997</v>
      </c>
      <c r="AB295" s="285">
        <v>111134.79614999998</v>
      </c>
      <c r="AC295" s="290">
        <v>9700</v>
      </c>
      <c r="AD295" s="192">
        <v>12</v>
      </c>
      <c r="AE295" s="290">
        <v>10000</v>
      </c>
      <c r="AF295" s="194">
        <v>126400</v>
      </c>
    </row>
    <row r="296" spans="1:34" x14ac:dyDescent="0.3">
      <c r="A296" s="192">
        <v>5832</v>
      </c>
      <c r="B296" s="192">
        <v>81</v>
      </c>
      <c r="C296" s="192">
        <v>3220</v>
      </c>
      <c r="D296" s="192" t="s">
        <v>1373</v>
      </c>
      <c r="E296" s="192">
        <v>2458625</v>
      </c>
      <c r="F296" s="192" t="s">
        <v>1375</v>
      </c>
      <c r="G296" s="290">
        <v>1</v>
      </c>
      <c r="H296" s="192">
        <v>7299.33</v>
      </c>
      <c r="I296" s="192">
        <v>1842.98</v>
      </c>
      <c r="J296" s="192">
        <v>197.6</v>
      </c>
      <c r="K296" s="192">
        <v>0</v>
      </c>
      <c r="L296" s="192">
        <v>0</v>
      </c>
      <c r="M296" s="192">
        <v>0</v>
      </c>
      <c r="N296" s="192">
        <v>223.5</v>
      </c>
      <c r="O296" s="192">
        <v>9563.41</v>
      </c>
      <c r="P296" s="192">
        <v>471</v>
      </c>
      <c r="Q296" s="192">
        <v>718.14</v>
      </c>
      <c r="R296" s="192">
        <v>0</v>
      </c>
      <c r="S296" s="285">
        <v>1</v>
      </c>
      <c r="T296" s="192">
        <v>938.22</v>
      </c>
      <c r="U296" s="291">
        <v>11690.77</v>
      </c>
      <c r="V296" s="291">
        <v>11690.77</v>
      </c>
      <c r="W296" s="292">
        <v>138345.36000000002</v>
      </c>
      <c r="X296" s="292">
        <v>140289.24</v>
      </c>
      <c r="Y296" s="292">
        <v>137900.92000000001</v>
      </c>
      <c r="Z296" s="292">
        <v>151675.51</v>
      </c>
      <c r="AA296" s="290">
        <v>155164.04673</v>
      </c>
      <c r="AB296" s="285">
        <v>153950.64264999999</v>
      </c>
      <c r="AC296" s="290">
        <v>11528.78</v>
      </c>
      <c r="AD296" s="192">
        <v>12</v>
      </c>
      <c r="AE296" s="290">
        <v>10000</v>
      </c>
      <c r="AF296" s="194">
        <v>148345.36000000002</v>
      </c>
    </row>
    <row r="297" spans="1:34" x14ac:dyDescent="0.3">
      <c r="A297" s="192">
        <v>5832</v>
      </c>
      <c r="B297" s="192">
        <v>81</v>
      </c>
      <c r="C297" s="192">
        <v>3220</v>
      </c>
      <c r="D297" s="192" t="s">
        <v>1373</v>
      </c>
      <c r="E297" s="192">
        <v>2517319</v>
      </c>
      <c r="F297" s="192" t="s">
        <v>1376</v>
      </c>
      <c r="G297" s="290">
        <v>0.9</v>
      </c>
      <c r="H297" s="192">
        <v>5414.16</v>
      </c>
      <c r="I297" s="192">
        <v>325.3</v>
      </c>
      <c r="J297" s="192">
        <v>187.27</v>
      </c>
      <c r="K297" s="192">
        <v>0</v>
      </c>
      <c r="L297" s="192">
        <v>0</v>
      </c>
      <c r="M297" s="192">
        <v>0</v>
      </c>
      <c r="N297" s="192">
        <v>36.5</v>
      </c>
      <c r="O297" s="192">
        <v>5963.23</v>
      </c>
      <c r="P297" s="192">
        <v>212</v>
      </c>
      <c r="Q297" s="192">
        <v>447.25</v>
      </c>
      <c r="R297" s="192">
        <v>0</v>
      </c>
      <c r="S297" s="285">
        <v>0.9</v>
      </c>
      <c r="T297" s="192">
        <v>1234.3699999999999</v>
      </c>
      <c r="U297" s="291">
        <v>7856.85</v>
      </c>
      <c r="V297" s="291">
        <v>7856.85</v>
      </c>
      <c r="W297" s="292">
        <v>86476.200000000012</v>
      </c>
      <c r="X297" s="292">
        <v>94282.200000000012</v>
      </c>
      <c r="Y297" s="292">
        <v>91946.16</v>
      </c>
      <c r="Z297" s="292">
        <v>107940.29</v>
      </c>
      <c r="AA297" s="290">
        <v>110224.84340999999</v>
      </c>
      <c r="AB297" s="285">
        <v>109362.87004999998</v>
      </c>
      <c r="AC297" s="290">
        <v>9200</v>
      </c>
      <c r="AD297" s="192">
        <v>12</v>
      </c>
      <c r="AE297" s="290">
        <v>8000</v>
      </c>
      <c r="AF297" s="194">
        <v>118400</v>
      </c>
      <c r="AG297" s="192" t="s">
        <v>1377</v>
      </c>
    </row>
    <row r="298" spans="1:34" x14ac:dyDescent="0.3">
      <c r="A298" s="192">
        <v>5832</v>
      </c>
      <c r="B298" s="192">
        <v>81</v>
      </c>
      <c r="C298" s="192">
        <v>3220</v>
      </c>
      <c r="D298" s="192" t="s">
        <v>1373</v>
      </c>
      <c r="E298" s="192">
        <v>2705749</v>
      </c>
      <c r="F298" s="192" t="s">
        <v>1378</v>
      </c>
      <c r="G298" s="290">
        <v>0.5</v>
      </c>
      <c r="H298" s="192">
        <v>3505.55</v>
      </c>
      <c r="I298" s="192">
        <v>193.62</v>
      </c>
      <c r="J298" s="192">
        <v>173.3</v>
      </c>
      <c r="K298" s="192">
        <v>0</v>
      </c>
      <c r="L298" s="192">
        <v>0</v>
      </c>
      <c r="M298" s="192">
        <v>0</v>
      </c>
      <c r="N298" s="192">
        <v>176.5</v>
      </c>
      <c r="O298" s="192">
        <v>4048.97</v>
      </c>
      <c r="P298" s="192">
        <v>144</v>
      </c>
      <c r="Q298" s="192">
        <v>304.39</v>
      </c>
      <c r="R298" s="192">
        <v>0</v>
      </c>
      <c r="S298" s="285">
        <v>0.5</v>
      </c>
      <c r="T298" s="192">
        <v>392.62</v>
      </c>
      <c r="U298" s="291">
        <v>4889.9799999999996</v>
      </c>
      <c r="V298" s="291">
        <v>4889.9799999999996</v>
      </c>
      <c r="W298" s="292">
        <v>57862.92</v>
      </c>
      <c r="X298" s="292">
        <v>58679.759999999995</v>
      </c>
      <c r="Y298" s="292">
        <v>58712.84</v>
      </c>
      <c r="Z298" s="292">
        <v>66636.990000000005</v>
      </c>
      <c r="AA298" s="290">
        <v>67687.367879999991</v>
      </c>
      <c r="AB298" s="285">
        <v>67158.043399999995</v>
      </c>
      <c r="AC298" s="290">
        <v>5100</v>
      </c>
      <c r="AD298" s="192">
        <v>12</v>
      </c>
      <c r="AE298" s="290">
        <v>5000</v>
      </c>
      <c r="AF298" s="194">
        <v>66200</v>
      </c>
    </row>
    <row r="299" spans="1:34" x14ac:dyDescent="0.3">
      <c r="A299" s="192">
        <v>5832</v>
      </c>
      <c r="B299" s="192">
        <v>81</v>
      </c>
      <c r="C299" s="192">
        <v>3220</v>
      </c>
      <c r="D299" s="192" t="s">
        <v>1373</v>
      </c>
      <c r="E299" s="192">
        <v>2974226</v>
      </c>
      <c r="F299" s="192" t="s">
        <v>1379</v>
      </c>
      <c r="G299" s="290">
        <v>0.71</v>
      </c>
      <c r="H299" s="192">
        <v>3753.91</v>
      </c>
      <c r="I299" s="192">
        <v>253.09</v>
      </c>
      <c r="J299" s="192">
        <v>174.88</v>
      </c>
      <c r="K299" s="192">
        <v>0</v>
      </c>
      <c r="L299" s="192">
        <v>0</v>
      </c>
      <c r="M299" s="192">
        <v>0</v>
      </c>
      <c r="N299" s="192">
        <v>36.5</v>
      </c>
      <c r="O299" s="192">
        <v>4218.38</v>
      </c>
      <c r="P299" s="192">
        <v>150</v>
      </c>
      <c r="Q299" s="192">
        <v>316.38</v>
      </c>
      <c r="R299" s="192">
        <v>0</v>
      </c>
      <c r="S299" s="285">
        <v>0.71</v>
      </c>
      <c r="T299" s="192">
        <v>868.12</v>
      </c>
      <c r="U299" s="291">
        <v>5552.88</v>
      </c>
      <c r="V299" s="291">
        <v>5552.88</v>
      </c>
      <c r="W299" s="292">
        <v>33459.479999999996</v>
      </c>
      <c r="X299" s="292">
        <v>66634.559999999998</v>
      </c>
      <c r="Y299" s="292">
        <v>69717.960000000006</v>
      </c>
      <c r="Z299" s="292">
        <v>14948.16</v>
      </c>
      <c r="AA299" s="290">
        <v>15291.967679999998</v>
      </c>
      <c r="AB299" s="285">
        <v>15172.382399999999</v>
      </c>
      <c r="AC299" s="290">
        <v>2788.29</v>
      </c>
      <c r="AD299" s="192">
        <v>12</v>
      </c>
      <c r="AE299" s="290">
        <v>3000</v>
      </c>
      <c r="AF299" s="194">
        <v>36459.479999999996</v>
      </c>
    </row>
    <row r="300" spans="1:34" x14ac:dyDescent="0.3">
      <c r="A300" s="192">
        <v>5832</v>
      </c>
      <c r="B300" s="192">
        <v>81</v>
      </c>
      <c r="C300" s="192">
        <v>3220</v>
      </c>
      <c r="D300" s="192" t="s">
        <v>1373</v>
      </c>
      <c r="E300" s="192">
        <v>3369180</v>
      </c>
      <c r="F300" s="192" t="s">
        <v>1380</v>
      </c>
      <c r="G300" s="290">
        <v>0.9</v>
      </c>
      <c r="H300" s="192">
        <v>6256.73</v>
      </c>
      <c r="I300" s="192">
        <v>357.77</v>
      </c>
      <c r="J300" s="192">
        <v>192.74</v>
      </c>
      <c r="K300" s="192">
        <v>0</v>
      </c>
      <c r="L300" s="192">
        <v>0</v>
      </c>
      <c r="M300" s="192">
        <v>0</v>
      </c>
      <c r="N300" s="192">
        <v>36.5</v>
      </c>
      <c r="O300" s="192">
        <v>6843.74</v>
      </c>
      <c r="P300" s="192">
        <v>265</v>
      </c>
      <c r="Q300" s="192">
        <v>514.07000000000005</v>
      </c>
      <c r="R300" s="192">
        <v>0</v>
      </c>
      <c r="S300" s="285">
        <v>0.9</v>
      </c>
      <c r="T300" s="192">
        <v>537.46</v>
      </c>
      <c r="U300" s="291">
        <v>8160.27</v>
      </c>
      <c r="V300" s="291">
        <v>8160.27</v>
      </c>
      <c r="W300" s="292">
        <v>96275.64</v>
      </c>
      <c r="X300" s="292">
        <v>97923.24</v>
      </c>
      <c r="Y300" s="292">
        <v>97708.44</v>
      </c>
      <c r="Z300" s="292">
        <v>102814.13</v>
      </c>
      <c r="AA300" s="290">
        <v>104949.35517</v>
      </c>
      <c r="AB300" s="285">
        <v>104128.63685</v>
      </c>
      <c r="AC300" s="290">
        <v>8022.97</v>
      </c>
      <c r="AD300" s="192">
        <v>12</v>
      </c>
      <c r="AE300" s="290">
        <v>8000</v>
      </c>
      <c r="AF300" s="194">
        <v>104275.64</v>
      </c>
    </row>
    <row r="301" spans="1:34" x14ac:dyDescent="0.3">
      <c r="A301" s="192">
        <v>5832</v>
      </c>
      <c r="B301" s="192">
        <v>81</v>
      </c>
      <c r="C301" s="192">
        <v>3220</v>
      </c>
      <c r="D301" s="192" t="s">
        <v>1373</v>
      </c>
      <c r="E301" s="192">
        <v>3655494</v>
      </c>
      <c r="F301" s="192" t="s">
        <v>1381</v>
      </c>
      <c r="G301" s="290">
        <v>0</v>
      </c>
      <c r="H301" s="192">
        <v>870.25</v>
      </c>
      <c r="I301" s="192">
        <v>0</v>
      </c>
      <c r="J301" s="192">
        <v>0</v>
      </c>
      <c r="K301" s="192">
        <v>0</v>
      </c>
      <c r="L301" s="192">
        <v>0</v>
      </c>
      <c r="M301" s="192">
        <v>0</v>
      </c>
      <c r="N301" s="192">
        <v>0</v>
      </c>
      <c r="O301" s="192">
        <v>870.25</v>
      </c>
      <c r="P301" s="192">
        <v>31.12</v>
      </c>
      <c r="Q301" s="192">
        <v>65.27</v>
      </c>
      <c r="R301" s="192">
        <v>0</v>
      </c>
      <c r="S301" s="285">
        <v>0</v>
      </c>
      <c r="T301" s="192">
        <v>117.49</v>
      </c>
      <c r="U301" s="291">
        <v>1084.1300000000001</v>
      </c>
      <c r="V301" s="291">
        <v>1084.1300000000001</v>
      </c>
      <c r="W301" s="292">
        <v>9257.880000000001</v>
      </c>
      <c r="X301" s="292">
        <v>13009.560000000001</v>
      </c>
      <c r="Y301" s="292">
        <v>9184.7999999999993</v>
      </c>
      <c r="Z301" s="292">
        <v>551.11</v>
      </c>
      <c r="AA301" s="290">
        <v>0</v>
      </c>
      <c r="AB301" s="285">
        <v>559.37664999999993</v>
      </c>
      <c r="AC301" s="290">
        <v>1300</v>
      </c>
      <c r="AD301" s="192">
        <v>12</v>
      </c>
      <c r="AE301" s="290">
        <v>1300</v>
      </c>
      <c r="AF301" s="194">
        <v>16900</v>
      </c>
    </row>
    <row r="302" spans="1:34" x14ac:dyDescent="0.3">
      <c r="A302" s="192">
        <v>5832</v>
      </c>
      <c r="B302" s="192">
        <v>81</v>
      </c>
      <c r="C302" s="192">
        <v>3220</v>
      </c>
      <c r="D302" s="192" t="s">
        <v>1373</v>
      </c>
      <c r="E302" s="192">
        <v>5287181</v>
      </c>
      <c r="F302" s="192" t="s">
        <v>1382</v>
      </c>
      <c r="G302" s="290">
        <v>0.5</v>
      </c>
      <c r="H302" s="192">
        <v>3350.67</v>
      </c>
      <c r="I302" s="192">
        <v>189.2</v>
      </c>
      <c r="J302" s="192">
        <v>173.3</v>
      </c>
      <c r="K302" s="192">
        <v>0</v>
      </c>
      <c r="L302" s="192">
        <v>0</v>
      </c>
      <c r="M302" s="192">
        <v>0</v>
      </c>
      <c r="N302" s="192">
        <v>176.5</v>
      </c>
      <c r="O302" s="192">
        <v>3889.67</v>
      </c>
      <c r="P302" s="192">
        <v>19</v>
      </c>
      <c r="Q302" s="192">
        <v>291.73</v>
      </c>
      <c r="R302" s="192">
        <v>0</v>
      </c>
      <c r="S302" s="285">
        <v>0.5</v>
      </c>
      <c r="T302" s="192">
        <v>316.24</v>
      </c>
      <c r="U302" s="291">
        <v>4516.6400000000003</v>
      </c>
      <c r="V302" s="291">
        <v>4516.6400000000003</v>
      </c>
      <c r="W302" s="292">
        <v>53421.84</v>
      </c>
      <c r="X302" s="292">
        <v>54199.680000000008</v>
      </c>
      <c r="Y302" s="292">
        <v>53849.279999999999</v>
      </c>
      <c r="Z302" s="292">
        <v>56230.2</v>
      </c>
      <c r="AA302" s="290">
        <v>57703.808579999997</v>
      </c>
      <c r="AB302" s="285">
        <v>57252.556899999996</v>
      </c>
      <c r="AC302" s="290">
        <v>4451.82</v>
      </c>
      <c r="AD302" s="192">
        <v>12</v>
      </c>
      <c r="AE302" s="290">
        <v>4000</v>
      </c>
      <c r="AF302" s="194">
        <v>57421.84</v>
      </c>
    </row>
    <row r="303" spans="1:34" x14ac:dyDescent="0.3">
      <c r="A303" s="192">
        <v>5832</v>
      </c>
      <c r="B303" s="192">
        <v>81</v>
      </c>
      <c r="C303" s="192">
        <v>3220</v>
      </c>
      <c r="D303" s="192" t="s">
        <v>1373</v>
      </c>
      <c r="E303" s="192">
        <v>5526738</v>
      </c>
      <c r="F303" s="192" t="s">
        <v>1383</v>
      </c>
      <c r="G303" s="290">
        <v>0.9</v>
      </c>
      <c r="H303" s="192">
        <v>6748.76</v>
      </c>
      <c r="I303" s="192">
        <v>387.88</v>
      </c>
      <c r="J303" s="192">
        <v>192.74</v>
      </c>
      <c r="K303" s="192">
        <v>0</v>
      </c>
      <c r="L303" s="192">
        <v>0</v>
      </c>
      <c r="M303" s="192">
        <v>0</v>
      </c>
      <c r="N303" s="192">
        <v>288.5</v>
      </c>
      <c r="O303" s="192">
        <v>7617.88</v>
      </c>
      <c r="P303" s="192">
        <v>323</v>
      </c>
      <c r="Q303" s="192">
        <v>572.13</v>
      </c>
      <c r="R303" s="192">
        <v>0</v>
      </c>
      <c r="S303" s="285">
        <v>0.9</v>
      </c>
      <c r="T303" s="192">
        <v>720.16</v>
      </c>
      <c r="U303" s="291">
        <v>9233.17</v>
      </c>
      <c r="V303" s="291">
        <v>9233.17</v>
      </c>
      <c r="W303" s="292">
        <v>121988.40000000001</v>
      </c>
      <c r="X303" s="292">
        <v>110798.04000000001</v>
      </c>
      <c r="Y303" s="292">
        <v>116443.44</v>
      </c>
      <c r="Z303" s="292">
        <v>123744.48</v>
      </c>
      <c r="AA303" s="290">
        <v>127213.96808999999</v>
      </c>
      <c r="AB303" s="285">
        <v>126219.13744999999</v>
      </c>
      <c r="AC303" s="290">
        <v>10165.700000000001</v>
      </c>
      <c r="AD303" s="192">
        <v>12</v>
      </c>
      <c r="AE303" s="290">
        <v>10000</v>
      </c>
      <c r="AF303" s="194">
        <v>131988.40000000002</v>
      </c>
    </row>
    <row r="304" spans="1:34" x14ac:dyDescent="0.3">
      <c r="A304" s="192">
        <v>5832</v>
      </c>
      <c r="B304" s="192">
        <v>81</v>
      </c>
      <c r="C304" s="192">
        <v>3220</v>
      </c>
      <c r="D304" s="192" t="s">
        <v>1373</v>
      </c>
      <c r="E304" s="192">
        <v>5717237</v>
      </c>
      <c r="F304" s="192" t="s">
        <v>1384</v>
      </c>
      <c r="G304" s="290">
        <v>0</v>
      </c>
      <c r="H304" s="192">
        <v>312</v>
      </c>
      <c r="I304" s="192">
        <v>0</v>
      </c>
      <c r="J304" s="192">
        <v>21</v>
      </c>
      <c r="K304" s="192">
        <v>0</v>
      </c>
      <c r="L304" s="192">
        <v>0</v>
      </c>
      <c r="M304" s="192">
        <v>0</v>
      </c>
      <c r="N304" s="192">
        <v>0</v>
      </c>
      <c r="O304" s="192">
        <v>333</v>
      </c>
      <c r="P304" s="192">
        <v>17.14</v>
      </c>
      <c r="Q304" s="192">
        <v>36.229999999999997</v>
      </c>
      <c r="R304" s="192">
        <v>0</v>
      </c>
      <c r="S304" s="285">
        <v>0</v>
      </c>
      <c r="T304" s="192">
        <v>44.14</v>
      </c>
      <c r="U304" s="291">
        <v>430.51</v>
      </c>
      <c r="V304" s="291">
        <v>430.51</v>
      </c>
      <c r="W304" s="292">
        <v>55360.680000000008</v>
      </c>
      <c r="X304" s="292">
        <v>5166.12</v>
      </c>
      <c r="Y304" s="292">
        <v>36000.160000000003</v>
      </c>
      <c r="Z304" s="292">
        <v>2829.27</v>
      </c>
      <c r="AA304" s="290">
        <v>0</v>
      </c>
      <c r="AB304" s="285">
        <v>0</v>
      </c>
      <c r="AC304" s="290">
        <v>500</v>
      </c>
      <c r="AD304" s="192">
        <v>12</v>
      </c>
      <c r="AE304" s="290">
        <v>500</v>
      </c>
      <c r="AF304" s="194">
        <v>6500</v>
      </c>
    </row>
    <row r="305" spans="1:34" x14ac:dyDescent="0.3">
      <c r="A305" s="192">
        <v>5832</v>
      </c>
      <c r="B305" s="192">
        <v>81</v>
      </c>
      <c r="C305" s="192">
        <v>3220</v>
      </c>
      <c r="D305" s="192" t="s">
        <v>1373</v>
      </c>
      <c r="E305" s="192">
        <v>5789805</v>
      </c>
      <c r="F305" s="192" t="s">
        <v>1385</v>
      </c>
      <c r="G305" s="290">
        <v>0.75</v>
      </c>
      <c r="H305" s="192">
        <v>4918.68</v>
      </c>
      <c r="I305" s="192">
        <v>281.62</v>
      </c>
      <c r="J305" s="192">
        <v>185.45</v>
      </c>
      <c r="K305" s="192">
        <v>0</v>
      </c>
      <c r="L305" s="192">
        <v>0</v>
      </c>
      <c r="M305" s="192">
        <v>0</v>
      </c>
      <c r="N305" s="192">
        <v>232.5</v>
      </c>
      <c r="O305" s="192">
        <v>5618.25</v>
      </c>
      <c r="P305" s="192">
        <v>0</v>
      </c>
      <c r="Q305" s="192">
        <v>0</v>
      </c>
      <c r="R305" s="192">
        <v>0</v>
      </c>
      <c r="S305" s="285">
        <v>0.75</v>
      </c>
      <c r="T305" s="192">
        <v>30.22</v>
      </c>
      <c r="U305" s="291">
        <v>5648.47</v>
      </c>
      <c r="V305" s="291">
        <v>5648.47</v>
      </c>
      <c r="W305" s="292">
        <v>65029.919999999998</v>
      </c>
      <c r="X305" s="292">
        <v>67781.64</v>
      </c>
      <c r="Y305" s="292">
        <v>66159.399999999994</v>
      </c>
      <c r="Z305" s="292">
        <v>93334.1</v>
      </c>
      <c r="AA305" s="290">
        <v>96417.095279999994</v>
      </c>
      <c r="AB305" s="285">
        <v>95663.100399999996</v>
      </c>
      <c r="AC305" s="290">
        <v>9411.2999999999993</v>
      </c>
      <c r="AD305" s="192">
        <v>12</v>
      </c>
      <c r="AE305" s="290">
        <v>9000</v>
      </c>
      <c r="AF305" s="194">
        <v>121935.59999999999</v>
      </c>
    </row>
    <row r="306" spans="1:34" x14ac:dyDescent="0.3">
      <c r="A306" s="192">
        <v>5832</v>
      </c>
      <c r="B306" s="192">
        <v>81</v>
      </c>
      <c r="C306" s="192">
        <v>3220</v>
      </c>
      <c r="D306" s="192" t="s">
        <v>1373</v>
      </c>
      <c r="E306" s="192">
        <v>6313656</v>
      </c>
      <c r="F306" s="192" t="s">
        <v>1386</v>
      </c>
      <c r="G306" s="290">
        <v>0.5</v>
      </c>
      <c r="H306" s="192">
        <v>3861.41</v>
      </c>
      <c r="I306" s="192">
        <v>190.87</v>
      </c>
      <c r="J306" s="192">
        <v>173.3</v>
      </c>
      <c r="K306" s="192">
        <v>0</v>
      </c>
      <c r="L306" s="192">
        <v>0</v>
      </c>
      <c r="M306" s="192">
        <v>0</v>
      </c>
      <c r="N306" s="192">
        <v>176.5</v>
      </c>
      <c r="O306" s="192">
        <v>4402.08</v>
      </c>
      <c r="P306" s="192">
        <v>21</v>
      </c>
      <c r="Q306" s="192">
        <v>330.88</v>
      </c>
      <c r="R306" s="192">
        <v>0</v>
      </c>
      <c r="S306" s="285">
        <v>0.5</v>
      </c>
      <c r="T306" s="192">
        <v>445.73</v>
      </c>
      <c r="U306" s="291">
        <v>5199.6899999999996</v>
      </c>
      <c r="V306" s="291">
        <v>5199.6899999999996</v>
      </c>
      <c r="W306" s="292">
        <v>55001.520000000004</v>
      </c>
      <c r="X306" s="292">
        <v>62396.28</v>
      </c>
      <c r="Y306" s="292">
        <v>61986.479999999996</v>
      </c>
      <c r="Z306" s="292">
        <v>65842.7</v>
      </c>
      <c r="AA306" s="290">
        <v>62932.146749999993</v>
      </c>
      <c r="AB306" s="285">
        <v>62440.008749999994</v>
      </c>
      <c r="AC306" s="290">
        <v>4820</v>
      </c>
      <c r="AD306" s="192">
        <v>12</v>
      </c>
      <c r="AE306" s="290">
        <v>4500</v>
      </c>
      <c r="AF306" s="194">
        <v>62340</v>
      </c>
    </row>
    <row r="307" spans="1:34" x14ac:dyDescent="0.3">
      <c r="A307" s="192">
        <v>5832</v>
      </c>
      <c r="B307" s="192">
        <v>81</v>
      </c>
      <c r="C307" s="192">
        <v>3220</v>
      </c>
      <c r="D307" s="192" t="s">
        <v>1373</v>
      </c>
      <c r="E307" s="192">
        <v>6748772</v>
      </c>
      <c r="F307" s="192" t="s">
        <v>1387</v>
      </c>
      <c r="G307" s="290">
        <v>0.5</v>
      </c>
      <c r="H307" s="192">
        <v>3660.31</v>
      </c>
      <c r="I307" s="192">
        <v>193.62</v>
      </c>
      <c r="J307" s="192">
        <v>173.3</v>
      </c>
      <c r="K307" s="192">
        <v>0</v>
      </c>
      <c r="L307" s="192">
        <v>0</v>
      </c>
      <c r="M307" s="192">
        <v>0</v>
      </c>
      <c r="N307" s="192">
        <v>140</v>
      </c>
      <c r="O307" s="192">
        <v>4167.2299999999996</v>
      </c>
      <c r="P307" s="192">
        <v>148</v>
      </c>
      <c r="Q307" s="192">
        <v>313.14</v>
      </c>
      <c r="R307" s="192">
        <v>0</v>
      </c>
      <c r="S307" s="285">
        <v>0.5</v>
      </c>
      <c r="T307" s="192">
        <v>412.31</v>
      </c>
      <c r="U307" s="291">
        <v>5040.68</v>
      </c>
      <c r="V307" s="291">
        <v>5040.68</v>
      </c>
      <c r="W307" s="292">
        <v>57356.639999999999</v>
      </c>
      <c r="X307" s="292">
        <v>60488.160000000003</v>
      </c>
      <c r="Y307" s="292">
        <v>57836.84</v>
      </c>
      <c r="Z307" s="292">
        <v>64180.94</v>
      </c>
      <c r="AA307" s="290">
        <v>65850.059879999986</v>
      </c>
      <c r="AB307" s="285">
        <v>65335.103399999993</v>
      </c>
      <c r="AC307" s="290">
        <v>4779.72</v>
      </c>
      <c r="AD307" s="192">
        <v>12</v>
      </c>
      <c r="AE307" s="290">
        <v>4500</v>
      </c>
      <c r="AF307" s="194">
        <v>61856.639999999999</v>
      </c>
    </row>
    <row r="308" spans="1:34" x14ac:dyDescent="0.3">
      <c r="A308" s="192">
        <v>5832</v>
      </c>
      <c r="B308" s="192">
        <v>81</v>
      </c>
      <c r="C308" s="192">
        <v>3220</v>
      </c>
      <c r="D308" s="192" t="s">
        <v>1373</v>
      </c>
      <c r="E308" s="192">
        <v>20900302</v>
      </c>
      <c r="F308" s="192" t="s">
        <v>1388</v>
      </c>
      <c r="G308" s="290">
        <v>0</v>
      </c>
      <c r="H308" s="192">
        <v>300</v>
      </c>
      <c r="I308" s="192">
        <v>0</v>
      </c>
      <c r="J308" s="192">
        <v>21</v>
      </c>
      <c r="K308" s="192">
        <v>0</v>
      </c>
      <c r="L308" s="192">
        <v>0</v>
      </c>
      <c r="M308" s="192">
        <v>0</v>
      </c>
      <c r="N308" s="192">
        <v>0</v>
      </c>
      <c r="O308" s="192">
        <v>321</v>
      </c>
      <c r="P308" s="192">
        <v>17</v>
      </c>
      <c r="Q308" s="192">
        <v>35.32</v>
      </c>
      <c r="R308" s="192">
        <v>0</v>
      </c>
      <c r="S308" s="285">
        <v>0</v>
      </c>
      <c r="T308" s="192">
        <v>40.5</v>
      </c>
      <c r="U308" s="291">
        <v>413.82</v>
      </c>
      <c r="V308" s="291">
        <v>413.82</v>
      </c>
      <c r="W308" s="292">
        <v>0</v>
      </c>
      <c r="X308" s="292">
        <v>4965.84</v>
      </c>
      <c r="Y308" s="292">
        <v>9874.36</v>
      </c>
      <c r="Z308" s="292">
        <v>13364.07</v>
      </c>
      <c r="AA308" s="290">
        <v>0</v>
      </c>
      <c r="AB308" s="285">
        <v>12080.012349999999</v>
      </c>
      <c r="AC308" s="290">
        <v>2054.77</v>
      </c>
      <c r="AD308" s="192">
        <v>12</v>
      </c>
      <c r="AE308" s="290"/>
      <c r="AF308" s="194">
        <v>24657.239999999998</v>
      </c>
    </row>
    <row r="309" spans="1:34" x14ac:dyDescent="0.3">
      <c r="A309" s="192">
        <v>5832</v>
      </c>
      <c r="B309" s="192">
        <v>81</v>
      </c>
      <c r="C309" s="192">
        <v>3220</v>
      </c>
      <c r="D309" s="192" t="s">
        <v>1373</v>
      </c>
      <c r="E309" s="192">
        <v>30791203</v>
      </c>
      <c r="F309" s="192" t="s">
        <v>1389</v>
      </c>
      <c r="G309" s="290">
        <v>0.9</v>
      </c>
      <c r="H309" s="192">
        <v>4756.3599999999997</v>
      </c>
      <c r="I309" s="192">
        <v>318.7</v>
      </c>
      <c r="J309" s="192">
        <v>181.81</v>
      </c>
      <c r="K309" s="192">
        <v>0</v>
      </c>
      <c r="L309" s="192">
        <v>0</v>
      </c>
      <c r="M309" s="192">
        <v>0</v>
      </c>
      <c r="N309" s="192">
        <v>321.8</v>
      </c>
      <c r="O309" s="192">
        <v>5578.67</v>
      </c>
      <c r="P309" s="192">
        <v>203</v>
      </c>
      <c r="Q309" s="192">
        <v>429.65</v>
      </c>
      <c r="R309" s="192">
        <v>0</v>
      </c>
      <c r="S309" s="285">
        <v>0.9</v>
      </c>
      <c r="T309" s="192">
        <v>685.13</v>
      </c>
      <c r="U309" s="291">
        <v>6896.45</v>
      </c>
      <c r="V309" s="291">
        <v>6896.45</v>
      </c>
      <c r="W309" s="292">
        <v>7249.68</v>
      </c>
      <c r="X309" s="292">
        <v>82757.399999999994</v>
      </c>
      <c r="Y309" s="292">
        <v>70215</v>
      </c>
      <c r="Z309" s="292">
        <v>0</v>
      </c>
      <c r="AA309" s="290">
        <v>0</v>
      </c>
      <c r="AB309" s="285">
        <v>0</v>
      </c>
      <c r="AC309" s="290">
        <v>604.14</v>
      </c>
      <c r="AD309" s="192">
        <v>12</v>
      </c>
      <c r="AE309" s="290"/>
      <c r="AF309" s="194">
        <v>7249.68</v>
      </c>
    </row>
    <row r="310" spans="1:34" s="196" customFormat="1" x14ac:dyDescent="0.3">
      <c r="G310" s="288">
        <f>SUM(G294:G309)</f>
        <v>10.06</v>
      </c>
      <c r="H310" s="288">
        <f t="shared" ref="H310:AF310" si="29">SUM(H294:H309)</f>
        <v>68026.97</v>
      </c>
      <c r="I310" s="288">
        <f t="shared" si="29"/>
        <v>5559.83</v>
      </c>
      <c r="J310" s="288">
        <f t="shared" si="29"/>
        <v>2442.8900000000003</v>
      </c>
      <c r="K310" s="288">
        <f t="shared" si="29"/>
        <v>193.18</v>
      </c>
      <c r="L310" s="288">
        <f t="shared" si="29"/>
        <v>0</v>
      </c>
      <c r="M310" s="288">
        <f t="shared" si="29"/>
        <v>0</v>
      </c>
      <c r="N310" s="288">
        <f t="shared" si="29"/>
        <v>1881.8</v>
      </c>
      <c r="O310" s="288">
        <f t="shared" si="29"/>
        <v>78104.669999999984</v>
      </c>
      <c r="P310" s="288">
        <f t="shared" si="29"/>
        <v>2623.2599999999998</v>
      </c>
      <c r="Q310" s="288">
        <f t="shared" si="29"/>
        <v>5474.7499999999991</v>
      </c>
      <c r="R310" s="288">
        <f t="shared" si="29"/>
        <v>0</v>
      </c>
      <c r="S310" s="288">
        <f t="shared" si="29"/>
        <v>10.06</v>
      </c>
      <c r="T310" s="288">
        <f t="shared" si="29"/>
        <v>8825.73</v>
      </c>
      <c r="U310" s="288">
        <f t="shared" si="29"/>
        <v>95028.409999999989</v>
      </c>
      <c r="V310" s="288">
        <f t="shared" si="29"/>
        <v>95028.409999999989</v>
      </c>
      <c r="W310" s="288">
        <f t="shared" si="29"/>
        <v>959577.00000000012</v>
      </c>
      <c r="X310" s="288">
        <f t="shared" si="29"/>
        <v>1140340.9200000002</v>
      </c>
      <c r="Y310" s="288">
        <f t="shared" si="29"/>
        <v>1116183.08</v>
      </c>
      <c r="Z310" s="288">
        <f t="shared" si="29"/>
        <v>1003124.6699999998</v>
      </c>
      <c r="AA310" s="288">
        <f t="shared" si="29"/>
        <v>1009558.6290899998</v>
      </c>
      <c r="AB310" s="288">
        <f t="shared" si="29"/>
        <v>1105456.6673999999</v>
      </c>
      <c r="AC310" s="288">
        <f t="shared" si="29"/>
        <v>89496.170000000013</v>
      </c>
      <c r="AD310" s="288">
        <f t="shared" si="29"/>
        <v>192</v>
      </c>
      <c r="AE310" s="288">
        <f t="shared" si="29"/>
        <v>87800</v>
      </c>
      <c r="AF310" s="288">
        <f t="shared" si="29"/>
        <v>1161754.0399999998</v>
      </c>
      <c r="AG310" s="288"/>
      <c r="AH310" s="288">
        <v>0</v>
      </c>
    </row>
    <row r="311" spans="1:34" s="193" customFormat="1" x14ac:dyDescent="0.3"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  <c r="AB311" s="285"/>
      <c r="AC311" s="285"/>
      <c r="AD311" s="285"/>
      <c r="AE311" s="285"/>
      <c r="AF311" s="301"/>
      <c r="AG311" s="285"/>
      <c r="AH311" s="285"/>
    </row>
    <row r="312" spans="1:34" x14ac:dyDescent="0.3">
      <c r="A312" s="192">
        <v>5832</v>
      </c>
      <c r="B312" s="192">
        <v>81</v>
      </c>
      <c r="C312" s="192">
        <v>3240</v>
      </c>
      <c r="D312" s="192" t="s">
        <v>1402</v>
      </c>
      <c r="E312" s="192">
        <v>4056047</v>
      </c>
      <c r="F312" s="192" t="s">
        <v>1408</v>
      </c>
      <c r="G312" s="290">
        <v>0.34</v>
      </c>
      <c r="H312" s="192">
        <v>2981.63</v>
      </c>
      <c r="I312" s="192">
        <v>240.97</v>
      </c>
      <c r="J312" s="192">
        <v>177.92</v>
      </c>
      <c r="K312" s="192">
        <v>0</v>
      </c>
      <c r="L312" s="192">
        <v>0</v>
      </c>
      <c r="M312" s="192">
        <v>0</v>
      </c>
      <c r="N312" s="192">
        <v>252.06</v>
      </c>
      <c r="O312" s="192">
        <v>3652.58</v>
      </c>
      <c r="P312" s="192">
        <v>129</v>
      </c>
      <c r="Q312" s="192">
        <v>273.95</v>
      </c>
      <c r="R312" s="192">
        <v>0</v>
      </c>
      <c r="S312" s="285">
        <v>0.11333333333333334</v>
      </c>
      <c r="T312" s="192">
        <v>699.34</v>
      </c>
      <c r="U312" s="291">
        <v>4754.87</v>
      </c>
      <c r="V312" s="291">
        <v>4754.87</v>
      </c>
      <c r="W312" s="292">
        <v>74388.959999999992</v>
      </c>
      <c r="X312" s="292">
        <v>19019.48</v>
      </c>
      <c r="Y312" s="292">
        <v>69876.72</v>
      </c>
      <c r="Z312" s="292">
        <v>50310.9</v>
      </c>
      <c r="AA312" s="290">
        <v>50808.993179999998</v>
      </c>
      <c r="AB312" s="285">
        <v>50411.659899999999</v>
      </c>
      <c r="AC312" s="290">
        <v>6199.08</v>
      </c>
      <c r="AD312" s="192">
        <v>4</v>
      </c>
      <c r="AE312" s="290"/>
      <c r="AF312" s="194">
        <v>24796.32</v>
      </c>
      <c r="AG312" s="192" t="s">
        <v>2202</v>
      </c>
    </row>
    <row r="313" spans="1:34" x14ac:dyDescent="0.3">
      <c r="A313" s="192">
        <v>5830</v>
      </c>
      <c r="B313" s="192">
        <v>81</v>
      </c>
      <c r="C313" s="192">
        <v>7810</v>
      </c>
      <c r="D313" s="192" t="s">
        <v>1390</v>
      </c>
      <c r="E313" s="192">
        <v>2887562</v>
      </c>
      <c r="F313" s="192" t="s">
        <v>1391</v>
      </c>
      <c r="G313" s="290">
        <v>0.12</v>
      </c>
      <c r="H313" s="192">
        <v>638.20000000000005</v>
      </c>
      <c r="I313" s="192">
        <v>42.12</v>
      </c>
      <c r="J313" s="192">
        <v>153.37</v>
      </c>
      <c r="K313" s="192">
        <v>0</v>
      </c>
      <c r="L313" s="192">
        <v>0</v>
      </c>
      <c r="M313" s="192">
        <v>0</v>
      </c>
      <c r="N313" s="192">
        <v>0</v>
      </c>
      <c r="O313" s="192">
        <v>833.69</v>
      </c>
      <c r="P313" s="192">
        <v>0</v>
      </c>
      <c r="Q313" s="192">
        <v>0</v>
      </c>
      <c r="R313" s="192">
        <v>0</v>
      </c>
      <c r="S313" s="285">
        <v>0.12</v>
      </c>
      <c r="T313" s="192">
        <v>27.28</v>
      </c>
      <c r="U313" s="291">
        <v>860.97</v>
      </c>
      <c r="V313" s="291">
        <v>860.97</v>
      </c>
      <c r="W313" s="292">
        <v>10140.119999999999</v>
      </c>
      <c r="X313" s="292">
        <v>10331.64</v>
      </c>
      <c r="Y313" s="292">
        <v>10643</v>
      </c>
      <c r="Z313" s="292">
        <v>1031.1500000000001</v>
      </c>
      <c r="AA313" s="290">
        <v>66555.561600000001</v>
      </c>
      <c r="AB313" s="285">
        <v>62447.643719999993</v>
      </c>
      <c r="AC313" s="290">
        <v>0</v>
      </c>
      <c r="AD313" s="192">
        <v>12</v>
      </c>
      <c r="AE313" s="290">
        <v>0</v>
      </c>
      <c r="AF313" s="194">
        <v>0</v>
      </c>
      <c r="AG313" s="192" t="s">
        <v>1392</v>
      </c>
    </row>
    <row r="314" spans="1:34" x14ac:dyDescent="0.3">
      <c r="A314" s="192">
        <v>5832</v>
      </c>
      <c r="B314" s="192">
        <v>81</v>
      </c>
      <c r="C314" s="192">
        <v>3230</v>
      </c>
      <c r="D314" s="192" t="s">
        <v>1393</v>
      </c>
      <c r="E314" s="192">
        <v>2371218</v>
      </c>
      <c r="F314" s="192" t="s">
        <v>1394</v>
      </c>
      <c r="G314" s="290">
        <v>1</v>
      </c>
      <c r="H314" s="192">
        <v>6289.12</v>
      </c>
      <c r="I314" s="192">
        <v>1603.93</v>
      </c>
      <c r="J314" s="192">
        <v>197.6</v>
      </c>
      <c r="K314" s="192">
        <v>255.68</v>
      </c>
      <c r="L314" s="192">
        <v>0</v>
      </c>
      <c r="M314" s="192">
        <v>0</v>
      </c>
      <c r="N314" s="192">
        <v>36.5</v>
      </c>
      <c r="O314" s="192">
        <v>8382.83</v>
      </c>
      <c r="P314" s="192">
        <v>381</v>
      </c>
      <c r="Q314" s="192">
        <v>628.71</v>
      </c>
      <c r="R314" s="192">
        <v>0</v>
      </c>
      <c r="S314" s="285">
        <v>1</v>
      </c>
      <c r="T314" s="192">
        <v>1620.33</v>
      </c>
      <c r="U314" s="291">
        <v>11012.87</v>
      </c>
      <c r="V314" s="291">
        <v>11012.87</v>
      </c>
      <c r="W314" s="292">
        <v>144280.68</v>
      </c>
      <c r="X314" s="292">
        <v>132154.44</v>
      </c>
      <c r="Y314" s="292">
        <v>133701</v>
      </c>
      <c r="Z314" s="292">
        <v>143915.59</v>
      </c>
      <c r="AA314" s="290">
        <v>147952.59237</v>
      </c>
      <c r="AB314" s="285">
        <v>146795.58284999998</v>
      </c>
      <c r="AC314" s="290">
        <v>12023.39</v>
      </c>
      <c r="AD314" s="192">
        <v>12</v>
      </c>
      <c r="AE314" s="290">
        <v>12000</v>
      </c>
      <c r="AF314" s="194">
        <v>156280.68</v>
      </c>
    </row>
    <row r="315" spans="1:34" x14ac:dyDescent="0.3">
      <c r="A315" s="192">
        <v>5832</v>
      </c>
      <c r="B315" s="192">
        <v>81</v>
      </c>
      <c r="C315" s="192">
        <v>3230</v>
      </c>
      <c r="D315" s="192" t="s">
        <v>1393</v>
      </c>
      <c r="E315" s="192">
        <v>2459743</v>
      </c>
      <c r="F315" s="192" t="s">
        <v>1395</v>
      </c>
      <c r="G315" s="290">
        <v>0</v>
      </c>
      <c r="H315" s="192">
        <v>2832</v>
      </c>
      <c r="I315" s="192">
        <v>0</v>
      </c>
      <c r="J315" s="192">
        <v>149</v>
      </c>
      <c r="K315" s="192">
        <v>0</v>
      </c>
      <c r="L315" s="192">
        <v>0</v>
      </c>
      <c r="M315" s="192">
        <v>0</v>
      </c>
      <c r="N315" s="192">
        <v>0</v>
      </c>
      <c r="O315" s="192">
        <v>2981</v>
      </c>
      <c r="P315" s="192">
        <v>111</v>
      </c>
      <c r="Q315" s="192">
        <v>234.83</v>
      </c>
      <c r="R315" s="192">
        <v>0</v>
      </c>
      <c r="S315" s="285">
        <v>0</v>
      </c>
      <c r="T315" s="192">
        <v>382.32</v>
      </c>
      <c r="U315" s="291">
        <v>3709.15</v>
      </c>
      <c r="V315" s="291">
        <v>3709.15</v>
      </c>
      <c r="W315" s="292">
        <v>51812.520000000004</v>
      </c>
      <c r="X315" s="292">
        <v>44509.8</v>
      </c>
      <c r="Y315" s="292">
        <v>48640.4</v>
      </c>
      <c r="Z315" s="292">
        <v>29284.75</v>
      </c>
      <c r="AA315" s="290">
        <v>30484.499759999999</v>
      </c>
      <c r="AB315" s="285">
        <v>30246.106800000001</v>
      </c>
      <c r="AC315" s="290">
        <v>4600</v>
      </c>
      <c r="AD315" s="192">
        <v>12</v>
      </c>
      <c r="AE315" s="290">
        <v>4600</v>
      </c>
      <c r="AF315" s="194">
        <v>59800</v>
      </c>
    </row>
    <row r="316" spans="1:34" x14ac:dyDescent="0.3">
      <c r="A316" s="192">
        <v>5832</v>
      </c>
      <c r="B316" s="192">
        <v>81</v>
      </c>
      <c r="C316" s="192">
        <v>3230</v>
      </c>
      <c r="D316" s="192" t="s">
        <v>1393</v>
      </c>
      <c r="E316" s="192">
        <v>2968532</v>
      </c>
      <c r="F316" s="192" t="s">
        <v>1396</v>
      </c>
      <c r="G316" s="290">
        <v>0.5</v>
      </c>
      <c r="H316" s="192">
        <v>1871.3</v>
      </c>
      <c r="I316" s="192">
        <v>176.31</v>
      </c>
      <c r="J316" s="192">
        <v>170.26</v>
      </c>
      <c r="K316" s="192">
        <v>0</v>
      </c>
      <c r="L316" s="192">
        <v>0</v>
      </c>
      <c r="M316" s="192">
        <v>0</v>
      </c>
      <c r="N316" s="192">
        <v>176.5</v>
      </c>
      <c r="O316" s="192">
        <v>2394.37</v>
      </c>
      <c r="P316" s="192">
        <v>85</v>
      </c>
      <c r="Q316" s="192">
        <v>179.58</v>
      </c>
      <c r="R316" s="192">
        <v>0</v>
      </c>
      <c r="S316" s="285">
        <v>0.5</v>
      </c>
      <c r="T316" s="192">
        <v>481.94</v>
      </c>
      <c r="U316" s="291">
        <v>3140.89</v>
      </c>
      <c r="V316" s="291">
        <v>3140.89</v>
      </c>
      <c r="W316" s="292">
        <v>53283.479999999996</v>
      </c>
      <c r="X316" s="292">
        <v>37690.68</v>
      </c>
      <c r="Y316" s="292">
        <v>52997.84</v>
      </c>
      <c r="Z316" s="292">
        <v>60828.35</v>
      </c>
      <c r="AA316" s="290">
        <v>62138.278289999987</v>
      </c>
      <c r="AB316" s="285">
        <v>61652.34844999999</v>
      </c>
      <c r="AC316" s="290">
        <v>4600</v>
      </c>
      <c r="AD316" s="192">
        <v>12</v>
      </c>
      <c r="AE316" s="290">
        <v>4600</v>
      </c>
      <c r="AF316" s="194">
        <v>59800</v>
      </c>
    </row>
    <row r="317" spans="1:34" x14ac:dyDescent="0.3">
      <c r="A317" s="192">
        <v>5832</v>
      </c>
      <c r="B317" s="192">
        <v>81</v>
      </c>
      <c r="C317" s="192">
        <v>3230</v>
      </c>
      <c r="D317" s="192" t="s">
        <v>1393</v>
      </c>
      <c r="E317" s="192">
        <v>3487657</v>
      </c>
      <c r="F317" s="192" t="s">
        <v>1397</v>
      </c>
      <c r="G317" s="290">
        <v>0.5</v>
      </c>
      <c r="H317" s="192">
        <v>2615.5</v>
      </c>
      <c r="I317" s="192">
        <v>174.74</v>
      </c>
      <c r="J317" s="192">
        <v>167.22</v>
      </c>
      <c r="K317" s="192">
        <v>0</v>
      </c>
      <c r="L317" s="192">
        <v>0</v>
      </c>
      <c r="M317" s="192">
        <v>0</v>
      </c>
      <c r="N317" s="192">
        <v>176.5</v>
      </c>
      <c r="O317" s="192">
        <v>3133.96</v>
      </c>
      <c r="P317" s="192">
        <v>0</v>
      </c>
      <c r="Q317" s="192">
        <v>0</v>
      </c>
      <c r="R317" s="192">
        <v>0</v>
      </c>
      <c r="S317" s="285">
        <v>0.5</v>
      </c>
      <c r="T317" s="192">
        <v>26.96</v>
      </c>
      <c r="U317" s="291">
        <v>3160.92</v>
      </c>
      <c r="V317" s="291">
        <v>3160.92</v>
      </c>
      <c r="W317" s="292">
        <v>37973.64</v>
      </c>
      <c r="X317" s="292">
        <v>37931.040000000001</v>
      </c>
      <c r="Y317" s="292">
        <v>38116.720000000001</v>
      </c>
      <c r="Z317" s="292">
        <v>46592.12</v>
      </c>
      <c r="AA317" s="290">
        <v>47904.184679999998</v>
      </c>
      <c r="AB317" s="285">
        <v>47529.5674</v>
      </c>
      <c r="AC317" s="290">
        <v>4000</v>
      </c>
      <c r="AD317" s="192">
        <v>12</v>
      </c>
      <c r="AE317" s="290">
        <v>3500</v>
      </c>
      <c r="AF317" s="194">
        <v>51500</v>
      </c>
    </row>
    <row r="318" spans="1:34" x14ac:dyDescent="0.3">
      <c r="A318" s="192">
        <v>5832</v>
      </c>
      <c r="B318" s="192">
        <v>81</v>
      </c>
      <c r="C318" s="192">
        <v>3230</v>
      </c>
      <c r="D318" s="192" t="s">
        <v>1393</v>
      </c>
      <c r="E318" s="192">
        <v>4060352</v>
      </c>
      <c r="F318" s="192" t="s">
        <v>1398</v>
      </c>
      <c r="G318" s="290">
        <v>0.68</v>
      </c>
      <c r="H318" s="192">
        <v>4238.21</v>
      </c>
      <c r="I318" s="192">
        <v>259.92</v>
      </c>
      <c r="J318" s="192">
        <v>182.05</v>
      </c>
      <c r="K318" s="192">
        <v>0</v>
      </c>
      <c r="L318" s="192">
        <v>0</v>
      </c>
      <c r="M318" s="192">
        <v>0</v>
      </c>
      <c r="N318" s="192">
        <v>36.5</v>
      </c>
      <c r="O318" s="192">
        <v>4716.68</v>
      </c>
      <c r="P318" s="192">
        <v>167</v>
      </c>
      <c r="Q318" s="192">
        <v>353.75</v>
      </c>
      <c r="R318" s="192">
        <v>0</v>
      </c>
      <c r="S318" s="285">
        <v>0.68</v>
      </c>
      <c r="T318" s="192">
        <v>985.55</v>
      </c>
      <c r="U318" s="291">
        <v>6222.98</v>
      </c>
      <c r="V318" s="291">
        <v>6222.98</v>
      </c>
      <c r="W318" s="292">
        <v>76199.520000000004</v>
      </c>
      <c r="X318" s="292">
        <v>74675.759999999995</v>
      </c>
      <c r="Y318" s="292">
        <v>74295.64</v>
      </c>
      <c r="Z318" s="292">
        <v>82865.78</v>
      </c>
      <c r="AA318" s="290">
        <v>84626.979359999998</v>
      </c>
      <c r="AB318" s="285">
        <v>83965.184800000003</v>
      </c>
      <c r="AC318" s="290">
        <v>6500</v>
      </c>
      <c r="AD318" s="192">
        <v>12</v>
      </c>
      <c r="AE318" s="290">
        <v>6300</v>
      </c>
      <c r="AF318" s="194">
        <v>84300</v>
      </c>
    </row>
    <row r="319" spans="1:34" x14ac:dyDescent="0.3">
      <c r="A319" s="192">
        <v>5832</v>
      </c>
      <c r="B319" s="192">
        <v>81</v>
      </c>
      <c r="C319" s="192">
        <v>3230</v>
      </c>
      <c r="D319" s="192" t="s">
        <v>1393</v>
      </c>
      <c r="E319" s="192">
        <v>5448945</v>
      </c>
      <c r="F319" s="192" t="s">
        <v>1399</v>
      </c>
      <c r="G319" s="290">
        <v>0.76700000000000002</v>
      </c>
      <c r="H319" s="192">
        <v>6110.99</v>
      </c>
      <c r="I319" s="192">
        <v>438.61</v>
      </c>
      <c r="J319" s="192">
        <v>186.28</v>
      </c>
      <c r="K319" s="192">
        <v>0</v>
      </c>
      <c r="L319" s="192">
        <v>0</v>
      </c>
      <c r="M319" s="192">
        <v>0</v>
      </c>
      <c r="N319" s="192">
        <v>223.5</v>
      </c>
      <c r="O319" s="192">
        <v>6959.38</v>
      </c>
      <c r="P319" s="192">
        <v>43</v>
      </c>
      <c r="Q319" s="192">
        <v>521.95000000000005</v>
      </c>
      <c r="R319" s="192">
        <v>0</v>
      </c>
      <c r="S319" s="285">
        <v>0.76700000000000002</v>
      </c>
      <c r="T319" s="192">
        <v>631.16</v>
      </c>
      <c r="U319" s="291">
        <v>8155.49</v>
      </c>
      <c r="V319" s="291">
        <v>8155.49</v>
      </c>
      <c r="W319" s="292">
        <v>96887.52</v>
      </c>
      <c r="X319" s="292">
        <v>97865.88</v>
      </c>
      <c r="Y319" s="292">
        <v>97569.16</v>
      </c>
      <c r="Z319" s="292">
        <v>102926.79</v>
      </c>
      <c r="AA319" s="290">
        <v>105294.06524999999</v>
      </c>
      <c r="AB319" s="285">
        <v>104470.65125</v>
      </c>
      <c r="AC319" s="290">
        <v>8500</v>
      </c>
      <c r="AD319" s="192">
        <v>12</v>
      </c>
      <c r="AE319" s="290">
        <v>8000</v>
      </c>
      <c r="AF319" s="194">
        <v>110000</v>
      </c>
    </row>
    <row r="320" spans="1:34" x14ac:dyDescent="0.3">
      <c r="A320" s="192">
        <v>5832</v>
      </c>
      <c r="B320" s="192">
        <v>81</v>
      </c>
      <c r="C320" s="192">
        <v>3230</v>
      </c>
      <c r="D320" s="192" t="s">
        <v>1393</v>
      </c>
      <c r="E320" s="192">
        <v>32152272</v>
      </c>
      <c r="F320" s="192" t="s">
        <v>1400</v>
      </c>
      <c r="G320" s="290">
        <v>0.5</v>
      </c>
      <c r="H320" s="192">
        <v>2813.87</v>
      </c>
      <c r="I320" s="192">
        <v>178.37</v>
      </c>
      <c r="J320" s="192">
        <v>170.26</v>
      </c>
      <c r="K320" s="192">
        <v>0</v>
      </c>
      <c r="L320" s="192">
        <v>0</v>
      </c>
      <c r="M320" s="192">
        <v>0</v>
      </c>
      <c r="N320" s="192">
        <v>176.5</v>
      </c>
      <c r="O320" s="192">
        <v>3339</v>
      </c>
      <c r="P320" s="192">
        <v>118</v>
      </c>
      <c r="Q320" s="192">
        <v>250.43</v>
      </c>
      <c r="R320" s="192">
        <v>0</v>
      </c>
      <c r="S320" s="285">
        <v>0.5</v>
      </c>
      <c r="T320" s="192">
        <v>684.76</v>
      </c>
      <c r="U320" s="291">
        <v>4392.1899999999996</v>
      </c>
      <c r="V320" s="291">
        <v>4392.1899999999996</v>
      </c>
      <c r="W320" s="292">
        <v>49773.96</v>
      </c>
      <c r="X320" s="292">
        <v>52706.28</v>
      </c>
      <c r="Y320" s="292">
        <v>55969.84</v>
      </c>
      <c r="Z320" s="292">
        <v>62530.19</v>
      </c>
      <c r="AA320" s="290">
        <v>65019.424800000001</v>
      </c>
      <c r="AB320" s="285">
        <v>64510.964</v>
      </c>
      <c r="AC320" s="290">
        <v>5000</v>
      </c>
      <c r="AD320" s="192">
        <v>12</v>
      </c>
      <c r="AE320" s="290">
        <v>4000</v>
      </c>
      <c r="AF320" s="194">
        <v>64000</v>
      </c>
    </row>
    <row r="321" spans="1:34" x14ac:dyDescent="0.3">
      <c r="A321" s="192">
        <v>5832</v>
      </c>
      <c r="B321" s="192">
        <v>81</v>
      </c>
      <c r="C321" s="192">
        <v>3230</v>
      </c>
      <c r="D321" s="192" t="s">
        <v>1393</v>
      </c>
      <c r="E321" s="192">
        <v>32154779</v>
      </c>
      <c r="F321" s="192" t="s">
        <v>1401</v>
      </c>
      <c r="G321" s="290">
        <v>0.5</v>
      </c>
      <c r="H321" s="192">
        <v>3307.53</v>
      </c>
      <c r="I321" s="192">
        <v>176.87</v>
      </c>
      <c r="J321" s="192">
        <v>170.26</v>
      </c>
      <c r="K321" s="192">
        <v>0</v>
      </c>
      <c r="L321" s="192">
        <v>0</v>
      </c>
      <c r="M321" s="192">
        <v>0</v>
      </c>
      <c r="N321" s="192">
        <v>176.5</v>
      </c>
      <c r="O321" s="192">
        <v>3831.16</v>
      </c>
      <c r="P321" s="192">
        <v>136</v>
      </c>
      <c r="Q321" s="192">
        <v>287.33999999999997</v>
      </c>
      <c r="R321" s="192">
        <v>0</v>
      </c>
      <c r="S321" s="285">
        <v>0.5</v>
      </c>
      <c r="T321" s="192">
        <v>749.31</v>
      </c>
      <c r="U321" s="291">
        <v>5003.8100000000004</v>
      </c>
      <c r="V321" s="291">
        <v>5003.8100000000004</v>
      </c>
      <c r="W321" s="292">
        <v>53259.12</v>
      </c>
      <c r="X321" s="292">
        <v>60045.72</v>
      </c>
      <c r="Y321" s="292">
        <v>63452.320000000007</v>
      </c>
      <c r="Z321" s="292">
        <v>60476.71</v>
      </c>
      <c r="AA321" s="290">
        <v>60716.00138999999</v>
      </c>
      <c r="AB321" s="285">
        <v>60241.193949999986</v>
      </c>
      <c r="AC321" s="290">
        <v>5000</v>
      </c>
      <c r="AD321" s="192">
        <v>12</v>
      </c>
      <c r="AE321" s="290">
        <v>4000</v>
      </c>
      <c r="AF321" s="194">
        <v>64000</v>
      </c>
    </row>
    <row r="322" spans="1:34" s="196" customFormat="1" x14ac:dyDescent="0.3">
      <c r="G322" s="288">
        <f>SUM(G312:G321)</f>
        <v>4.907</v>
      </c>
      <c r="H322" s="288">
        <f t="shared" ref="H322:AF322" si="30">SUM(H312:H321)</f>
        <v>33698.35</v>
      </c>
      <c r="I322" s="288">
        <f t="shared" si="30"/>
        <v>3291.8399999999997</v>
      </c>
      <c r="J322" s="288">
        <f t="shared" si="30"/>
        <v>1724.22</v>
      </c>
      <c r="K322" s="288">
        <f t="shared" si="30"/>
        <v>255.68</v>
      </c>
      <c r="L322" s="288">
        <f t="shared" si="30"/>
        <v>0</v>
      </c>
      <c r="M322" s="288">
        <f t="shared" si="30"/>
        <v>0</v>
      </c>
      <c r="N322" s="288">
        <f t="shared" si="30"/>
        <v>1254.56</v>
      </c>
      <c r="O322" s="288">
        <f t="shared" si="30"/>
        <v>40224.649999999994</v>
      </c>
      <c r="P322" s="288">
        <f t="shared" si="30"/>
        <v>1170</v>
      </c>
      <c r="Q322" s="288">
        <f t="shared" si="30"/>
        <v>2730.54</v>
      </c>
      <c r="R322" s="288">
        <f t="shared" si="30"/>
        <v>0</v>
      </c>
      <c r="S322" s="288">
        <f t="shared" si="30"/>
        <v>4.6803333333333335</v>
      </c>
      <c r="T322" s="288">
        <f t="shared" si="30"/>
        <v>6288.9500000000007</v>
      </c>
      <c r="U322" s="288">
        <f t="shared" si="30"/>
        <v>50414.139999999992</v>
      </c>
      <c r="V322" s="288">
        <f t="shared" si="30"/>
        <v>50414.139999999992</v>
      </c>
      <c r="W322" s="288">
        <f t="shared" si="30"/>
        <v>647999.5199999999</v>
      </c>
      <c r="X322" s="288">
        <f t="shared" si="30"/>
        <v>566930.72</v>
      </c>
      <c r="Y322" s="288">
        <f t="shared" si="30"/>
        <v>645262.6399999999</v>
      </c>
      <c r="Z322" s="288">
        <f t="shared" si="30"/>
        <v>640762.32999999996</v>
      </c>
      <c r="AA322" s="288">
        <f t="shared" si="30"/>
        <v>721500.5806799999</v>
      </c>
      <c r="AB322" s="288">
        <f t="shared" si="30"/>
        <v>712270.90312000003</v>
      </c>
      <c r="AC322" s="288">
        <f t="shared" si="30"/>
        <v>56422.47</v>
      </c>
      <c r="AD322" s="288">
        <f t="shared" si="30"/>
        <v>112</v>
      </c>
      <c r="AE322" s="288">
        <f t="shared" si="30"/>
        <v>47000</v>
      </c>
      <c r="AF322" s="288">
        <f t="shared" si="30"/>
        <v>674477</v>
      </c>
      <c r="AG322" s="288">
        <v>0</v>
      </c>
      <c r="AH322" s="288">
        <v>0</v>
      </c>
    </row>
    <row r="323" spans="1:34" x14ac:dyDescent="0.3">
      <c r="W323" s="292"/>
      <c r="X323" s="292"/>
      <c r="Y323" s="292"/>
      <c r="Z323" s="292"/>
      <c r="AA323" s="290"/>
      <c r="AB323" s="285"/>
      <c r="AC323" s="290"/>
      <c r="AE323" s="290"/>
      <c r="AF323" s="194"/>
    </row>
    <row r="324" spans="1:34" x14ac:dyDescent="0.3">
      <c r="A324" s="192">
        <v>5830</v>
      </c>
      <c r="B324" s="192">
        <v>62</v>
      </c>
      <c r="C324" s="192">
        <v>1300</v>
      </c>
      <c r="D324" s="192" t="s">
        <v>1402</v>
      </c>
      <c r="E324" s="192">
        <v>2155137</v>
      </c>
      <c r="F324" s="192" t="s">
        <v>1093</v>
      </c>
      <c r="G324" s="290">
        <v>1</v>
      </c>
      <c r="H324" s="192">
        <v>4404.99</v>
      </c>
      <c r="I324" s="192">
        <v>333.74</v>
      </c>
      <c r="J324" s="192">
        <v>192.74</v>
      </c>
      <c r="K324" s="192">
        <v>543.87</v>
      </c>
      <c r="L324" s="192">
        <v>0</v>
      </c>
      <c r="M324" s="192">
        <v>0</v>
      </c>
      <c r="N324" s="192">
        <v>36.5</v>
      </c>
      <c r="O324" s="192">
        <v>5511.84</v>
      </c>
      <c r="P324" s="192">
        <v>195</v>
      </c>
      <c r="Q324" s="192">
        <v>413.39</v>
      </c>
      <c r="R324" s="192">
        <v>0</v>
      </c>
      <c r="S324" s="285">
        <v>0.33333333333333331</v>
      </c>
      <c r="T324" s="192">
        <v>1057.8499999999999</v>
      </c>
      <c r="U324" s="291">
        <v>7178.08</v>
      </c>
      <c r="V324" s="291">
        <v>7178.08</v>
      </c>
      <c r="W324" s="292">
        <v>100585.68</v>
      </c>
      <c r="X324" s="292">
        <v>28712.32</v>
      </c>
      <c r="Y324" s="292">
        <v>95412.6</v>
      </c>
      <c r="Z324" s="292">
        <v>24634.26</v>
      </c>
      <c r="AA324" s="290">
        <v>32187.590159999996</v>
      </c>
      <c r="AB324" s="285">
        <v>100659.77284999999</v>
      </c>
      <c r="AC324" s="290">
        <v>8000</v>
      </c>
      <c r="AD324" s="192">
        <v>4</v>
      </c>
      <c r="AE324" s="290">
        <v>2000</v>
      </c>
      <c r="AF324" s="194">
        <v>34000</v>
      </c>
      <c r="AG324" s="192" t="s">
        <v>2203</v>
      </c>
    </row>
    <row r="325" spans="1:34" x14ac:dyDescent="0.3">
      <c r="A325" s="192">
        <v>5832</v>
      </c>
      <c r="B325" s="192">
        <v>81</v>
      </c>
      <c r="C325" s="192">
        <v>3240</v>
      </c>
      <c r="D325" s="192" t="s">
        <v>1402</v>
      </c>
      <c r="E325" s="192">
        <v>2282675</v>
      </c>
      <c r="F325" s="192" t="s">
        <v>1403</v>
      </c>
      <c r="G325" s="290">
        <v>0.5</v>
      </c>
      <c r="H325" s="192">
        <v>2215.12</v>
      </c>
      <c r="I325" s="192">
        <v>191.15</v>
      </c>
      <c r="J325" s="192">
        <v>173.3</v>
      </c>
      <c r="K325" s="192">
        <v>0</v>
      </c>
      <c r="L325" s="192">
        <v>0</v>
      </c>
      <c r="M325" s="192">
        <v>0</v>
      </c>
      <c r="N325" s="192">
        <v>176.5</v>
      </c>
      <c r="O325" s="192">
        <v>2756.07</v>
      </c>
      <c r="P325" s="192">
        <v>98</v>
      </c>
      <c r="Q325" s="192">
        <v>207.42</v>
      </c>
      <c r="R325" s="192">
        <v>0</v>
      </c>
      <c r="S325" s="285">
        <v>0.5</v>
      </c>
      <c r="T325" s="192">
        <v>268.89999999999998</v>
      </c>
      <c r="U325" s="291">
        <v>3330.39</v>
      </c>
      <c r="V325" s="291">
        <v>3330.39</v>
      </c>
      <c r="W325" s="292">
        <v>54435.839999999997</v>
      </c>
      <c r="X325" s="292">
        <v>39964.68</v>
      </c>
      <c r="Y325" s="292">
        <v>58641.52</v>
      </c>
      <c r="Z325" s="292">
        <v>58721.17</v>
      </c>
      <c r="AA325" s="290">
        <v>59099.272649999999</v>
      </c>
      <c r="AB325" s="285">
        <v>58637.108249999997</v>
      </c>
      <c r="AC325" s="290">
        <v>4536.32</v>
      </c>
      <c r="AD325" s="192">
        <v>12</v>
      </c>
      <c r="AE325" s="290">
        <v>4500</v>
      </c>
      <c r="AF325" s="194">
        <v>58935.839999999997</v>
      </c>
    </row>
    <row r="326" spans="1:34" x14ac:dyDescent="0.3">
      <c r="A326" s="192">
        <v>5832</v>
      </c>
      <c r="B326" s="192">
        <v>81</v>
      </c>
      <c r="C326" s="192">
        <v>3240</v>
      </c>
      <c r="D326" s="192" t="s">
        <v>1402</v>
      </c>
      <c r="E326" s="192">
        <v>2391586</v>
      </c>
      <c r="F326" s="192" t="s">
        <v>1404</v>
      </c>
      <c r="G326" s="290">
        <v>0.5</v>
      </c>
      <c r="H326" s="192">
        <v>3454.28</v>
      </c>
      <c r="I326" s="192">
        <v>192.15</v>
      </c>
      <c r="J326" s="192">
        <v>173.3</v>
      </c>
      <c r="K326" s="192">
        <v>0</v>
      </c>
      <c r="L326" s="192">
        <v>0</v>
      </c>
      <c r="M326" s="192">
        <v>0</v>
      </c>
      <c r="N326" s="192">
        <v>176.5</v>
      </c>
      <c r="O326" s="192">
        <v>3996.23</v>
      </c>
      <c r="P326" s="192">
        <v>142</v>
      </c>
      <c r="Q326" s="192">
        <v>300.44</v>
      </c>
      <c r="R326" s="192">
        <v>0</v>
      </c>
      <c r="S326" s="285">
        <v>0.5</v>
      </c>
      <c r="T326" s="192">
        <v>387.43</v>
      </c>
      <c r="U326" s="291">
        <v>4826.1000000000004</v>
      </c>
      <c r="V326" s="291">
        <v>4826.1000000000004</v>
      </c>
      <c r="W326" s="292">
        <v>52763.520000000004</v>
      </c>
      <c r="X326" s="292">
        <v>57913.200000000004</v>
      </c>
      <c r="Y326" s="292">
        <v>55371.239999999991</v>
      </c>
      <c r="Z326" s="292">
        <v>60477.97</v>
      </c>
      <c r="AA326" s="290">
        <v>61868.963309999999</v>
      </c>
      <c r="AB326" s="285">
        <v>61385.139549999993</v>
      </c>
      <c r="AC326" s="290">
        <v>4396.96</v>
      </c>
      <c r="AD326" s="192">
        <v>12</v>
      </c>
      <c r="AE326" s="290">
        <v>4500</v>
      </c>
      <c r="AF326" s="194">
        <v>57263.520000000004</v>
      </c>
    </row>
    <row r="327" spans="1:34" x14ac:dyDescent="0.3">
      <c r="A327" s="192">
        <v>5832</v>
      </c>
      <c r="B327" s="192">
        <v>81</v>
      </c>
      <c r="C327" s="192">
        <v>3240</v>
      </c>
      <c r="D327" s="192" t="s">
        <v>1402</v>
      </c>
      <c r="E327" s="192">
        <v>2459889</v>
      </c>
      <c r="F327" s="192" t="s">
        <v>1405</v>
      </c>
      <c r="G327" s="290">
        <v>0.9</v>
      </c>
      <c r="H327" s="192">
        <v>5665.74</v>
      </c>
      <c r="I327" s="192">
        <v>347.01</v>
      </c>
      <c r="J327" s="192">
        <v>192.74</v>
      </c>
      <c r="K327" s="192">
        <v>0</v>
      </c>
      <c r="L327" s="192">
        <v>0</v>
      </c>
      <c r="M327" s="192">
        <v>0</v>
      </c>
      <c r="N327" s="192">
        <v>36.5</v>
      </c>
      <c r="O327" s="192">
        <v>6241.99</v>
      </c>
      <c r="P327" s="192">
        <v>222</v>
      </c>
      <c r="Q327" s="192">
        <v>468.15</v>
      </c>
      <c r="R327" s="192">
        <v>0</v>
      </c>
      <c r="S327" s="285">
        <v>0.9</v>
      </c>
      <c r="T327" s="192">
        <v>1301.82</v>
      </c>
      <c r="U327" s="291">
        <v>8233.9599999999991</v>
      </c>
      <c r="V327" s="291">
        <v>8233.9599999999991</v>
      </c>
      <c r="W327" s="292">
        <v>101657.40000000001</v>
      </c>
      <c r="X327" s="292">
        <v>98807.51999999999</v>
      </c>
      <c r="Y327" s="292">
        <v>97495.8</v>
      </c>
      <c r="Z327" s="292">
        <v>107211.82</v>
      </c>
      <c r="AA327" s="290">
        <v>110261.93738999998</v>
      </c>
      <c r="AB327" s="285">
        <v>109399.67394999998</v>
      </c>
      <c r="AC327" s="290">
        <v>8471.4500000000007</v>
      </c>
      <c r="AD327" s="192">
        <v>12</v>
      </c>
      <c r="AE327" s="290">
        <v>8500</v>
      </c>
      <c r="AF327" s="194">
        <v>110157.40000000001</v>
      </c>
    </row>
    <row r="328" spans="1:34" x14ac:dyDescent="0.3">
      <c r="A328" s="192">
        <v>5832</v>
      </c>
      <c r="B328" s="192">
        <v>81</v>
      </c>
      <c r="C328" s="192">
        <v>3240</v>
      </c>
      <c r="D328" s="192" t="s">
        <v>1402</v>
      </c>
      <c r="E328" s="192">
        <v>2528081</v>
      </c>
      <c r="F328" s="192" t="s">
        <v>1406</v>
      </c>
      <c r="G328" s="290">
        <v>0.6</v>
      </c>
      <c r="H328" s="192">
        <v>3790.26</v>
      </c>
      <c r="I328" s="192">
        <v>223.37</v>
      </c>
      <c r="J328" s="192">
        <v>178.16</v>
      </c>
      <c r="K328" s="192">
        <v>0</v>
      </c>
      <c r="L328" s="192">
        <v>0</v>
      </c>
      <c r="M328" s="192">
        <v>0</v>
      </c>
      <c r="N328" s="192">
        <v>566.29999999999995</v>
      </c>
      <c r="O328" s="192">
        <v>4758.09</v>
      </c>
      <c r="P328" s="192">
        <v>164</v>
      </c>
      <c r="Q328" s="192">
        <v>356.86</v>
      </c>
      <c r="R328" s="192">
        <v>0</v>
      </c>
      <c r="S328" s="285">
        <v>0.39999999999999997</v>
      </c>
      <c r="T328" s="192">
        <v>870.79</v>
      </c>
      <c r="U328" s="291">
        <v>6149.74</v>
      </c>
      <c r="V328" s="291">
        <v>6149.74</v>
      </c>
      <c r="W328" s="292">
        <v>72236.040000000008</v>
      </c>
      <c r="X328" s="292">
        <v>49197.919999999998</v>
      </c>
      <c r="Y328" s="292">
        <v>73552.56</v>
      </c>
      <c r="Z328" s="292">
        <v>73313.03</v>
      </c>
      <c r="AA328" s="290">
        <v>74430.574679999991</v>
      </c>
      <c r="AB328" s="285">
        <v>73848.517399999997</v>
      </c>
      <c r="AC328" s="290">
        <v>6019.67</v>
      </c>
      <c r="AD328" s="192">
        <v>8</v>
      </c>
      <c r="AE328" s="290">
        <v>6000</v>
      </c>
      <c r="AF328" s="194">
        <v>54157.36</v>
      </c>
      <c r="AG328" s="192" t="s">
        <v>2204</v>
      </c>
    </row>
    <row r="329" spans="1:34" x14ac:dyDescent="0.3">
      <c r="A329" s="192">
        <v>5832</v>
      </c>
      <c r="B329" s="192">
        <v>81</v>
      </c>
      <c r="C329" s="192">
        <v>3240</v>
      </c>
      <c r="D329" s="192" t="s">
        <v>1402</v>
      </c>
      <c r="E329" s="192">
        <v>3195918</v>
      </c>
      <c r="F329" s="192" t="s">
        <v>1407</v>
      </c>
      <c r="G329" s="290">
        <v>0.5</v>
      </c>
      <c r="H329" s="192">
        <v>4238.66</v>
      </c>
      <c r="I329" s="192">
        <v>175.52</v>
      </c>
      <c r="J329" s="192">
        <v>167.22</v>
      </c>
      <c r="K329" s="192">
        <v>0</v>
      </c>
      <c r="L329" s="192">
        <v>0</v>
      </c>
      <c r="M329" s="192">
        <v>0</v>
      </c>
      <c r="N329" s="192">
        <v>176.5</v>
      </c>
      <c r="O329" s="192">
        <v>4757.8999999999996</v>
      </c>
      <c r="P329" s="192">
        <v>0</v>
      </c>
      <c r="Q329" s="192">
        <v>0</v>
      </c>
      <c r="R329" s="192">
        <v>0</v>
      </c>
      <c r="S329" s="285">
        <v>0.5</v>
      </c>
      <c r="T329" s="192">
        <v>33.1</v>
      </c>
      <c r="U329" s="291">
        <v>4791</v>
      </c>
      <c r="V329" s="291">
        <v>4791</v>
      </c>
      <c r="W329" s="292">
        <v>37075.08</v>
      </c>
      <c r="X329" s="292">
        <v>57492</v>
      </c>
      <c r="Y329" s="292">
        <v>57947.08</v>
      </c>
      <c r="Z329" s="311">
        <v>60988.37</v>
      </c>
      <c r="AA329" s="290">
        <v>0</v>
      </c>
      <c r="AB329" s="285">
        <v>1827.3349499999997</v>
      </c>
      <c r="AC329" s="290">
        <v>4650</v>
      </c>
      <c r="AD329" s="192">
        <v>12</v>
      </c>
      <c r="AE329" s="290">
        <v>4500</v>
      </c>
      <c r="AF329" s="194">
        <v>60300</v>
      </c>
    </row>
    <row r="330" spans="1:34" x14ac:dyDescent="0.3">
      <c r="A330" s="192">
        <v>5832</v>
      </c>
      <c r="B330" s="192">
        <v>81</v>
      </c>
      <c r="C330" s="192">
        <v>3240</v>
      </c>
      <c r="D330" s="192" t="s">
        <v>1402</v>
      </c>
      <c r="E330" s="192">
        <v>4056047</v>
      </c>
      <c r="F330" s="192" t="s">
        <v>1408</v>
      </c>
      <c r="G330" s="290">
        <v>0.34</v>
      </c>
      <c r="H330" s="192">
        <v>2981.63</v>
      </c>
      <c r="I330" s="192">
        <v>240.97</v>
      </c>
      <c r="J330" s="192">
        <v>177.92</v>
      </c>
      <c r="K330" s="192">
        <v>0</v>
      </c>
      <c r="L330" s="192">
        <v>0</v>
      </c>
      <c r="M330" s="192">
        <v>0</v>
      </c>
      <c r="N330" s="192">
        <v>252.06</v>
      </c>
      <c r="O330" s="192">
        <v>3652.58</v>
      </c>
      <c r="P330" s="192">
        <v>129</v>
      </c>
      <c r="Q330" s="192">
        <v>273.95</v>
      </c>
      <c r="R330" s="192">
        <v>0</v>
      </c>
      <c r="S330" s="285">
        <v>0.22666666666666668</v>
      </c>
      <c r="T330" s="192">
        <v>699.34</v>
      </c>
      <c r="U330" s="291">
        <v>4754.87</v>
      </c>
      <c r="V330" s="291">
        <v>4754.87</v>
      </c>
      <c r="W330" s="292">
        <v>74388.959999999992</v>
      </c>
      <c r="X330" s="292">
        <v>38038.959999999999</v>
      </c>
      <c r="Y330" s="292">
        <v>69876.72</v>
      </c>
      <c r="Z330" s="292">
        <v>50310.9</v>
      </c>
      <c r="AA330" s="290">
        <v>50808.993179999998</v>
      </c>
      <c r="AB330" s="285">
        <v>50411.659899999999</v>
      </c>
      <c r="AC330" s="290">
        <v>6199.08</v>
      </c>
      <c r="AD330" s="192">
        <v>8</v>
      </c>
      <c r="AE330" s="290">
        <v>6200</v>
      </c>
      <c r="AF330" s="194">
        <v>55792.639999999999</v>
      </c>
      <c r="AG330" s="192" t="s">
        <v>2202</v>
      </c>
    </row>
    <row r="331" spans="1:34" x14ac:dyDescent="0.3">
      <c r="A331" s="192">
        <v>5832</v>
      </c>
      <c r="B331" s="192">
        <v>81</v>
      </c>
      <c r="C331" s="192">
        <v>3240</v>
      </c>
      <c r="D331" s="192" t="s">
        <v>1402</v>
      </c>
      <c r="E331" s="192">
        <v>5716950</v>
      </c>
      <c r="F331" s="192" t="s">
        <v>1409</v>
      </c>
      <c r="G331" s="290">
        <v>1</v>
      </c>
      <c r="H331" s="192">
        <v>7040.07</v>
      </c>
      <c r="I331" s="192">
        <v>417.44</v>
      </c>
      <c r="J331" s="192">
        <v>197.6</v>
      </c>
      <c r="K331" s="192">
        <v>0</v>
      </c>
      <c r="L331" s="192">
        <v>0</v>
      </c>
      <c r="M331" s="192">
        <v>0</v>
      </c>
      <c r="N331" s="192">
        <v>36.5</v>
      </c>
      <c r="O331" s="192">
        <v>7691.61</v>
      </c>
      <c r="P331" s="192">
        <v>328</v>
      </c>
      <c r="Q331" s="192">
        <v>576.87</v>
      </c>
      <c r="R331" s="192">
        <v>0</v>
      </c>
      <c r="S331" s="285">
        <v>1</v>
      </c>
      <c r="T331" s="192">
        <v>585.53</v>
      </c>
      <c r="U331" s="291">
        <v>9182.01</v>
      </c>
      <c r="V331" s="291">
        <v>9182.01</v>
      </c>
      <c r="W331" s="292">
        <v>110361</v>
      </c>
      <c r="X331" s="292">
        <v>110184.12</v>
      </c>
      <c r="Y331" s="292">
        <v>109591.48</v>
      </c>
      <c r="Z331" s="292">
        <v>118684.18</v>
      </c>
      <c r="AA331" s="290">
        <v>121436.60627999999</v>
      </c>
      <c r="AB331" s="285">
        <v>120486.95539999999</v>
      </c>
      <c r="AC331" s="290">
        <v>9196.75</v>
      </c>
      <c r="AD331" s="192">
        <v>12</v>
      </c>
      <c r="AE331" s="290">
        <v>9000</v>
      </c>
      <c r="AF331" s="194">
        <v>119361</v>
      </c>
    </row>
    <row r="332" spans="1:34" x14ac:dyDescent="0.3">
      <c r="A332" s="192">
        <v>5832</v>
      </c>
      <c r="B332" s="192">
        <v>81</v>
      </c>
      <c r="C332" s="192">
        <v>3240</v>
      </c>
      <c r="D332" s="192" t="s">
        <v>1402</v>
      </c>
      <c r="E332" s="192">
        <v>5728552</v>
      </c>
      <c r="F332" s="192" t="s">
        <v>1410</v>
      </c>
      <c r="G332" s="290">
        <v>0.5</v>
      </c>
      <c r="H332" s="192">
        <v>3313.94</v>
      </c>
      <c r="I332" s="192">
        <v>191.72</v>
      </c>
      <c r="J332" s="192">
        <v>173.3</v>
      </c>
      <c r="K332" s="192">
        <v>0</v>
      </c>
      <c r="L332" s="192">
        <v>0</v>
      </c>
      <c r="M332" s="192">
        <v>0</v>
      </c>
      <c r="N332" s="192">
        <v>176.5</v>
      </c>
      <c r="O332" s="192">
        <v>3855.46</v>
      </c>
      <c r="P332" s="192">
        <v>0</v>
      </c>
      <c r="Q332" s="192">
        <v>0</v>
      </c>
      <c r="R332" s="192">
        <v>0</v>
      </c>
      <c r="S332" s="285">
        <v>0.5</v>
      </c>
      <c r="T332" s="192">
        <v>0</v>
      </c>
      <c r="U332" s="291">
        <v>3855.46</v>
      </c>
      <c r="V332" s="291">
        <v>3855.46</v>
      </c>
      <c r="W332" s="292">
        <v>15112.32</v>
      </c>
      <c r="X332" s="292">
        <v>46265.520000000004</v>
      </c>
      <c r="Y332" s="292">
        <v>15251.560000000001</v>
      </c>
      <c r="Z332" s="311">
        <v>69314.19</v>
      </c>
      <c r="AA332" s="290">
        <v>20662.707449999998</v>
      </c>
      <c r="AB332" s="285">
        <v>20501.12225</v>
      </c>
      <c r="AC332" s="290">
        <v>4000</v>
      </c>
      <c r="AD332" s="192">
        <v>12</v>
      </c>
      <c r="AE332" s="290">
        <v>4000</v>
      </c>
      <c r="AF332" s="194">
        <v>52000</v>
      </c>
    </row>
    <row r="333" spans="1:34" x14ac:dyDescent="0.3">
      <c r="A333" s="192">
        <v>5832</v>
      </c>
      <c r="B333" s="192">
        <v>81</v>
      </c>
      <c r="C333" s="192">
        <v>3240</v>
      </c>
      <c r="D333" s="192" t="s">
        <v>1402</v>
      </c>
      <c r="E333" s="192">
        <v>5836026</v>
      </c>
      <c r="F333" s="192" t="s">
        <v>1411</v>
      </c>
      <c r="G333" s="290">
        <v>0.5</v>
      </c>
      <c r="H333" s="192">
        <v>3444.17</v>
      </c>
      <c r="I333" s="192">
        <v>191.86</v>
      </c>
      <c r="J333" s="192">
        <v>173.3</v>
      </c>
      <c r="K333" s="192">
        <v>0</v>
      </c>
      <c r="L333" s="192">
        <v>0</v>
      </c>
      <c r="M333" s="192">
        <v>0</v>
      </c>
      <c r="N333" s="192">
        <v>176.5</v>
      </c>
      <c r="O333" s="192">
        <v>3985.83</v>
      </c>
      <c r="P333" s="192">
        <v>142</v>
      </c>
      <c r="Q333" s="192">
        <v>299.66000000000003</v>
      </c>
      <c r="R333" s="192">
        <v>0</v>
      </c>
      <c r="S333" s="285">
        <v>0.5</v>
      </c>
      <c r="T333" s="192">
        <v>324.10000000000002</v>
      </c>
      <c r="U333" s="291">
        <v>4751.59</v>
      </c>
      <c r="V333" s="291">
        <v>4751.59</v>
      </c>
      <c r="W333" s="292">
        <v>51940.44</v>
      </c>
      <c r="X333" s="292">
        <v>57019.08</v>
      </c>
      <c r="Y333" s="292">
        <v>55955.24</v>
      </c>
      <c r="Z333" s="292">
        <v>59552.86</v>
      </c>
      <c r="AA333" s="290">
        <v>60922.575779999992</v>
      </c>
      <c r="AB333" s="285">
        <v>60446.152899999994</v>
      </c>
      <c r="AC333" s="290">
        <v>4328.37</v>
      </c>
      <c r="AD333" s="192">
        <v>12</v>
      </c>
      <c r="AE333" s="290">
        <v>4300</v>
      </c>
      <c r="AF333" s="194">
        <v>56240.44</v>
      </c>
    </row>
    <row r="334" spans="1:34" x14ac:dyDescent="0.3">
      <c r="A334" s="192">
        <v>5832</v>
      </c>
      <c r="B334" s="192">
        <v>81</v>
      </c>
      <c r="C334" s="192">
        <v>3240</v>
      </c>
      <c r="D334" s="192" t="s">
        <v>1402</v>
      </c>
      <c r="E334" s="192">
        <v>6075267</v>
      </c>
      <c r="F334" s="192" t="s">
        <v>1412</v>
      </c>
      <c r="G334" s="290">
        <v>1</v>
      </c>
      <c r="H334" s="192">
        <v>6027.58</v>
      </c>
      <c r="I334" s="192">
        <v>1329.08</v>
      </c>
      <c r="J334" s="192">
        <v>197.6</v>
      </c>
      <c r="K334" s="192">
        <v>284.08999999999997</v>
      </c>
      <c r="L334" s="192">
        <v>0</v>
      </c>
      <c r="M334" s="192">
        <v>0</v>
      </c>
      <c r="N334" s="192">
        <v>36.5</v>
      </c>
      <c r="O334" s="192">
        <v>7874.85</v>
      </c>
      <c r="P334" s="192">
        <v>342</v>
      </c>
      <c r="Q334" s="192">
        <v>590.61</v>
      </c>
      <c r="R334" s="192">
        <v>0</v>
      </c>
      <c r="S334" s="285">
        <v>1</v>
      </c>
      <c r="T334" s="192">
        <v>1527.19</v>
      </c>
      <c r="U334" s="291">
        <v>10334.65</v>
      </c>
      <c r="V334" s="291">
        <v>10334.65</v>
      </c>
      <c r="W334" s="292">
        <v>114881.16</v>
      </c>
      <c r="X334" s="292">
        <v>124015.79999999999</v>
      </c>
      <c r="Y334" s="292">
        <v>122937.03999999998</v>
      </c>
      <c r="Z334" s="292">
        <v>130586.32</v>
      </c>
      <c r="AA334" s="290">
        <v>133828.52240999998</v>
      </c>
      <c r="AB334" s="285">
        <v>132781.96505</v>
      </c>
      <c r="AC334" s="290">
        <v>9573.43</v>
      </c>
      <c r="AD334" s="192">
        <v>12</v>
      </c>
      <c r="AE334" s="290">
        <v>10000</v>
      </c>
      <c r="AF334" s="194">
        <v>124881.16</v>
      </c>
    </row>
    <row r="335" spans="1:34" s="207" customFormat="1" x14ac:dyDescent="0.3">
      <c r="A335" s="207">
        <v>5832</v>
      </c>
      <c r="B335" s="207">
        <v>81</v>
      </c>
      <c r="C335" s="207">
        <v>3240</v>
      </c>
      <c r="D335" s="207" t="s">
        <v>1402</v>
      </c>
      <c r="E335" s="207">
        <v>6332895</v>
      </c>
      <c r="F335" s="207" t="s">
        <v>1413</v>
      </c>
      <c r="G335" s="305">
        <v>0.5</v>
      </c>
      <c r="H335" s="207">
        <v>3526.43</v>
      </c>
      <c r="I335" s="207">
        <v>194.21</v>
      </c>
      <c r="J335" s="207">
        <v>173.3</v>
      </c>
      <c r="K335" s="207">
        <v>0</v>
      </c>
      <c r="L335" s="207">
        <v>0</v>
      </c>
      <c r="M335" s="207">
        <v>0</v>
      </c>
      <c r="N335" s="207">
        <v>176.5</v>
      </c>
      <c r="O335" s="207">
        <v>4070.44</v>
      </c>
      <c r="P335" s="207">
        <v>20</v>
      </c>
      <c r="Q335" s="207">
        <v>306</v>
      </c>
      <c r="R335" s="207">
        <v>0</v>
      </c>
      <c r="S335" s="285">
        <v>0.16666666666666666</v>
      </c>
      <c r="T335" s="207">
        <v>394.73</v>
      </c>
      <c r="U335" s="306">
        <v>4791.17</v>
      </c>
      <c r="V335" s="306">
        <v>4791.17</v>
      </c>
      <c r="W335" s="307">
        <v>56687.16</v>
      </c>
      <c r="X335" s="307">
        <v>19164.68</v>
      </c>
      <c r="Y335" s="307">
        <v>56404.959999999992</v>
      </c>
      <c r="Z335" s="307">
        <v>62578.22</v>
      </c>
      <c r="AA335" s="305">
        <v>64017.519059999999</v>
      </c>
      <c r="AB335" s="305">
        <v>31758.446649999998</v>
      </c>
      <c r="AC335" s="305">
        <v>4723.93</v>
      </c>
      <c r="AD335" s="207">
        <v>4</v>
      </c>
      <c r="AE335" s="305">
        <v>5000</v>
      </c>
      <c r="AF335" s="208">
        <v>23895.72</v>
      </c>
      <c r="AG335" s="207" t="s">
        <v>1414</v>
      </c>
      <c r="AH335" s="207" t="s">
        <v>1111</v>
      </c>
    </row>
    <row r="336" spans="1:34" x14ac:dyDescent="0.3">
      <c r="A336" s="192">
        <v>5832</v>
      </c>
      <c r="B336" s="192">
        <v>81</v>
      </c>
      <c r="C336" s="192">
        <v>3240</v>
      </c>
      <c r="D336" s="192" t="s">
        <v>1402</v>
      </c>
      <c r="E336" s="192">
        <v>6836832</v>
      </c>
      <c r="F336" s="192" t="s">
        <v>1415</v>
      </c>
      <c r="G336" s="290">
        <v>0.5</v>
      </c>
      <c r="H336" s="192">
        <v>3326.8</v>
      </c>
      <c r="I336" s="192">
        <v>188.52</v>
      </c>
      <c r="J336" s="192">
        <v>173.3</v>
      </c>
      <c r="K336" s="192">
        <v>0</v>
      </c>
      <c r="L336" s="192">
        <v>0</v>
      </c>
      <c r="M336" s="192">
        <v>0</v>
      </c>
      <c r="N336" s="192">
        <v>176.5</v>
      </c>
      <c r="O336" s="192">
        <v>3865.12</v>
      </c>
      <c r="P336" s="192">
        <v>138</v>
      </c>
      <c r="Q336" s="192">
        <v>290.60000000000002</v>
      </c>
      <c r="R336" s="192">
        <v>0</v>
      </c>
      <c r="S336" s="285">
        <v>0.5</v>
      </c>
      <c r="T336" s="192">
        <v>314.24</v>
      </c>
      <c r="U336" s="291">
        <v>4607.96</v>
      </c>
      <c r="V336" s="291">
        <v>4607.96</v>
      </c>
      <c r="W336" s="292">
        <v>73117.680000000008</v>
      </c>
      <c r="X336" s="292">
        <v>55295.520000000004</v>
      </c>
      <c r="Y336" s="292">
        <v>60447.72</v>
      </c>
      <c r="Z336" s="292">
        <v>55373.5</v>
      </c>
      <c r="AA336" s="290">
        <v>58150.419689999995</v>
      </c>
      <c r="AB336" s="285">
        <v>57695.675449999995</v>
      </c>
      <c r="AC336" s="290">
        <v>6093.14</v>
      </c>
      <c r="AD336" s="192">
        <v>12</v>
      </c>
      <c r="AE336" s="290">
        <v>6000</v>
      </c>
      <c r="AF336" s="194">
        <v>79117.680000000008</v>
      </c>
    </row>
    <row r="337" spans="1:34" s="196" customFormat="1" x14ac:dyDescent="0.3">
      <c r="G337" s="288">
        <f>SUM(G324:G336)</f>
        <v>8.34</v>
      </c>
      <c r="H337" s="288">
        <f t="shared" ref="H337:AF337" si="31">SUM(H324:H336)</f>
        <v>53429.670000000006</v>
      </c>
      <c r="I337" s="288">
        <f t="shared" si="31"/>
        <v>4216.74</v>
      </c>
      <c r="J337" s="288">
        <f t="shared" si="31"/>
        <v>2343.7800000000002</v>
      </c>
      <c r="K337" s="288">
        <f t="shared" si="31"/>
        <v>827.96</v>
      </c>
      <c r="L337" s="288">
        <f t="shared" si="31"/>
        <v>0</v>
      </c>
      <c r="M337" s="288">
        <f t="shared" si="31"/>
        <v>0</v>
      </c>
      <c r="N337" s="288">
        <f t="shared" si="31"/>
        <v>2199.8599999999997</v>
      </c>
      <c r="O337" s="288">
        <f t="shared" si="31"/>
        <v>63018.01</v>
      </c>
      <c r="P337" s="288">
        <f t="shared" si="31"/>
        <v>1920</v>
      </c>
      <c r="Q337" s="288">
        <f t="shared" si="31"/>
        <v>4083.9500000000003</v>
      </c>
      <c r="R337" s="288">
        <f t="shared" si="31"/>
        <v>0</v>
      </c>
      <c r="S337" s="288">
        <f t="shared" si="31"/>
        <v>7.0266666666666664</v>
      </c>
      <c r="T337" s="288">
        <f t="shared" si="31"/>
        <v>7765.0199999999986</v>
      </c>
      <c r="U337" s="288">
        <f t="shared" si="31"/>
        <v>76786.98</v>
      </c>
      <c r="V337" s="288">
        <f t="shared" si="31"/>
        <v>76786.98</v>
      </c>
      <c r="W337" s="288">
        <f t="shared" si="31"/>
        <v>915242.28000000014</v>
      </c>
      <c r="X337" s="288">
        <f t="shared" si="31"/>
        <v>782071.32</v>
      </c>
      <c r="Y337" s="288">
        <f t="shared" si="31"/>
        <v>928885.52</v>
      </c>
      <c r="Z337" s="288">
        <f t="shared" si="31"/>
        <v>931746.7899999998</v>
      </c>
      <c r="AA337" s="288">
        <f t="shared" si="31"/>
        <v>847675.68203999987</v>
      </c>
      <c r="AB337" s="288">
        <f t="shared" si="31"/>
        <v>879839.52454999997</v>
      </c>
      <c r="AC337" s="288">
        <f t="shared" si="31"/>
        <v>80189.099999999991</v>
      </c>
      <c r="AD337" s="288">
        <f t="shared" si="31"/>
        <v>132</v>
      </c>
      <c r="AE337" s="288">
        <f t="shared" si="31"/>
        <v>74500</v>
      </c>
      <c r="AF337" s="288">
        <f t="shared" si="31"/>
        <v>886102.76</v>
      </c>
      <c r="AG337" s="288"/>
      <c r="AH337" s="288">
        <v>0</v>
      </c>
    </row>
    <row r="338" spans="1:34" x14ac:dyDescent="0.3">
      <c r="W338" s="292"/>
      <c r="X338" s="292"/>
      <c r="Y338" s="292"/>
      <c r="Z338" s="292"/>
      <c r="AA338" s="290"/>
      <c r="AB338" s="285"/>
      <c r="AC338" s="290"/>
      <c r="AE338" s="290"/>
      <c r="AF338" s="194"/>
    </row>
    <row r="339" spans="1:34" x14ac:dyDescent="0.3">
      <c r="A339" s="192">
        <v>5832</v>
      </c>
      <c r="B339" s="192">
        <v>81</v>
      </c>
      <c r="C339" s="192">
        <v>3250</v>
      </c>
      <c r="D339" s="192" t="s">
        <v>1416</v>
      </c>
      <c r="E339" s="192">
        <v>2212085</v>
      </c>
      <c r="F339" s="192" t="s">
        <v>1417</v>
      </c>
      <c r="G339" s="290">
        <v>0.5</v>
      </c>
      <c r="H339" s="192">
        <v>3389.5</v>
      </c>
      <c r="I339" s="192">
        <v>190.3</v>
      </c>
      <c r="J339" s="192">
        <v>173.3</v>
      </c>
      <c r="K339" s="192">
        <v>0</v>
      </c>
      <c r="L339" s="192">
        <v>0</v>
      </c>
      <c r="M339" s="192">
        <v>0</v>
      </c>
      <c r="N339" s="192">
        <v>176.5</v>
      </c>
      <c r="O339" s="192">
        <v>3929.6</v>
      </c>
      <c r="P339" s="192">
        <v>140</v>
      </c>
      <c r="Q339" s="192">
        <v>295.44</v>
      </c>
      <c r="R339" s="192">
        <v>0</v>
      </c>
      <c r="S339" s="285">
        <v>0.5</v>
      </c>
      <c r="T339" s="192">
        <v>380.88</v>
      </c>
      <c r="U339" s="291">
        <v>4745.92</v>
      </c>
      <c r="V339" s="291">
        <v>4745.92</v>
      </c>
      <c r="W339" s="292">
        <v>51871.319999999992</v>
      </c>
      <c r="X339" s="292">
        <v>56951.040000000001</v>
      </c>
      <c r="Y339" s="292">
        <v>55809.8</v>
      </c>
      <c r="Z339" s="292">
        <v>4591.8</v>
      </c>
      <c r="AA339" s="290">
        <v>0</v>
      </c>
      <c r="AB339" s="285">
        <v>4660.6769999999997</v>
      </c>
      <c r="AC339" s="290">
        <v>3400</v>
      </c>
      <c r="AD339" s="192">
        <v>12</v>
      </c>
      <c r="AE339" s="290">
        <v>3000</v>
      </c>
      <c r="AF339" s="194">
        <v>43800</v>
      </c>
    </row>
    <row r="340" spans="1:34" x14ac:dyDescent="0.3">
      <c r="A340" s="192">
        <v>5832</v>
      </c>
      <c r="B340" s="192">
        <v>81</v>
      </c>
      <c r="C340" s="192">
        <v>3250</v>
      </c>
      <c r="D340" s="192" t="s">
        <v>1416</v>
      </c>
      <c r="E340" s="192">
        <v>2733200</v>
      </c>
      <c r="F340" s="192" t="s">
        <v>1418</v>
      </c>
      <c r="G340" s="290">
        <v>0.9</v>
      </c>
      <c r="H340" s="192">
        <v>6704.11</v>
      </c>
      <c r="I340" s="192">
        <v>361.84</v>
      </c>
      <c r="J340" s="192">
        <v>192.74</v>
      </c>
      <c r="K340" s="192">
        <v>0</v>
      </c>
      <c r="L340" s="192">
        <v>0</v>
      </c>
      <c r="M340" s="192">
        <v>0</v>
      </c>
      <c r="N340" s="192">
        <v>36.5</v>
      </c>
      <c r="O340" s="192">
        <v>7295.19</v>
      </c>
      <c r="P340" s="192">
        <v>299</v>
      </c>
      <c r="Q340" s="192">
        <v>547.92999999999995</v>
      </c>
      <c r="R340" s="192">
        <v>0</v>
      </c>
      <c r="S340" s="285">
        <v>0.9</v>
      </c>
      <c r="T340" s="192">
        <v>1526.95</v>
      </c>
      <c r="U340" s="291">
        <v>9669.07</v>
      </c>
      <c r="V340" s="291">
        <v>9669.07</v>
      </c>
      <c r="W340" s="292">
        <v>107497.79999999999</v>
      </c>
      <c r="X340" s="292">
        <v>116028.84</v>
      </c>
      <c r="Y340" s="292">
        <v>105610.88</v>
      </c>
      <c r="Z340" s="292">
        <v>113142.71</v>
      </c>
      <c r="AA340" s="290">
        <v>116090.09114999998</v>
      </c>
      <c r="AB340" s="285">
        <v>115182.25074999998</v>
      </c>
      <c r="AC340" s="290">
        <v>8958.15</v>
      </c>
      <c r="AD340" s="192">
        <v>12</v>
      </c>
      <c r="AE340" s="290">
        <v>9000</v>
      </c>
      <c r="AF340" s="194">
        <v>116497.79999999999</v>
      </c>
    </row>
    <row r="341" spans="1:34" x14ac:dyDescent="0.3">
      <c r="A341" s="192">
        <v>5832</v>
      </c>
      <c r="B341" s="192">
        <v>81</v>
      </c>
      <c r="C341" s="192">
        <v>3250</v>
      </c>
      <c r="D341" s="192" t="s">
        <v>1416</v>
      </c>
      <c r="E341" s="192">
        <v>2887850</v>
      </c>
      <c r="F341" s="192" t="s">
        <v>1282</v>
      </c>
      <c r="G341" s="290">
        <v>0</v>
      </c>
      <c r="H341" s="192">
        <v>221.25</v>
      </c>
      <c r="I341" s="192">
        <v>0</v>
      </c>
      <c r="J341" s="192">
        <v>0</v>
      </c>
      <c r="K341" s="192">
        <v>0</v>
      </c>
      <c r="L341" s="192">
        <v>0</v>
      </c>
      <c r="M341" s="192">
        <v>0</v>
      </c>
      <c r="N341" s="192">
        <v>0</v>
      </c>
      <c r="O341" s="192">
        <v>221.25</v>
      </c>
      <c r="P341" s="192">
        <v>7.84</v>
      </c>
      <c r="Q341" s="192">
        <v>16.59</v>
      </c>
      <c r="R341" s="192">
        <v>0</v>
      </c>
      <c r="S341" s="285">
        <v>0</v>
      </c>
      <c r="T341" s="192">
        <v>29.87</v>
      </c>
      <c r="U341" s="291">
        <v>275.55</v>
      </c>
      <c r="V341" s="291">
        <v>275.55</v>
      </c>
      <c r="W341" s="292">
        <v>0</v>
      </c>
      <c r="X341" s="292">
        <v>3306.6000000000004</v>
      </c>
      <c r="Y341" s="292">
        <v>13192.8</v>
      </c>
      <c r="Z341" s="292">
        <v>0</v>
      </c>
      <c r="AA341" s="290">
        <v>0</v>
      </c>
      <c r="AB341" s="285">
        <v>0</v>
      </c>
      <c r="AC341" s="290">
        <v>3400</v>
      </c>
      <c r="AD341" s="192">
        <v>12</v>
      </c>
      <c r="AE341" s="290">
        <v>3000</v>
      </c>
      <c r="AF341" s="194">
        <v>43800</v>
      </c>
    </row>
    <row r="342" spans="1:34" x14ac:dyDescent="0.3">
      <c r="A342" s="192">
        <v>5832</v>
      </c>
      <c r="B342" s="192">
        <v>81</v>
      </c>
      <c r="C342" s="192">
        <v>3250</v>
      </c>
      <c r="D342" s="192" t="s">
        <v>1416</v>
      </c>
      <c r="E342" s="192">
        <v>5268037</v>
      </c>
      <c r="F342" s="192" t="s">
        <v>1419</v>
      </c>
      <c r="G342" s="290">
        <v>0.9</v>
      </c>
      <c r="H342" s="192">
        <v>5562.11</v>
      </c>
      <c r="I342" s="192">
        <v>338.01</v>
      </c>
      <c r="J342" s="192">
        <v>192.74</v>
      </c>
      <c r="K342" s="192">
        <v>0</v>
      </c>
      <c r="L342" s="192">
        <v>0</v>
      </c>
      <c r="M342" s="192">
        <v>0</v>
      </c>
      <c r="N342" s="192">
        <v>321.8</v>
      </c>
      <c r="O342" s="192">
        <v>6414.66</v>
      </c>
      <c r="P342" s="192">
        <v>231</v>
      </c>
      <c r="Q342" s="192">
        <v>481.1</v>
      </c>
      <c r="R342" s="192">
        <v>0</v>
      </c>
      <c r="S342" s="285">
        <v>0.9</v>
      </c>
      <c r="T342" s="192">
        <v>1268.74</v>
      </c>
      <c r="U342" s="291">
        <v>8395.5</v>
      </c>
      <c r="V342" s="291">
        <v>8395.5</v>
      </c>
      <c r="W342" s="292">
        <v>99172.44</v>
      </c>
      <c r="X342" s="292">
        <v>100746</v>
      </c>
      <c r="Y342" s="292">
        <v>98103.72</v>
      </c>
      <c r="Z342" s="292">
        <v>103148.93</v>
      </c>
      <c r="AA342" s="290">
        <v>105577.56924</v>
      </c>
      <c r="AB342" s="285">
        <v>104751.93819999999</v>
      </c>
      <c r="AC342" s="290">
        <v>8264.3700000000008</v>
      </c>
      <c r="AD342" s="192">
        <v>12</v>
      </c>
      <c r="AE342" s="290">
        <v>8000</v>
      </c>
      <c r="AF342" s="194">
        <v>107172.44</v>
      </c>
    </row>
    <row r="343" spans="1:34" x14ac:dyDescent="0.3">
      <c r="A343" s="192">
        <v>5832</v>
      </c>
      <c r="B343" s="192">
        <v>81</v>
      </c>
      <c r="C343" s="192">
        <v>3250</v>
      </c>
      <c r="D343" s="192" t="s">
        <v>1416</v>
      </c>
      <c r="E343" s="192">
        <v>5618651</v>
      </c>
      <c r="F343" s="192" t="s">
        <v>1420</v>
      </c>
      <c r="G343" s="290">
        <v>0.5</v>
      </c>
      <c r="H343" s="192">
        <v>3234.8</v>
      </c>
      <c r="I343" s="192">
        <v>189.09</v>
      </c>
      <c r="J343" s="192">
        <v>170.26</v>
      </c>
      <c r="K343" s="192">
        <v>0</v>
      </c>
      <c r="L343" s="192">
        <v>0</v>
      </c>
      <c r="M343" s="192">
        <v>0</v>
      </c>
      <c r="N343" s="192">
        <v>176.5</v>
      </c>
      <c r="O343" s="192">
        <v>3770.65</v>
      </c>
      <c r="P343" s="192">
        <v>0</v>
      </c>
      <c r="Q343" s="192">
        <v>0</v>
      </c>
      <c r="R343" s="192">
        <v>0</v>
      </c>
      <c r="S343" s="285">
        <v>0.5</v>
      </c>
      <c r="T343" s="192">
        <v>30.34</v>
      </c>
      <c r="U343" s="291">
        <v>3800.99</v>
      </c>
      <c r="V343" s="291">
        <v>3800.99</v>
      </c>
      <c r="W343" s="292">
        <v>42253.08</v>
      </c>
      <c r="X343" s="292">
        <v>45611.88</v>
      </c>
      <c r="Y343" s="292">
        <v>43509.72</v>
      </c>
      <c r="Z343" s="292">
        <v>59667.13</v>
      </c>
      <c r="AA343" s="290">
        <v>61023.781169999995</v>
      </c>
      <c r="AB343" s="285">
        <v>60546.566849999996</v>
      </c>
      <c r="AC343" s="290">
        <v>3200</v>
      </c>
      <c r="AD343" s="192">
        <v>12</v>
      </c>
      <c r="AE343" s="290">
        <v>3000</v>
      </c>
      <c r="AF343" s="194">
        <v>41400</v>
      </c>
    </row>
    <row r="344" spans="1:34" x14ac:dyDescent="0.3">
      <c r="A344" s="192">
        <v>5832</v>
      </c>
      <c r="B344" s="192">
        <v>81</v>
      </c>
      <c r="C344" s="192">
        <v>3250</v>
      </c>
      <c r="D344" s="192" t="s">
        <v>1416</v>
      </c>
      <c r="E344" s="192">
        <v>5663730</v>
      </c>
      <c r="F344" s="192" t="s">
        <v>1421</v>
      </c>
      <c r="G344" s="290">
        <v>0.5</v>
      </c>
      <c r="H344" s="192">
        <v>3097.86</v>
      </c>
      <c r="I344" s="192">
        <v>181.14</v>
      </c>
      <c r="J344" s="192">
        <v>173.3</v>
      </c>
      <c r="K344" s="192">
        <v>0</v>
      </c>
      <c r="L344" s="192">
        <v>0</v>
      </c>
      <c r="M344" s="192">
        <v>0</v>
      </c>
      <c r="N344" s="192">
        <v>176.5</v>
      </c>
      <c r="O344" s="192">
        <v>3628.8</v>
      </c>
      <c r="P344" s="192">
        <v>129</v>
      </c>
      <c r="Q344" s="192">
        <v>272.16000000000003</v>
      </c>
      <c r="R344" s="192">
        <v>0</v>
      </c>
      <c r="S344" s="285">
        <v>0.5</v>
      </c>
      <c r="T344" s="192">
        <v>756.53</v>
      </c>
      <c r="U344" s="291">
        <v>4786.49</v>
      </c>
      <c r="V344" s="291">
        <v>4786.49</v>
      </c>
      <c r="W344" s="292">
        <v>6613.08</v>
      </c>
      <c r="X344" s="292">
        <v>57437.88</v>
      </c>
      <c r="Y344" s="292">
        <v>2204.36</v>
      </c>
      <c r="Z344" s="292">
        <v>62018.32</v>
      </c>
      <c r="AA344" s="290">
        <v>63627.500309999996</v>
      </c>
      <c r="AB344" s="285">
        <v>63129.924549999996</v>
      </c>
      <c r="AC344" s="290">
        <v>5447.81</v>
      </c>
      <c r="AD344" s="192">
        <v>12</v>
      </c>
      <c r="AE344" s="290">
        <v>5400</v>
      </c>
      <c r="AF344" s="194">
        <v>70773.72</v>
      </c>
    </row>
    <row r="345" spans="1:34" x14ac:dyDescent="0.3">
      <c r="A345" s="192">
        <v>5832</v>
      </c>
      <c r="B345" s="192">
        <v>81</v>
      </c>
      <c r="C345" s="192">
        <v>3250</v>
      </c>
      <c r="D345" s="192" t="s">
        <v>1416</v>
      </c>
      <c r="E345" s="192">
        <v>5842717</v>
      </c>
      <c r="F345" s="192" t="s">
        <v>1422</v>
      </c>
      <c r="G345" s="290">
        <v>0.9</v>
      </c>
      <c r="H345" s="192">
        <v>6358.88</v>
      </c>
      <c r="I345" s="192">
        <v>2085.14</v>
      </c>
      <c r="J345" s="192">
        <v>192.74</v>
      </c>
      <c r="K345" s="192">
        <v>0</v>
      </c>
      <c r="L345" s="192">
        <v>0</v>
      </c>
      <c r="M345" s="192">
        <v>0</v>
      </c>
      <c r="N345" s="192">
        <v>223.5</v>
      </c>
      <c r="O345" s="192">
        <v>8860.26</v>
      </c>
      <c r="P345" s="192">
        <v>417</v>
      </c>
      <c r="Q345" s="192">
        <v>665.31</v>
      </c>
      <c r="R345" s="192">
        <v>0</v>
      </c>
      <c r="S345" s="285">
        <v>0.9</v>
      </c>
      <c r="T345" s="192">
        <v>886.99</v>
      </c>
      <c r="U345" s="291">
        <v>10829.56</v>
      </c>
      <c r="V345" s="291">
        <v>10829.56</v>
      </c>
      <c r="W345" s="292">
        <v>132837.72</v>
      </c>
      <c r="X345" s="292">
        <v>129954.72</v>
      </c>
      <c r="Y345" s="292">
        <v>131636.28</v>
      </c>
      <c r="Z345" s="292">
        <v>144448.97</v>
      </c>
      <c r="AA345" s="290">
        <v>148689.01937999998</v>
      </c>
      <c r="AB345" s="285">
        <v>147526.25089999998</v>
      </c>
      <c r="AC345" s="290">
        <v>11069.81</v>
      </c>
      <c r="AD345" s="192">
        <v>12</v>
      </c>
      <c r="AE345" s="290">
        <v>8000</v>
      </c>
      <c r="AF345" s="194">
        <v>140837.72</v>
      </c>
    </row>
    <row r="346" spans="1:34" x14ac:dyDescent="0.3">
      <c r="A346" s="192">
        <v>5832</v>
      </c>
      <c r="B346" s="192">
        <v>81</v>
      </c>
      <c r="C346" s="192">
        <v>3250</v>
      </c>
      <c r="D346" s="192" t="s">
        <v>1416</v>
      </c>
      <c r="E346" s="192">
        <v>6833620</v>
      </c>
      <c r="F346" s="192" t="s">
        <v>1423</v>
      </c>
      <c r="G346" s="290">
        <v>0.5</v>
      </c>
      <c r="H346" s="192">
        <v>4414.68</v>
      </c>
      <c r="I346" s="192">
        <v>193.17</v>
      </c>
      <c r="J346" s="192">
        <v>173.3</v>
      </c>
      <c r="K346" s="192">
        <v>0</v>
      </c>
      <c r="L346" s="192">
        <v>0</v>
      </c>
      <c r="M346" s="192">
        <v>0</v>
      </c>
      <c r="N346" s="192">
        <v>176.5</v>
      </c>
      <c r="O346" s="192">
        <v>4957.6499999999996</v>
      </c>
      <c r="P346" s="192">
        <v>24</v>
      </c>
      <c r="Q346" s="192">
        <v>372.54</v>
      </c>
      <c r="R346" s="192">
        <v>0</v>
      </c>
      <c r="S346" s="285">
        <v>0.5</v>
      </c>
      <c r="T346" s="192">
        <v>519.57000000000005</v>
      </c>
      <c r="U346" s="291">
        <v>5873.76</v>
      </c>
      <c r="V346" s="291">
        <v>5873.76</v>
      </c>
      <c r="W346" s="292">
        <v>54021.479999999996</v>
      </c>
      <c r="X346" s="292">
        <v>70485.119999999995</v>
      </c>
      <c r="Y346" s="292">
        <v>63381.72</v>
      </c>
      <c r="Z346" s="292">
        <v>78604.34</v>
      </c>
      <c r="AA346" s="290">
        <v>80037.566069999986</v>
      </c>
      <c r="AB346" s="285">
        <v>79411.661349999995</v>
      </c>
      <c r="AC346" s="290">
        <v>4501.79</v>
      </c>
      <c r="AD346" s="192">
        <v>12</v>
      </c>
      <c r="AE346" s="290">
        <v>4500</v>
      </c>
      <c r="AF346" s="194">
        <v>58521.479999999996</v>
      </c>
    </row>
    <row r="347" spans="1:34" x14ac:dyDescent="0.3">
      <c r="A347" s="192">
        <v>5832</v>
      </c>
      <c r="B347" s="192">
        <v>81</v>
      </c>
      <c r="C347" s="192">
        <v>3250</v>
      </c>
      <c r="D347" s="192" t="s">
        <v>1416</v>
      </c>
      <c r="E347" s="192">
        <v>6862826</v>
      </c>
      <c r="F347" s="192" t="s">
        <v>1424</v>
      </c>
      <c r="G347" s="290">
        <v>1</v>
      </c>
      <c r="H347" s="192">
        <v>7165.97</v>
      </c>
      <c r="I347" s="192">
        <v>1561.11</v>
      </c>
      <c r="J347" s="192">
        <v>197.6</v>
      </c>
      <c r="K347" s="192">
        <v>255.68</v>
      </c>
      <c r="L347" s="192">
        <v>0</v>
      </c>
      <c r="M347" s="192">
        <v>0</v>
      </c>
      <c r="N347" s="192">
        <v>36.5</v>
      </c>
      <c r="O347" s="192">
        <v>9216.86</v>
      </c>
      <c r="P347" s="192">
        <v>444</v>
      </c>
      <c r="Q347" s="192">
        <v>691.26</v>
      </c>
      <c r="R347" s="192">
        <v>0</v>
      </c>
      <c r="S347" s="285">
        <v>1</v>
      </c>
      <c r="T347" s="192">
        <v>882.87</v>
      </c>
      <c r="U347" s="291">
        <v>11234.99</v>
      </c>
      <c r="V347" s="291">
        <v>11234.99</v>
      </c>
      <c r="W347" s="292">
        <v>130176.59999999999</v>
      </c>
      <c r="X347" s="292">
        <v>134819.88</v>
      </c>
      <c r="Y347" s="292">
        <v>132976.95999999999</v>
      </c>
      <c r="Z347" s="292">
        <v>138572.35999999999</v>
      </c>
      <c r="AA347" s="290">
        <v>142216.59044999999</v>
      </c>
      <c r="AB347" s="285">
        <v>141104.43724999999</v>
      </c>
      <c r="AC347" s="290">
        <v>10100</v>
      </c>
      <c r="AD347" s="192">
        <v>12</v>
      </c>
      <c r="AE347" s="290">
        <v>10000</v>
      </c>
      <c r="AF347" s="194">
        <v>131200</v>
      </c>
    </row>
    <row r="348" spans="1:34" s="196" customFormat="1" x14ac:dyDescent="0.3">
      <c r="G348" s="288">
        <f>SUM(G339:G347)</f>
        <v>5.7</v>
      </c>
      <c r="H348" s="288">
        <f t="shared" ref="H348:AF348" si="32">SUM(H339:H347)</f>
        <v>40149.160000000003</v>
      </c>
      <c r="I348" s="288">
        <f t="shared" si="32"/>
        <v>5099.8</v>
      </c>
      <c r="J348" s="288">
        <f t="shared" si="32"/>
        <v>1465.9799999999998</v>
      </c>
      <c r="K348" s="288">
        <f t="shared" si="32"/>
        <v>255.68</v>
      </c>
      <c r="L348" s="288">
        <f t="shared" si="32"/>
        <v>0</v>
      </c>
      <c r="M348" s="288">
        <f t="shared" si="32"/>
        <v>0</v>
      </c>
      <c r="N348" s="288">
        <f t="shared" si="32"/>
        <v>1324.3</v>
      </c>
      <c r="O348" s="288">
        <f t="shared" si="32"/>
        <v>48294.92</v>
      </c>
      <c r="P348" s="288">
        <f t="shared" si="32"/>
        <v>1691.84</v>
      </c>
      <c r="Q348" s="288">
        <f t="shared" si="32"/>
        <v>3342.33</v>
      </c>
      <c r="R348" s="288">
        <f t="shared" si="32"/>
        <v>0</v>
      </c>
      <c r="S348" s="288">
        <f t="shared" si="32"/>
        <v>5.7</v>
      </c>
      <c r="T348" s="288">
        <f t="shared" si="32"/>
        <v>6282.7399999999989</v>
      </c>
      <c r="U348" s="288">
        <f t="shared" si="32"/>
        <v>59611.829999999994</v>
      </c>
      <c r="V348" s="288">
        <f t="shared" si="32"/>
        <v>59611.829999999994</v>
      </c>
      <c r="W348" s="288">
        <f t="shared" si="32"/>
        <v>624443.52</v>
      </c>
      <c r="X348" s="288">
        <f t="shared" si="32"/>
        <v>715341.96</v>
      </c>
      <c r="Y348" s="288">
        <f t="shared" si="32"/>
        <v>646426.23999999987</v>
      </c>
      <c r="Z348" s="288">
        <f t="shared" si="32"/>
        <v>704194.55999999994</v>
      </c>
      <c r="AA348" s="288">
        <f t="shared" si="32"/>
        <v>717262.1177699999</v>
      </c>
      <c r="AB348" s="288">
        <f t="shared" si="32"/>
        <v>716313.70684999984</v>
      </c>
      <c r="AC348" s="288">
        <f t="shared" si="32"/>
        <v>58341.93</v>
      </c>
      <c r="AD348" s="288">
        <f t="shared" si="32"/>
        <v>108</v>
      </c>
      <c r="AE348" s="288">
        <f t="shared" si="32"/>
        <v>53900</v>
      </c>
      <c r="AF348" s="288">
        <f t="shared" si="32"/>
        <v>754003.15999999992</v>
      </c>
      <c r="AG348" s="288"/>
      <c r="AH348" s="288">
        <v>0</v>
      </c>
    </row>
    <row r="349" spans="1:34" x14ac:dyDescent="0.3">
      <c r="W349" s="292"/>
      <c r="X349" s="292"/>
      <c r="Y349" s="292"/>
      <c r="Z349" s="292"/>
      <c r="AA349" s="290"/>
      <c r="AB349" s="285"/>
      <c r="AC349" s="290"/>
      <c r="AE349" s="290"/>
      <c r="AF349" s="194"/>
    </row>
    <row r="350" spans="1:34" x14ac:dyDescent="0.3">
      <c r="A350" s="192">
        <v>5832</v>
      </c>
      <c r="B350" s="192">
        <v>81</v>
      </c>
      <c r="C350" s="192">
        <v>3240</v>
      </c>
      <c r="D350" s="192" t="s">
        <v>1425</v>
      </c>
      <c r="E350" s="192">
        <v>2528081</v>
      </c>
      <c r="F350" s="192" t="s">
        <v>1406</v>
      </c>
      <c r="G350" s="290">
        <v>0.5</v>
      </c>
      <c r="H350" s="192">
        <v>3790.26</v>
      </c>
      <c r="I350" s="192">
        <v>223.37</v>
      </c>
      <c r="J350" s="192">
        <v>178.16</v>
      </c>
      <c r="K350" s="192">
        <v>0</v>
      </c>
      <c r="L350" s="192">
        <v>0</v>
      </c>
      <c r="M350" s="192">
        <v>0</v>
      </c>
      <c r="N350" s="192">
        <v>566.29999999999995</v>
      </c>
      <c r="O350" s="192">
        <v>4758.09</v>
      </c>
      <c r="P350" s="192">
        <v>164</v>
      </c>
      <c r="Q350" s="192">
        <v>356.86</v>
      </c>
      <c r="R350" s="192">
        <v>0</v>
      </c>
      <c r="S350" s="285">
        <v>0.16666666666666666</v>
      </c>
      <c r="T350" s="192">
        <v>870.79</v>
      </c>
      <c r="U350" s="291">
        <v>6149.74</v>
      </c>
      <c r="V350" s="291">
        <v>6149.74</v>
      </c>
      <c r="W350" s="292">
        <v>72236.040000000008</v>
      </c>
      <c r="X350" s="292">
        <v>24598.959999999999</v>
      </c>
      <c r="Y350" s="292">
        <v>73552.56</v>
      </c>
      <c r="Z350" s="292">
        <v>73313.03</v>
      </c>
      <c r="AA350" s="290">
        <v>74430.574679999991</v>
      </c>
      <c r="AB350" s="285">
        <v>73848.517399999997</v>
      </c>
      <c r="AC350" s="290">
        <v>6019.67</v>
      </c>
      <c r="AD350" s="192">
        <v>4</v>
      </c>
      <c r="AE350" s="290">
        <v>-3000</v>
      </c>
      <c r="AF350" s="194">
        <v>21078.68</v>
      </c>
      <c r="AG350" s="192" t="s">
        <v>2204</v>
      </c>
    </row>
    <row r="351" spans="1:34" x14ac:dyDescent="0.3">
      <c r="A351" s="192">
        <v>5832</v>
      </c>
      <c r="B351" s="192">
        <v>81</v>
      </c>
      <c r="C351" s="192">
        <v>3260</v>
      </c>
      <c r="D351" s="192" t="s">
        <v>1425</v>
      </c>
      <c r="E351" s="192">
        <v>5547743</v>
      </c>
      <c r="F351" s="192" t="s">
        <v>1426</v>
      </c>
      <c r="G351" s="290">
        <v>1</v>
      </c>
      <c r="H351" s="192">
        <v>7783.57</v>
      </c>
      <c r="I351" s="192">
        <v>563.95000000000005</v>
      </c>
      <c r="J351" s="192">
        <v>197.6</v>
      </c>
      <c r="K351" s="192">
        <v>0</v>
      </c>
      <c r="L351" s="192">
        <v>0</v>
      </c>
      <c r="M351" s="192">
        <v>0</v>
      </c>
      <c r="N351" s="192">
        <v>503.5</v>
      </c>
      <c r="O351" s="192">
        <v>9048.6200000000008</v>
      </c>
      <c r="P351" s="192">
        <v>432</v>
      </c>
      <c r="Q351" s="192">
        <v>679.53</v>
      </c>
      <c r="R351" s="192">
        <v>0</v>
      </c>
      <c r="S351" s="285">
        <v>1</v>
      </c>
      <c r="T351" s="192">
        <v>837.9</v>
      </c>
      <c r="U351" s="291">
        <v>10998.05</v>
      </c>
      <c r="V351" s="291">
        <v>10998.05</v>
      </c>
      <c r="W351" s="292">
        <v>145466.40000000002</v>
      </c>
      <c r="X351" s="292">
        <v>131976.59999999998</v>
      </c>
      <c r="Y351" s="292">
        <v>134911.96</v>
      </c>
      <c r="Z351" s="292">
        <v>144880.87</v>
      </c>
      <c r="AA351" s="290">
        <v>149416.77135</v>
      </c>
      <c r="AB351" s="285">
        <v>148248.31174999999</v>
      </c>
      <c r="AC351" s="290">
        <v>12122.2</v>
      </c>
      <c r="AD351" s="192">
        <v>12</v>
      </c>
      <c r="AE351" s="290">
        <v>12000</v>
      </c>
      <c r="AF351" s="194">
        <v>157466.40000000002</v>
      </c>
    </row>
    <row r="352" spans="1:34" x14ac:dyDescent="0.3">
      <c r="A352" s="192">
        <v>5832</v>
      </c>
      <c r="B352" s="192">
        <v>81</v>
      </c>
      <c r="C352" s="192">
        <v>3260</v>
      </c>
      <c r="D352" s="192" t="s">
        <v>1425</v>
      </c>
      <c r="E352" s="192">
        <v>5586165</v>
      </c>
      <c r="F352" s="192" t="s">
        <v>1427</v>
      </c>
      <c r="G352" s="290">
        <v>0.7</v>
      </c>
      <c r="H352" s="192">
        <v>6083.47</v>
      </c>
      <c r="I352" s="192">
        <v>253.76</v>
      </c>
      <c r="J352" s="192">
        <v>178.77</v>
      </c>
      <c r="K352" s="192">
        <v>0</v>
      </c>
      <c r="L352" s="192">
        <v>0</v>
      </c>
      <c r="M352" s="192">
        <v>0</v>
      </c>
      <c r="N352" s="192">
        <v>232.5</v>
      </c>
      <c r="O352" s="192">
        <v>6748.5</v>
      </c>
      <c r="P352" s="192">
        <v>256</v>
      </c>
      <c r="Q352" s="192">
        <v>506.14</v>
      </c>
      <c r="R352" s="192">
        <v>0</v>
      </c>
      <c r="S352" s="285">
        <v>0.69999999999999984</v>
      </c>
      <c r="T352" s="192">
        <v>1418.11</v>
      </c>
      <c r="U352" s="291">
        <v>8928.75</v>
      </c>
      <c r="V352" s="291">
        <v>8928.75</v>
      </c>
      <c r="W352" s="292">
        <v>31980.48</v>
      </c>
      <c r="X352" s="292">
        <v>107145</v>
      </c>
      <c r="Y352" s="292">
        <v>21542.6</v>
      </c>
      <c r="Z352" s="311">
        <v>89957.45</v>
      </c>
      <c r="AA352" s="290">
        <v>904.77188999999998</v>
      </c>
      <c r="AB352" s="285">
        <v>897.69645000000003</v>
      </c>
      <c r="AC352" s="290">
        <v>6300</v>
      </c>
      <c r="AD352" s="192">
        <v>12</v>
      </c>
      <c r="AE352" s="290">
        <v>6000</v>
      </c>
      <c r="AF352" s="194">
        <v>81600</v>
      </c>
    </row>
    <row r="353" spans="1:34" x14ac:dyDescent="0.3">
      <c r="A353" s="192">
        <v>5832</v>
      </c>
      <c r="B353" s="192">
        <v>81</v>
      </c>
      <c r="C353" s="192">
        <v>3260</v>
      </c>
      <c r="D353" s="192" t="s">
        <v>1425</v>
      </c>
      <c r="E353" s="192">
        <v>6665997</v>
      </c>
      <c r="F353" s="192" t="s">
        <v>1428</v>
      </c>
      <c r="G353" s="290">
        <v>0.5</v>
      </c>
      <c r="H353" s="192">
        <v>6253.86</v>
      </c>
      <c r="I353" s="192">
        <v>181.67</v>
      </c>
      <c r="J353" s="192">
        <v>173.3</v>
      </c>
      <c r="K353" s="192">
        <v>142.05000000000001</v>
      </c>
      <c r="L353" s="192">
        <v>0</v>
      </c>
      <c r="M353" s="192">
        <v>0</v>
      </c>
      <c r="N353" s="192">
        <v>36.5</v>
      </c>
      <c r="O353" s="192">
        <v>6787.38</v>
      </c>
      <c r="P353" s="192">
        <v>259</v>
      </c>
      <c r="Q353" s="192">
        <v>509.05</v>
      </c>
      <c r="R353" s="192">
        <v>0</v>
      </c>
      <c r="S353" s="285">
        <v>0.5</v>
      </c>
      <c r="T353" s="192">
        <v>1391.46</v>
      </c>
      <c r="U353" s="291">
        <v>8946.89</v>
      </c>
      <c r="V353" s="291">
        <v>8946.89</v>
      </c>
      <c r="W353" s="292">
        <v>0</v>
      </c>
      <c r="X353" s="292">
        <v>107362.68</v>
      </c>
      <c r="Y353" s="292">
        <v>57136.6</v>
      </c>
      <c r="Z353" s="292">
        <v>11542.67</v>
      </c>
      <c r="AA353" s="290">
        <v>0</v>
      </c>
      <c r="AB353" s="285">
        <v>11715.810049999998</v>
      </c>
      <c r="AC353" s="290">
        <v>5300</v>
      </c>
      <c r="AD353" s="192">
        <v>12</v>
      </c>
      <c r="AE353" s="290">
        <v>5000</v>
      </c>
      <c r="AF353" s="194">
        <v>68600</v>
      </c>
      <c r="AG353" s="192" t="s">
        <v>1429</v>
      </c>
    </row>
    <row r="354" spans="1:34" s="196" customFormat="1" x14ac:dyDescent="0.3">
      <c r="G354" s="288">
        <f>SUM(G350:G353)</f>
        <v>2.7</v>
      </c>
      <c r="H354" s="288">
        <f t="shared" ref="H354:AE354" si="33">SUM(H350:H353)</f>
        <v>23911.16</v>
      </c>
      <c r="I354" s="288">
        <f t="shared" si="33"/>
        <v>1222.75</v>
      </c>
      <c r="J354" s="288">
        <f t="shared" si="33"/>
        <v>727.82999999999993</v>
      </c>
      <c r="K354" s="288">
        <f t="shared" si="33"/>
        <v>142.05000000000001</v>
      </c>
      <c r="L354" s="288">
        <f t="shared" si="33"/>
        <v>0</v>
      </c>
      <c r="M354" s="288">
        <f t="shared" si="33"/>
        <v>0</v>
      </c>
      <c r="N354" s="288">
        <f t="shared" si="33"/>
        <v>1338.8</v>
      </c>
      <c r="O354" s="288">
        <f t="shared" si="33"/>
        <v>27342.59</v>
      </c>
      <c r="P354" s="288">
        <f t="shared" si="33"/>
        <v>1111</v>
      </c>
      <c r="Q354" s="288">
        <f t="shared" si="33"/>
        <v>2051.58</v>
      </c>
      <c r="R354" s="288">
        <f t="shared" si="33"/>
        <v>0</v>
      </c>
      <c r="S354" s="288">
        <f t="shared" si="33"/>
        <v>2.3666666666666667</v>
      </c>
      <c r="T354" s="288">
        <f t="shared" si="33"/>
        <v>4518.26</v>
      </c>
      <c r="U354" s="288">
        <f t="shared" si="33"/>
        <v>35023.43</v>
      </c>
      <c r="V354" s="288">
        <f t="shared" si="33"/>
        <v>35023.43</v>
      </c>
      <c r="W354" s="288">
        <f t="shared" si="33"/>
        <v>249682.92000000004</v>
      </c>
      <c r="X354" s="288">
        <f t="shared" si="33"/>
        <v>371083.23999999993</v>
      </c>
      <c r="Y354" s="288">
        <f t="shared" si="33"/>
        <v>287143.71999999997</v>
      </c>
      <c r="Z354" s="288">
        <f t="shared" si="33"/>
        <v>319694.01999999996</v>
      </c>
      <c r="AA354" s="288">
        <f t="shared" si="33"/>
        <v>224752.11791999999</v>
      </c>
      <c r="AB354" s="288">
        <f t="shared" si="33"/>
        <v>234710.33564999999</v>
      </c>
      <c r="AC354" s="288">
        <f t="shared" si="33"/>
        <v>29741.870000000003</v>
      </c>
      <c r="AD354" s="288">
        <f t="shared" si="33"/>
        <v>40</v>
      </c>
      <c r="AE354" s="288">
        <f t="shared" si="33"/>
        <v>20000</v>
      </c>
      <c r="AF354" s="288">
        <f>SUM(AF350:AF353)</f>
        <v>328745.08</v>
      </c>
      <c r="AG354" s="288" t="s">
        <v>1430</v>
      </c>
      <c r="AH354" s="288">
        <v>0</v>
      </c>
    </row>
    <row r="355" spans="1:34" x14ac:dyDescent="0.3">
      <c r="W355" s="292"/>
      <c r="X355" s="292"/>
      <c r="Y355" s="292"/>
      <c r="Z355" s="292"/>
      <c r="AA355" s="290"/>
      <c r="AB355" s="285"/>
      <c r="AC355" s="290"/>
      <c r="AE355" s="290"/>
      <c r="AF355" s="194"/>
    </row>
    <row r="356" spans="1:34" x14ac:dyDescent="0.3">
      <c r="A356" s="192">
        <v>5832</v>
      </c>
      <c r="B356" s="192">
        <v>81</v>
      </c>
      <c r="C356" s="192">
        <v>3270</v>
      </c>
      <c r="D356" s="192" t="s">
        <v>1431</v>
      </c>
      <c r="E356" s="192">
        <v>2273576</v>
      </c>
      <c r="F356" s="192" t="s">
        <v>1432</v>
      </c>
      <c r="G356" s="290">
        <v>0.76</v>
      </c>
      <c r="H356" s="192">
        <v>5080.88</v>
      </c>
      <c r="I356" s="192">
        <v>287.22000000000003</v>
      </c>
      <c r="J356" s="192">
        <v>185.94</v>
      </c>
      <c r="K356" s="192">
        <v>0</v>
      </c>
      <c r="L356" s="192">
        <v>0</v>
      </c>
      <c r="M356" s="192">
        <v>0</v>
      </c>
      <c r="N356" s="192">
        <v>36.5</v>
      </c>
      <c r="O356" s="192">
        <v>5590.54</v>
      </c>
      <c r="P356" s="192">
        <v>199</v>
      </c>
      <c r="Q356" s="192">
        <v>420.05</v>
      </c>
      <c r="R356" s="192">
        <v>0</v>
      </c>
      <c r="S356" s="285">
        <v>0.76000000000000012</v>
      </c>
      <c r="T356" s="192">
        <v>442.88</v>
      </c>
      <c r="U356" s="291">
        <v>6652.47</v>
      </c>
      <c r="V356" s="291">
        <v>6652.47</v>
      </c>
      <c r="W356" s="292">
        <v>78633.72</v>
      </c>
      <c r="X356" s="292">
        <v>79829.64</v>
      </c>
      <c r="Y356" s="292">
        <v>78242.080000000002</v>
      </c>
      <c r="Z356" s="292">
        <v>82010.570000000007</v>
      </c>
      <c r="AA356" s="290">
        <v>84055.367879999991</v>
      </c>
      <c r="AB356" s="285">
        <v>83398.043399999995</v>
      </c>
      <c r="AC356" s="290">
        <v>6552.81</v>
      </c>
      <c r="AD356" s="192">
        <v>12</v>
      </c>
      <c r="AE356" s="290">
        <v>6500</v>
      </c>
      <c r="AF356" s="194">
        <v>85133.72</v>
      </c>
    </row>
    <row r="357" spans="1:34" x14ac:dyDescent="0.3">
      <c r="A357" s="192">
        <v>5832</v>
      </c>
      <c r="B357" s="192">
        <v>81</v>
      </c>
      <c r="C357" s="192">
        <v>3270</v>
      </c>
      <c r="D357" s="192" t="s">
        <v>1431</v>
      </c>
      <c r="E357" s="192">
        <v>2458646</v>
      </c>
      <c r="F357" s="192" t="s">
        <v>1433</v>
      </c>
      <c r="G357" s="290">
        <v>1</v>
      </c>
      <c r="H357" s="192">
        <v>6251.25</v>
      </c>
      <c r="I357" s="192">
        <v>1477.85</v>
      </c>
      <c r="J357" s="192">
        <v>197.6</v>
      </c>
      <c r="K357" s="192">
        <v>284.08999999999997</v>
      </c>
      <c r="L357" s="192">
        <v>0</v>
      </c>
      <c r="M357" s="192">
        <v>0</v>
      </c>
      <c r="N357" s="192">
        <v>0</v>
      </c>
      <c r="O357" s="192">
        <v>8210.7900000000009</v>
      </c>
      <c r="P357" s="192">
        <v>368</v>
      </c>
      <c r="Q357" s="192">
        <v>615.80999999999995</v>
      </c>
      <c r="R357" s="192">
        <v>0</v>
      </c>
      <c r="S357" s="285">
        <v>1</v>
      </c>
      <c r="T357" s="192">
        <v>1592.97</v>
      </c>
      <c r="U357" s="291">
        <v>10787.57</v>
      </c>
      <c r="V357" s="291">
        <v>10787.57</v>
      </c>
      <c r="W357" s="292">
        <v>125925.72</v>
      </c>
      <c r="X357" s="292">
        <v>129450.84</v>
      </c>
      <c r="Y357" s="292">
        <v>127540.32</v>
      </c>
      <c r="Z357" s="292">
        <v>133833.60999999999</v>
      </c>
      <c r="AA357" s="290">
        <v>137103.77966999999</v>
      </c>
      <c r="AB357" s="285">
        <v>136031.60934999998</v>
      </c>
      <c r="AC357" s="290">
        <v>10493.81</v>
      </c>
      <c r="AD357" s="192">
        <v>12</v>
      </c>
      <c r="AE357" s="290">
        <v>10000</v>
      </c>
      <c r="AF357" s="194">
        <v>135925.72</v>
      </c>
    </row>
    <row r="358" spans="1:34" x14ac:dyDescent="0.3">
      <c r="A358" s="192">
        <v>5832</v>
      </c>
      <c r="B358" s="192">
        <v>81</v>
      </c>
      <c r="C358" s="192">
        <v>3270</v>
      </c>
      <c r="D358" s="192" t="s">
        <v>1431</v>
      </c>
      <c r="E358" s="192">
        <v>3336282</v>
      </c>
      <c r="F358" s="192" t="s">
        <v>1434</v>
      </c>
      <c r="G358" s="290">
        <v>0.9</v>
      </c>
      <c r="H358" s="192">
        <v>5963.71</v>
      </c>
      <c r="I358" s="192">
        <v>444.77</v>
      </c>
      <c r="J358" s="192">
        <v>170.87</v>
      </c>
      <c r="K358" s="192">
        <v>0</v>
      </c>
      <c r="L358" s="192">
        <v>0</v>
      </c>
      <c r="M358" s="192">
        <v>0</v>
      </c>
      <c r="N358" s="192">
        <v>321.8</v>
      </c>
      <c r="O358" s="192">
        <v>6901.15</v>
      </c>
      <c r="P358" s="192">
        <v>268</v>
      </c>
      <c r="Q358" s="192">
        <v>517.59</v>
      </c>
      <c r="R358" s="192">
        <v>0</v>
      </c>
      <c r="S358" s="285">
        <v>0.9</v>
      </c>
      <c r="T358" s="192">
        <v>1398.39</v>
      </c>
      <c r="U358" s="291">
        <v>9085.1299999999992</v>
      </c>
      <c r="V358" s="291">
        <v>9085.1299999999992</v>
      </c>
      <c r="W358" s="292">
        <v>105557.88</v>
      </c>
      <c r="X358" s="292">
        <v>109021.56</v>
      </c>
      <c r="Y358" s="292">
        <v>107967.07999999999</v>
      </c>
      <c r="Z358" s="292">
        <v>125216.01</v>
      </c>
      <c r="AA358" s="290">
        <v>127557.08229000001</v>
      </c>
      <c r="AB358" s="285">
        <v>126559.56844999999</v>
      </c>
      <c r="AC358" s="290">
        <v>8796.49</v>
      </c>
      <c r="AD358" s="192">
        <v>12</v>
      </c>
      <c r="AE358" s="290">
        <v>9000</v>
      </c>
      <c r="AF358" s="194">
        <v>114557.88</v>
      </c>
    </row>
    <row r="359" spans="1:34" s="207" customFormat="1" x14ac:dyDescent="0.3">
      <c r="A359" s="207">
        <v>5832</v>
      </c>
      <c r="B359" s="207">
        <v>81</v>
      </c>
      <c r="C359" s="207">
        <v>3270</v>
      </c>
      <c r="D359" s="207" t="s">
        <v>1431</v>
      </c>
      <c r="E359" s="207">
        <v>5080476</v>
      </c>
      <c r="F359" s="207" t="s">
        <v>1435</v>
      </c>
      <c r="G359" s="305">
        <v>0.5</v>
      </c>
      <c r="H359" s="207">
        <v>3472.2</v>
      </c>
      <c r="I359" s="207">
        <v>191.81</v>
      </c>
      <c r="J359" s="207">
        <v>173.3</v>
      </c>
      <c r="K359" s="207">
        <v>0</v>
      </c>
      <c r="L359" s="207">
        <v>0</v>
      </c>
      <c r="M359" s="207">
        <v>0</v>
      </c>
      <c r="N359" s="207">
        <v>176.5</v>
      </c>
      <c r="O359" s="207">
        <v>4013.81</v>
      </c>
      <c r="P359" s="207">
        <v>19.05</v>
      </c>
      <c r="Q359" s="207">
        <v>301.76</v>
      </c>
      <c r="R359" s="207">
        <v>0</v>
      </c>
      <c r="S359" s="285">
        <v>0.25</v>
      </c>
      <c r="T359" s="207">
        <v>390.87</v>
      </c>
      <c r="U359" s="306">
        <v>4725.49</v>
      </c>
      <c r="V359" s="306">
        <v>4725.49</v>
      </c>
      <c r="W359" s="307">
        <v>55899.479999999996</v>
      </c>
      <c r="X359" s="307">
        <v>28352.94</v>
      </c>
      <c r="Y359" s="307">
        <v>61815.44</v>
      </c>
      <c r="Z359" s="307">
        <v>68514.98</v>
      </c>
      <c r="AA359" s="305">
        <v>69717.490919999997</v>
      </c>
      <c r="AB359" s="305">
        <v>34586.145300000004</v>
      </c>
      <c r="AC359" s="305">
        <v>4658.29</v>
      </c>
      <c r="AD359" s="207">
        <v>6</v>
      </c>
      <c r="AE359" s="305">
        <v>4600</v>
      </c>
      <c r="AF359" s="208">
        <v>32549.739999999998</v>
      </c>
      <c r="AG359" s="207" t="s">
        <v>1372</v>
      </c>
      <c r="AH359" s="207" t="s">
        <v>1111</v>
      </c>
    </row>
    <row r="360" spans="1:34" x14ac:dyDescent="0.3">
      <c r="A360" s="192">
        <v>5832</v>
      </c>
      <c r="B360" s="192">
        <v>81</v>
      </c>
      <c r="C360" s="192">
        <v>3270</v>
      </c>
      <c r="D360" s="192" t="s">
        <v>1431</v>
      </c>
      <c r="E360" s="192">
        <v>5679891</v>
      </c>
      <c r="F360" s="192" t="s">
        <v>1436</v>
      </c>
      <c r="G360" s="290">
        <v>0.75</v>
      </c>
      <c r="H360" s="192">
        <v>6231.66</v>
      </c>
      <c r="I360" s="192">
        <v>287.79000000000002</v>
      </c>
      <c r="J360" s="192">
        <v>185.45</v>
      </c>
      <c r="K360" s="192">
        <v>0</v>
      </c>
      <c r="L360" s="192">
        <v>0</v>
      </c>
      <c r="M360" s="192">
        <v>0</v>
      </c>
      <c r="N360" s="192">
        <v>176.5</v>
      </c>
      <c r="O360" s="192">
        <v>6881.4</v>
      </c>
      <c r="P360" s="192">
        <v>267</v>
      </c>
      <c r="Q360" s="192">
        <v>516.87</v>
      </c>
      <c r="R360" s="192">
        <v>0</v>
      </c>
      <c r="S360" s="285">
        <v>0.75</v>
      </c>
      <c r="T360" s="192">
        <v>701.46</v>
      </c>
      <c r="U360" s="291">
        <v>8366.73</v>
      </c>
      <c r="V360" s="291">
        <v>8366.73</v>
      </c>
      <c r="W360" s="292">
        <v>82947.240000000005</v>
      </c>
      <c r="X360" s="292">
        <v>100400.76</v>
      </c>
      <c r="Y360" s="292">
        <v>89804.56</v>
      </c>
      <c r="Z360" s="292">
        <v>93775.31</v>
      </c>
      <c r="AA360" s="290">
        <v>95837.197499999995</v>
      </c>
      <c r="AB360" s="285">
        <v>95087.737499999988</v>
      </c>
      <c r="AC360" s="290">
        <v>6912.27</v>
      </c>
      <c r="AD360" s="192">
        <v>12</v>
      </c>
      <c r="AE360" s="290">
        <v>7000</v>
      </c>
      <c r="AF360" s="194">
        <v>89947.24</v>
      </c>
    </row>
    <row r="361" spans="1:34" x14ac:dyDescent="0.3">
      <c r="A361" s="192">
        <v>5832</v>
      </c>
      <c r="B361" s="192">
        <v>81</v>
      </c>
      <c r="C361" s="192">
        <v>3270</v>
      </c>
      <c r="D361" s="192" t="s">
        <v>1431</v>
      </c>
      <c r="E361" s="192">
        <v>5829023</v>
      </c>
      <c r="F361" s="192" t="s">
        <v>1437</v>
      </c>
      <c r="G361" s="290">
        <v>0.5</v>
      </c>
      <c r="H361" s="192">
        <v>2722.95</v>
      </c>
      <c r="I361" s="192">
        <v>177.15</v>
      </c>
      <c r="J361" s="192">
        <v>21.26</v>
      </c>
      <c r="K361" s="192">
        <v>0</v>
      </c>
      <c r="L361" s="192">
        <v>0</v>
      </c>
      <c r="M361" s="192">
        <v>0</v>
      </c>
      <c r="N361" s="192">
        <v>0</v>
      </c>
      <c r="O361" s="192">
        <v>2921.36</v>
      </c>
      <c r="P361" s="192">
        <v>0</v>
      </c>
      <c r="Q361" s="192">
        <v>0</v>
      </c>
      <c r="R361" s="192">
        <v>0</v>
      </c>
      <c r="S361" s="285">
        <v>0.5</v>
      </c>
      <c r="T361" s="192">
        <v>0</v>
      </c>
      <c r="U361" s="291">
        <v>2921.36</v>
      </c>
      <c r="V361" s="291">
        <v>2921.36</v>
      </c>
      <c r="W361" s="292">
        <v>35877.96</v>
      </c>
      <c r="X361" s="292">
        <v>35056.32</v>
      </c>
      <c r="Y361" s="292">
        <v>37904.839999999997</v>
      </c>
      <c r="Z361" s="292">
        <v>52677.56</v>
      </c>
      <c r="AA361" s="290">
        <v>53896.673159999998</v>
      </c>
      <c r="AB361" s="285">
        <v>53475.193800000001</v>
      </c>
      <c r="AC361" s="290">
        <v>8412.93</v>
      </c>
      <c r="AD361" s="192">
        <v>12</v>
      </c>
      <c r="AE361" s="290">
        <v>8400</v>
      </c>
      <c r="AF361" s="194">
        <v>109355.16</v>
      </c>
    </row>
    <row r="362" spans="1:34" x14ac:dyDescent="0.3">
      <c r="A362" s="192">
        <v>5832</v>
      </c>
      <c r="B362" s="192">
        <v>81</v>
      </c>
      <c r="C362" s="192">
        <v>3270</v>
      </c>
      <c r="D362" s="192" t="s">
        <v>1431</v>
      </c>
      <c r="E362" s="192">
        <v>5877726</v>
      </c>
      <c r="F362" s="192" t="s">
        <v>1438</v>
      </c>
      <c r="G362" s="290">
        <v>0.74</v>
      </c>
      <c r="H362" s="192">
        <v>5847.22</v>
      </c>
      <c r="I362" s="192">
        <v>304.79000000000002</v>
      </c>
      <c r="J362" s="192">
        <v>184.96</v>
      </c>
      <c r="K362" s="192">
        <v>0</v>
      </c>
      <c r="L362" s="192">
        <v>0</v>
      </c>
      <c r="M362" s="192">
        <v>0</v>
      </c>
      <c r="N362" s="192">
        <v>232.5</v>
      </c>
      <c r="O362" s="192">
        <v>6569.47</v>
      </c>
      <c r="P362" s="192">
        <v>243</v>
      </c>
      <c r="Q362" s="192">
        <v>492.7</v>
      </c>
      <c r="R362" s="192">
        <v>0</v>
      </c>
      <c r="S362" s="285">
        <v>0.73999999999999988</v>
      </c>
      <c r="T362" s="192">
        <v>566.54999999999995</v>
      </c>
      <c r="U362" s="291">
        <v>7871.72</v>
      </c>
      <c r="V362" s="291">
        <v>7871.72</v>
      </c>
      <c r="W362" s="292">
        <v>97971</v>
      </c>
      <c r="X362" s="292">
        <v>94460.64</v>
      </c>
      <c r="Y362" s="292">
        <v>96769.4</v>
      </c>
      <c r="Z362" s="292">
        <v>108959.96</v>
      </c>
      <c r="AA362" s="290">
        <v>111471.17453999999</v>
      </c>
      <c r="AB362" s="285">
        <v>110599.45469999999</v>
      </c>
      <c r="AC362" s="290">
        <v>8164.25</v>
      </c>
      <c r="AD362" s="192">
        <v>12</v>
      </c>
      <c r="AE362" s="290">
        <v>8000</v>
      </c>
      <c r="AF362" s="194">
        <v>105971</v>
      </c>
    </row>
    <row r="363" spans="1:34" x14ac:dyDescent="0.3">
      <c r="A363" s="192">
        <v>5832</v>
      </c>
      <c r="B363" s="192">
        <v>81</v>
      </c>
      <c r="C363" s="192">
        <v>3270</v>
      </c>
      <c r="D363" s="192" t="s">
        <v>1431</v>
      </c>
      <c r="E363" s="192">
        <v>6832413</v>
      </c>
      <c r="F363" s="192" t="s">
        <v>1439</v>
      </c>
      <c r="G363" s="290">
        <v>0.9</v>
      </c>
      <c r="H363" s="192">
        <v>7241.53</v>
      </c>
      <c r="I363" s="192">
        <v>510.49</v>
      </c>
      <c r="J363" s="192">
        <v>192.74</v>
      </c>
      <c r="K363" s="192">
        <v>0</v>
      </c>
      <c r="L363" s="192">
        <v>0</v>
      </c>
      <c r="M363" s="192">
        <v>0</v>
      </c>
      <c r="N363" s="192">
        <v>475.5</v>
      </c>
      <c r="O363" s="192">
        <v>8420.26</v>
      </c>
      <c r="P363" s="192">
        <v>384</v>
      </c>
      <c r="Q363" s="192">
        <v>631.52</v>
      </c>
      <c r="R363" s="192">
        <v>0</v>
      </c>
      <c r="S363" s="285">
        <v>0.9</v>
      </c>
      <c r="T363" s="192">
        <v>742.34</v>
      </c>
      <c r="U363" s="291">
        <v>10178.120000000001</v>
      </c>
      <c r="V363" s="291">
        <v>10178.120000000001</v>
      </c>
      <c r="W363" s="292">
        <v>120175.44</v>
      </c>
      <c r="X363" s="292">
        <v>122137.44</v>
      </c>
      <c r="Y363" s="292">
        <v>119993.04000000001</v>
      </c>
      <c r="Z363" s="292">
        <v>133585.22</v>
      </c>
      <c r="AA363" s="290">
        <v>136637.01545999997</v>
      </c>
      <c r="AB363" s="285">
        <v>135568.49529999998</v>
      </c>
      <c r="AC363" s="290">
        <v>10014.620000000001</v>
      </c>
      <c r="AD363" s="192">
        <v>12</v>
      </c>
      <c r="AE363" s="290">
        <v>1000</v>
      </c>
      <c r="AF363" s="194">
        <v>121175.44</v>
      </c>
    </row>
    <row r="364" spans="1:34" x14ac:dyDescent="0.3">
      <c r="A364" s="192">
        <v>5832</v>
      </c>
      <c r="B364" s="192">
        <v>81</v>
      </c>
      <c r="C364" s="192">
        <v>3270</v>
      </c>
      <c r="D364" s="192" t="s">
        <v>1431</v>
      </c>
      <c r="E364" s="192">
        <v>31923973</v>
      </c>
      <c r="F364" s="192" t="s">
        <v>1440</v>
      </c>
      <c r="G364" s="290">
        <v>0.75</v>
      </c>
      <c r="H364" s="192">
        <v>4493.97</v>
      </c>
      <c r="I364" s="192">
        <v>266.68</v>
      </c>
      <c r="J364" s="192">
        <v>180.89</v>
      </c>
      <c r="K364" s="192">
        <v>0</v>
      </c>
      <c r="L364" s="192">
        <v>0</v>
      </c>
      <c r="M364" s="192">
        <v>0</v>
      </c>
      <c r="N364" s="192">
        <v>246.5</v>
      </c>
      <c r="O364" s="192">
        <v>5188.04</v>
      </c>
      <c r="P364" s="192">
        <v>184</v>
      </c>
      <c r="Q364" s="192">
        <v>389.1</v>
      </c>
      <c r="R364" s="192">
        <v>0</v>
      </c>
      <c r="S364" s="285">
        <v>0.75</v>
      </c>
      <c r="T364" s="192">
        <v>1077.32</v>
      </c>
      <c r="U364" s="291">
        <v>6838.46</v>
      </c>
      <c r="V364" s="291">
        <v>6838.46</v>
      </c>
      <c r="W364" s="292">
        <v>79830</v>
      </c>
      <c r="X364" s="292">
        <v>82061.52</v>
      </c>
      <c r="Y364" s="292">
        <v>80840.039999999994</v>
      </c>
      <c r="Z364" s="292">
        <v>87439.56</v>
      </c>
      <c r="AA364" s="290">
        <v>88876.296300000002</v>
      </c>
      <c r="AB364" s="285">
        <v>88181.271500000003</v>
      </c>
      <c r="AC364" s="290">
        <v>6652.5</v>
      </c>
      <c r="AD364" s="192">
        <v>12</v>
      </c>
      <c r="AE364" s="290">
        <v>6500</v>
      </c>
      <c r="AF364" s="194">
        <v>86330</v>
      </c>
    </row>
    <row r="365" spans="1:34" s="196" customFormat="1" x14ac:dyDescent="0.3">
      <c r="G365" s="288">
        <f>SUM(G356:G364)</f>
        <v>6.8000000000000007</v>
      </c>
      <c r="H365" s="288">
        <f t="shared" ref="H365:AF365" si="34">SUM(H356:H364)</f>
        <v>47305.37</v>
      </c>
      <c r="I365" s="288">
        <f t="shared" si="34"/>
        <v>3948.5499999999997</v>
      </c>
      <c r="J365" s="288">
        <f t="shared" si="34"/>
        <v>1493.0100000000002</v>
      </c>
      <c r="K365" s="288">
        <f t="shared" si="34"/>
        <v>284.08999999999997</v>
      </c>
      <c r="L365" s="288">
        <f t="shared" si="34"/>
        <v>0</v>
      </c>
      <c r="M365" s="288">
        <f t="shared" si="34"/>
        <v>0</v>
      </c>
      <c r="N365" s="288">
        <f t="shared" si="34"/>
        <v>1665.8</v>
      </c>
      <c r="O365" s="288">
        <f t="shared" si="34"/>
        <v>54696.820000000007</v>
      </c>
      <c r="P365" s="288">
        <f t="shared" si="34"/>
        <v>1932.05</v>
      </c>
      <c r="Q365" s="288">
        <f t="shared" si="34"/>
        <v>3885.3999999999996</v>
      </c>
      <c r="R365" s="288">
        <f t="shared" si="34"/>
        <v>0</v>
      </c>
      <c r="S365" s="288">
        <f t="shared" si="34"/>
        <v>6.5500000000000007</v>
      </c>
      <c r="T365" s="288">
        <f t="shared" si="34"/>
        <v>6912.78</v>
      </c>
      <c r="U365" s="288">
        <f t="shared" si="34"/>
        <v>67427.05</v>
      </c>
      <c r="V365" s="288">
        <f t="shared" si="34"/>
        <v>67427.05</v>
      </c>
      <c r="W365" s="288">
        <f t="shared" si="34"/>
        <v>782818.44</v>
      </c>
      <c r="X365" s="288">
        <f t="shared" si="34"/>
        <v>780771.65999999992</v>
      </c>
      <c r="Y365" s="288">
        <f t="shared" si="34"/>
        <v>800876.8</v>
      </c>
      <c r="Z365" s="288">
        <f t="shared" si="34"/>
        <v>886012.78</v>
      </c>
      <c r="AA365" s="288">
        <f t="shared" si="34"/>
        <v>905152.07771999994</v>
      </c>
      <c r="AB365" s="288">
        <f t="shared" si="34"/>
        <v>863487.51929999993</v>
      </c>
      <c r="AC365" s="288">
        <f t="shared" si="34"/>
        <v>70657.97</v>
      </c>
      <c r="AD365" s="288">
        <f t="shared" si="34"/>
        <v>102</v>
      </c>
      <c r="AE365" s="288">
        <f t="shared" si="34"/>
        <v>61000</v>
      </c>
      <c r="AF365" s="288">
        <f t="shared" si="34"/>
        <v>880945.89999999991</v>
      </c>
      <c r="AG365" s="288"/>
      <c r="AH365" s="288">
        <v>0</v>
      </c>
    </row>
    <row r="366" spans="1:34" x14ac:dyDescent="0.3">
      <c r="W366" s="292"/>
      <c r="X366" s="292"/>
      <c r="Y366" s="292"/>
      <c r="Z366" s="292"/>
      <c r="AA366" s="290"/>
      <c r="AB366" s="285"/>
      <c r="AC366" s="290"/>
      <c r="AE366" s="290"/>
      <c r="AF366" s="194"/>
    </row>
    <row r="367" spans="1:34" x14ac:dyDescent="0.3">
      <c r="A367" s="192">
        <v>5832</v>
      </c>
      <c r="B367" s="192">
        <v>81</v>
      </c>
      <c r="C367" s="192">
        <v>3280</v>
      </c>
      <c r="D367" s="192" t="s">
        <v>1441</v>
      </c>
      <c r="E367" s="192">
        <v>2391761</v>
      </c>
      <c r="F367" s="192" t="s">
        <v>1442</v>
      </c>
      <c r="G367" s="290">
        <v>1</v>
      </c>
      <c r="H367" s="192">
        <v>6330.7</v>
      </c>
      <c r="I367" s="192">
        <v>374.63</v>
      </c>
      <c r="J367" s="192">
        <v>197.6</v>
      </c>
      <c r="K367" s="192">
        <v>0</v>
      </c>
      <c r="L367" s="192">
        <v>0</v>
      </c>
      <c r="M367" s="192">
        <v>0</v>
      </c>
      <c r="N367" s="192">
        <v>0</v>
      </c>
      <c r="O367" s="192">
        <v>6902.93</v>
      </c>
      <c r="P367" s="192">
        <v>268</v>
      </c>
      <c r="Q367" s="192">
        <v>517.72</v>
      </c>
      <c r="R367" s="192">
        <v>0</v>
      </c>
      <c r="S367" s="285">
        <v>1</v>
      </c>
      <c r="T367" s="192">
        <v>1446.9</v>
      </c>
      <c r="U367" s="291">
        <v>9135.5499999999993</v>
      </c>
      <c r="V367" s="291">
        <v>9135.5499999999993</v>
      </c>
      <c r="W367" s="292">
        <v>105154.92</v>
      </c>
      <c r="X367" s="292">
        <v>109626.59999999999</v>
      </c>
      <c r="Y367" s="292">
        <v>109786.75999999998</v>
      </c>
      <c r="Z367" s="292">
        <v>123343.51</v>
      </c>
      <c r="AA367" s="290">
        <v>125853.63383999999</v>
      </c>
      <c r="AB367" s="285">
        <v>124869.44119999999</v>
      </c>
      <c r="AC367" s="290">
        <v>8762.91</v>
      </c>
      <c r="AD367" s="192">
        <v>12</v>
      </c>
      <c r="AE367" s="290">
        <v>9000</v>
      </c>
      <c r="AF367" s="194">
        <v>114154.92</v>
      </c>
    </row>
    <row r="368" spans="1:34" x14ac:dyDescent="0.3">
      <c r="A368" s="192">
        <v>5832</v>
      </c>
      <c r="B368" s="192">
        <v>81</v>
      </c>
      <c r="C368" s="192">
        <v>3280</v>
      </c>
      <c r="D368" s="192" t="s">
        <v>1441</v>
      </c>
      <c r="E368" s="192">
        <v>2564601</v>
      </c>
      <c r="F368" s="192" t="s">
        <v>1443</v>
      </c>
      <c r="G368" s="290">
        <v>0.84</v>
      </c>
      <c r="H368" s="192">
        <v>5261.5</v>
      </c>
      <c r="I368" s="192">
        <v>309.35000000000002</v>
      </c>
      <c r="J368" s="192">
        <v>40.82</v>
      </c>
      <c r="K368" s="192">
        <v>0</v>
      </c>
      <c r="L368" s="192">
        <v>0</v>
      </c>
      <c r="M368" s="192">
        <v>0</v>
      </c>
      <c r="N368" s="192">
        <v>36.5</v>
      </c>
      <c r="O368" s="192">
        <v>5648.17</v>
      </c>
      <c r="P368" s="192">
        <v>201</v>
      </c>
      <c r="Q368" s="192">
        <v>423.61</v>
      </c>
      <c r="R368" s="192">
        <v>0</v>
      </c>
      <c r="S368" s="285">
        <v>0.84</v>
      </c>
      <c r="T368" s="192">
        <v>1199.05</v>
      </c>
      <c r="U368" s="291">
        <v>7471.83</v>
      </c>
      <c r="V368" s="291">
        <v>7471.83</v>
      </c>
      <c r="W368" s="292">
        <v>88592.28</v>
      </c>
      <c r="X368" s="292">
        <v>89661.959999999992</v>
      </c>
      <c r="Y368" s="292">
        <v>92682</v>
      </c>
      <c r="Z368" s="292">
        <v>95921.53</v>
      </c>
      <c r="AA368" s="290">
        <v>92615.504519999988</v>
      </c>
      <c r="AB368" s="285">
        <v>91891.238599999982</v>
      </c>
      <c r="AC368" s="290">
        <v>7382.69</v>
      </c>
      <c r="AD368" s="192">
        <v>12</v>
      </c>
      <c r="AE368" s="290">
        <v>7500</v>
      </c>
      <c r="AF368" s="194">
        <v>96092.28</v>
      </c>
    </row>
    <row r="369" spans="1:34" x14ac:dyDescent="0.3">
      <c r="A369" s="192">
        <v>5832</v>
      </c>
      <c r="B369" s="192">
        <v>81</v>
      </c>
      <c r="C369" s="192">
        <v>3280</v>
      </c>
      <c r="D369" s="192" t="s">
        <v>1441</v>
      </c>
      <c r="E369" s="192">
        <v>2887585</v>
      </c>
      <c r="F369" s="192" t="s">
        <v>1444</v>
      </c>
      <c r="G369" s="290">
        <v>0.9</v>
      </c>
      <c r="H369" s="192">
        <v>6075.62</v>
      </c>
      <c r="I369" s="192">
        <v>341</v>
      </c>
      <c r="J369" s="192">
        <v>192.74</v>
      </c>
      <c r="K369" s="192">
        <v>0</v>
      </c>
      <c r="L369" s="192">
        <v>0</v>
      </c>
      <c r="M369" s="192">
        <v>0</v>
      </c>
      <c r="N369" s="192">
        <v>36.5</v>
      </c>
      <c r="O369" s="192">
        <v>6645.86</v>
      </c>
      <c r="P369" s="192">
        <v>249</v>
      </c>
      <c r="Q369" s="192">
        <v>498.44</v>
      </c>
      <c r="R369" s="192">
        <v>0</v>
      </c>
      <c r="S369" s="285">
        <v>0.9</v>
      </c>
      <c r="T369" s="192">
        <v>1388.45</v>
      </c>
      <c r="U369" s="291">
        <v>8781.75</v>
      </c>
      <c r="V369" s="291">
        <v>8781.75</v>
      </c>
      <c r="W369" s="292">
        <v>105156.12</v>
      </c>
      <c r="X369" s="292">
        <v>105381</v>
      </c>
      <c r="Y369" s="292">
        <v>108358.04</v>
      </c>
      <c r="Z369" s="292">
        <v>116412.06</v>
      </c>
      <c r="AA369" s="290">
        <v>118959.13556999998</v>
      </c>
      <c r="AB369" s="285">
        <v>118028.85884999999</v>
      </c>
      <c r="AC369" s="290">
        <v>8763.01</v>
      </c>
      <c r="AD369" s="192">
        <v>12</v>
      </c>
      <c r="AE369" s="290">
        <v>9000</v>
      </c>
      <c r="AF369" s="194">
        <v>114156.12</v>
      </c>
    </row>
    <row r="370" spans="1:34" x14ac:dyDescent="0.3">
      <c r="A370" s="192">
        <v>5832</v>
      </c>
      <c r="B370" s="192">
        <v>81</v>
      </c>
      <c r="C370" s="192">
        <v>3280</v>
      </c>
      <c r="D370" s="192" t="s">
        <v>1441</v>
      </c>
      <c r="E370" s="192">
        <v>3366926</v>
      </c>
      <c r="F370" s="192" t="s">
        <v>1445</v>
      </c>
      <c r="G370" s="290">
        <v>0.8</v>
      </c>
      <c r="H370" s="192">
        <v>5162.97</v>
      </c>
      <c r="I370" s="192">
        <v>365.87</v>
      </c>
      <c r="J370" s="192">
        <v>187.88</v>
      </c>
      <c r="K370" s="192">
        <v>0</v>
      </c>
      <c r="L370" s="192">
        <v>0</v>
      </c>
      <c r="M370" s="192">
        <v>0</v>
      </c>
      <c r="N370" s="192">
        <v>36.5</v>
      </c>
      <c r="O370" s="192">
        <v>5753.22</v>
      </c>
      <c r="P370" s="192">
        <v>204</v>
      </c>
      <c r="Q370" s="192">
        <v>431.49</v>
      </c>
      <c r="R370" s="192">
        <v>0</v>
      </c>
      <c r="S370" s="285">
        <v>0.80000000000000016</v>
      </c>
      <c r="T370" s="192">
        <v>1186.27</v>
      </c>
      <c r="U370" s="291">
        <v>7574.98</v>
      </c>
      <c r="V370" s="291">
        <v>7574.98</v>
      </c>
      <c r="W370" s="292">
        <v>86337.48</v>
      </c>
      <c r="X370" s="292">
        <v>90899.76</v>
      </c>
      <c r="Y370" s="292">
        <v>91226.2</v>
      </c>
      <c r="Z370" s="292">
        <v>96877.89</v>
      </c>
      <c r="AA370" s="290">
        <v>98956.876919999981</v>
      </c>
      <c r="AB370" s="285">
        <v>98183.020599999989</v>
      </c>
      <c r="AC370" s="290">
        <v>7194.79</v>
      </c>
      <c r="AD370" s="192">
        <v>12</v>
      </c>
      <c r="AE370" s="290">
        <v>7000</v>
      </c>
      <c r="AF370" s="194">
        <v>93337.48</v>
      </c>
    </row>
    <row r="371" spans="1:34" x14ac:dyDescent="0.3">
      <c r="A371" s="192">
        <v>5832</v>
      </c>
      <c r="B371" s="192">
        <v>81</v>
      </c>
      <c r="C371" s="192">
        <v>3280</v>
      </c>
      <c r="D371" s="192" t="s">
        <v>1441</v>
      </c>
      <c r="E371" s="192">
        <v>3764371</v>
      </c>
      <c r="F371" s="192" t="s">
        <v>1446</v>
      </c>
      <c r="G371" s="290">
        <v>0.84</v>
      </c>
      <c r="H371" s="192">
        <v>4847.91</v>
      </c>
      <c r="I371" s="192">
        <v>304.29000000000002</v>
      </c>
      <c r="J371" s="192">
        <v>162.72</v>
      </c>
      <c r="K371" s="192">
        <v>0</v>
      </c>
      <c r="L371" s="192">
        <v>0</v>
      </c>
      <c r="M371" s="192">
        <v>0</v>
      </c>
      <c r="N371" s="192">
        <v>302.77999999999997</v>
      </c>
      <c r="O371" s="192">
        <v>5617.7</v>
      </c>
      <c r="P371" s="192">
        <v>193</v>
      </c>
      <c r="Q371" s="192">
        <v>421.32</v>
      </c>
      <c r="R371" s="192">
        <v>0</v>
      </c>
      <c r="S371" s="285">
        <v>0.84</v>
      </c>
      <c r="T371" s="192">
        <v>1132.57</v>
      </c>
      <c r="U371" s="291">
        <v>7364.59</v>
      </c>
      <c r="V371" s="291">
        <v>7364.59</v>
      </c>
      <c r="W371" s="292">
        <v>89347.44</v>
      </c>
      <c r="X371" s="292">
        <v>88375.08</v>
      </c>
      <c r="Y371" s="292">
        <v>94885.4</v>
      </c>
      <c r="Z371" s="292">
        <v>100783.67</v>
      </c>
      <c r="AA371" s="290">
        <v>102669.95771999999</v>
      </c>
      <c r="AB371" s="285">
        <v>101867.06459999998</v>
      </c>
      <c r="AC371" s="290">
        <v>7445.62</v>
      </c>
      <c r="AD371" s="192">
        <v>12</v>
      </c>
      <c r="AE371" s="290">
        <v>7500</v>
      </c>
      <c r="AF371" s="194">
        <v>96847.44</v>
      </c>
    </row>
    <row r="372" spans="1:34" x14ac:dyDescent="0.3">
      <c r="A372" s="192">
        <v>5832</v>
      </c>
      <c r="B372" s="192">
        <v>81</v>
      </c>
      <c r="C372" s="192">
        <v>3280</v>
      </c>
      <c r="D372" s="192" t="s">
        <v>1441</v>
      </c>
      <c r="E372" s="192">
        <v>3827908</v>
      </c>
      <c r="F372" s="192" t="s">
        <v>1447</v>
      </c>
      <c r="G372" s="290">
        <v>0.88</v>
      </c>
      <c r="H372" s="192">
        <v>5120.25</v>
      </c>
      <c r="I372" s="192">
        <v>314.18</v>
      </c>
      <c r="J372" s="192">
        <v>181.08</v>
      </c>
      <c r="K372" s="192">
        <v>0</v>
      </c>
      <c r="L372" s="192">
        <v>0</v>
      </c>
      <c r="M372" s="192">
        <v>0</v>
      </c>
      <c r="N372" s="192">
        <v>36.5</v>
      </c>
      <c r="O372" s="192">
        <v>5652.01</v>
      </c>
      <c r="P372" s="192">
        <v>192</v>
      </c>
      <c r="Q372" s="192">
        <v>423.89</v>
      </c>
      <c r="R372" s="192">
        <v>0</v>
      </c>
      <c r="S372" s="285">
        <v>0.88</v>
      </c>
      <c r="T372" s="192">
        <v>1179.69</v>
      </c>
      <c r="U372" s="291">
        <v>7447.59</v>
      </c>
      <c r="V372" s="291">
        <v>7447.59</v>
      </c>
      <c r="W372" s="292">
        <v>85806.84</v>
      </c>
      <c r="X372" s="292">
        <v>89371.08</v>
      </c>
      <c r="Y372" s="292">
        <v>93278.56</v>
      </c>
      <c r="Z372" s="292">
        <v>97890.18</v>
      </c>
      <c r="AA372" s="290">
        <v>100011.81498</v>
      </c>
      <c r="AB372" s="285">
        <v>99229.708899999998</v>
      </c>
      <c r="AC372" s="290">
        <v>7150.57</v>
      </c>
      <c r="AD372" s="192">
        <v>12</v>
      </c>
      <c r="AE372" s="290">
        <v>7200</v>
      </c>
      <c r="AF372" s="194">
        <v>93006.84</v>
      </c>
    </row>
    <row r="373" spans="1:34" x14ac:dyDescent="0.3">
      <c r="A373" s="192">
        <v>5832</v>
      </c>
      <c r="B373" s="192">
        <v>81</v>
      </c>
      <c r="C373" s="192">
        <v>3280</v>
      </c>
      <c r="D373" s="192" t="s">
        <v>1441</v>
      </c>
      <c r="E373" s="192">
        <v>5716984</v>
      </c>
      <c r="F373" s="192" t="s">
        <v>1448</v>
      </c>
      <c r="G373" s="290">
        <v>0.75</v>
      </c>
      <c r="H373" s="192">
        <v>5299.47</v>
      </c>
      <c r="I373" s="192">
        <v>290.31</v>
      </c>
      <c r="J373" s="192">
        <v>185.45</v>
      </c>
      <c r="K373" s="192">
        <v>0</v>
      </c>
      <c r="L373" s="192">
        <v>0</v>
      </c>
      <c r="M373" s="192">
        <v>0</v>
      </c>
      <c r="N373" s="192">
        <v>246.5</v>
      </c>
      <c r="O373" s="192">
        <v>6021.73</v>
      </c>
      <c r="P373" s="192">
        <v>214</v>
      </c>
      <c r="Q373" s="192">
        <v>452.39</v>
      </c>
      <c r="R373" s="192">
        <v>0</v>
      </c>
      <c r="S373" s="285">
        <v>0.75</v>
      </c>
      <c r="T373" s="192">
        <v>573.14</v>
      </c>
      <c r="U373" s="291">
        <v>7261.26</v>
      </c>
      <c r="V373" s="291">
        <v>7261.26</v>
      </c>
      <c r="W373" s="292">
        <v>85913.279999999999</v>
      </c>
      <c r="X373" s="292">
        <v>87135.12</v>
      </c>
      <c r="Y373" s="292">
        <v>86583.48</v>
      </c>
      <c r="Z373" s="292">
        <v>95124.24</v>
      </c>
      <c r="AA373" s="290">
        <v>97312.097519999981</v>
      </c>
      <c r="AB373" s="285">
        <v>96551.103599999988</v>
      </c>
      <c r="AC373" s="290">
        <v>7159.44</v>
      </c>
      <c r="AD373" s="192">
        <v>12</v>
      </c>
      <c r="AE373" s="290">
        <v>7200</v>
      </c>
      <c r="AF373" s="194">
        <v>93113.279999999999</v>
      </c>
    </row>
    <row r="374" spans="1:34" x14ac:dyDescent="0.3">
      <c r="A374" s="192">
        <v>5832</v>
      </c>
      <c r="B374" s="192">
        <v>81</v>
      </c>
      <c r="C374" s="192">
        <v>3280</v>
      </c>
      <c r="D374" s="192" t="s">
        <v>1441</v>
      </c>
      <c r="E374" s="192">
        <v>5717237</v>
      </c>
      <c r="F374" s="192" t="s">
        <v>1384</v>
      </c>
      <c r="G374" s="290">
        <v>0</v>
      </c>
      <c r="H374" s="192">
        <v>193.5</v>
      </c>
      <c r="I374" s="192">
        <v>0</v>
      </c>
      <c r="J374" s="192">
        <v>0</v>
      </c>
      <c r="K374" s="192">
        <v>0</v>
      </c>
      <c r="L374" s="192">
        <v>0</v>
      </c>
      <c r="M374" s="192">
        <v>0</v>
      </c>
      <c r="N374" s="192">
        <v>0</v>
      </c>
      <c r="O374" s="192">
        <v>193.5</v>
      </c>
      <c r="P374" s="192">
        <v>6.86</v>
      </c>
      <c r="Q374" s="192">
        <v>14.51</v>
      </c>
      <c r="R374" s="192">
        <v>0</v>
      </c>
      <c r="S374" s="285">
        <v>0</v>
      </c>
      <c r="T374" s="192">
        <v>26.12</v>
      </c>
      <c r="U374" s="291">
        <v>240.99</v>
      </c>
      <c r="V374" s="291">
        <v>240.99</v>
      </c>
      <c r="W374" s="292">
        <v>55360.680000000008</v>
      </c>
      <c r="X374" s="292">
        <v>2891.88</v>
      </c>
      <c r="Y374" s="292">
        <v>36000.160000000003</v>
      </c>
      <c r="Z374" s="292">
        <v>2829.27</v>
      </c>
      <c r="AA374" s="290">
        <v>0</v>
      </c>
      <c r="AB374" s="285">
        <v>0</v>
      </c>
      <c r="AC374" s="290">
        <v>4613.3900000000003</v>
      </c>
      <c r="AD374" s="192">
        <v>12</v>
      </c>
      <c r="AE374" s="290">
        <v>4000</v>
      </c>
      <c r="AF374" s="194">
        <v>59360.680000000008</v>
      </c>
    </row>
    <row r="375" spans="1:34" x14ac:dyDescent="0.3">
      <c r="A375" s="192">
        <v>5832</v>
      </c>
      <c r="B375" s="192">
        <v>81</v>
      </c>
      <c r="C375" s="192">
        <v>3280</v>
      </c>
      <c r="D375" s="192" t="s">
        <v>1441</v>
      </c>
      <c r="E375" s="192">
        <v>5746028</v>
      </c>
      <c r="F375" s="192" t="s">
        <v>1449</v>
      </c>
      <c r="G375" s="290">
        <v>0.88</v>
      </c>
      <c r="H375" s="192">
        <v>5435.64</v>
      </c>
      <c r="I375" s="192">
        <v>315.54000000000002</v>
      </c>
      <c r="J375" s="192">
        <v>181.08</v>
      </c>
      <c r="K375" s="192">
        <v>0</v>
      </c>
      <c r="L375" s="192">
        <v>0</v>
      </c>
      <c r="M375" s="192">
        <v>0</v>
      </c>
      <c r="N375" s="192">
        <v>36.5</v>
      </c>
      <c r="O375" s="192">
        <v>5968.76</v>
      </c>
      <c r="P375" s="192">
        <v>217</v>
      </c>
      <c r="Q375" s="192">
        <v>458.9</v>
      </c>
      <c r="R375" s="192">
        <v>0</v>
      </c>
      <c r="S375" s="285">
        <v>0.88</v>
      </c>
      <c r="T375" s="192">
        <v>1236.6199999999999</v>
      </c>
      <c r="U375" s="291">
        <v>7881.28</v>
      </c>
      <c r="V375" s="291">
        <v>7881.28</v>
      </c>
      <c r="W375" s="292">
        <v>89247.72</v>
      </c>
      <c r="X375" s="292">
        <v>94575.360000000001</v>
      </c>
      <c r="Y375" s="292">
        <v>97411.92</v>
      </c>
      <c r="Z375" s="292">
        <v>104382.64</v>
      </c>
      <c r="AA375" s="290">
        <v>106093.94894999999</v>
      </c>
      <c r="AB375" s="285">
        <v>105264.27974999999</v>
      </c>
      <c r="AC375" s="290">
        <v>7437.31</v>
      </c>
      <c r="AD375" s="192">
        <v>12</v>
      </c>
      <c r="AE375" s="290">
        <v>7500</v>
      </c>
      <c r="AF375" s="194">
        <v>96747.72</v>
      </c>
    </row>
    <row r="376" spans="1:34" x14ac:dyDescent="0.3">
      <c r="A376" s="192">
        <v>5832</v>
      </c>
      <c r="B376" s="192">
        <v>81</v>
      </c>
      <c r="C376" s="192">
        <v>3280</v>
      </c>
      <c r="D376" s="192" t="s">
        <v>1441</v>
      </c>
      <c r="E376" s="192">
        <v>5746076</v>
      </c>
      <c r="F376" s="192" t="s">
        <v>1450</v>
      </c>
      <c r="G376" s="290">
        <v>0.88</v>
      </c>
      <c r="H376" s="192">
        <v>5165.12</v>
      </c>
      <c r="I376" s="192">
        <v>395.08</v>
      </c>
      <c r="J376" s="192">
        <v>170.38</v>
      </c>
      <c r="K376" s="192">
        <v>0</v>
      </c>
      <c r="L376" s="192">
        <v>0</v>
      </c>
      <c r="M376" s="192">
        <v>0</v>
      </c>
      <c r="N376" s="192">
        <v>36.5</v>
      </c>
      <c r="O376" s="192">
        <v>5767.08</v>
      </c>
      <c r="P376" s="192">
        <v>188</v>
      </c>
      <c r="Q376" s="192">
        <v>432.53</v>
      </c>
      <c r="R376" s="192">
        <v>0</v>
      </c>
      <c r="S376" s="285">
        <v>0.88</v>
      </c>
      <c r="T376" s="192">
        <v>1203.04</v>
      </c>
      <c r="U376" s="291">
        <v>7590.65</v>
      </c>
      <c r="V376" s="291">
        <v>7590.65</v>
      </c>
      <c r="W376" s="292">
        <v>89000.16</v>
      </c>
      <c r="X376" s="292">
        <v>91087.799999999988</v>
      </c>
      <c r="Y376" s="292">
        <v>95742.6</v>
      </c>
      <c r="Z376" s="292">
        <v>108642.84</v>
      </c>
      <c r="AA376" s="290">
        <v>110053.82849999999</v>
      </c>
      <c r="AB376" s="285">
        <v>109193.19249999999</v>
      </c>
      <c r="AC376" s="290">
        <v>7416.68</v>
      </c>
      <c r="AD376" s="192">
        <v>12</v>
      </c>
      <c r="AE376" s="290">
        <v>7500</v>
      </c>
      <c r="AF376" s="194">
        <v>96500.160000000003</v>
      </c>
    </row>
    <row r="377" spans="1:34" x14ac:dyDescent="0.3">
      <c r="A377" s="192">
        <v>5832</v>
      </c>
      <c r="B377" s="192">
        <v>81</v>
      </c>
      <c r="C377" s="192">
        <v>3280</v>
      </c>
      <c r="D377" s="192" t="s">
        <v>1441</v>
      </c>
      <c r="E377" s="192">
        <v>5836327</v>
      </c>
      <c r="F377" s="192" t="s">
        <v>1451</v>
      </c>
      <c r="G377" s="290">
        <v>0.5</v>
      </c>
      <c r="H377" s="192">
        <v>3097.86</v>
      </c>
      <c r="I377" s="192">
        <v>181.14</v>
      </c>
      <c r="J377" s="192">
        <v>173.3</v>
      </c>
      <c r="K377" s="192">
        <v>129.53</v>
      </c>
      <c r="L377" s="192">
        <v>0</v>
      </c>
      <c r="M377" s="192">
        <v>0</v>
      </c>
      <c r="N377" s="192">
        <v>36.5</v>
      </c>
      <c r="O377" s="192">
        <v>3618.33</v>
      </c>
      <c r="P377" s="192">
        <v>134</v>
      </c>
      <c r="Q377" s="192">
        <v>282.62</v>
      </c>
      <c r="R377" s="192">
        <v>0</v>
      </c>
      <c r="S377" s="285">
        <v>0.5</v>
      </c>
      <c r="T377" s="192">
        <v>714.94</v>
      </c>
      <c r="U377" s="291">
        <v>4749.8900000000003</v>
      </c>
      <c r="V377" s="291">
        <v>4749.8900000000003</v>
      </c>
      <c r="W377" s="292">
        <v>55956.84</v>
      </c>
      <c r="X377" s="292">
        <v>56998.680000000008</v>
      </c>
      <c r="Y377" s="292">
        <v>56483.68</v>
      </c>
      <c r="Z377" s="292">
        <v>42207.35</v>
      </c>
      <c r="AA377" s="290">
        <v>42776.049359999997</v>
      </c>
      <c r="AB377" s="285">
        <v>42441.534799999994</v>
      </c>
      <c r="AC377" s="290">
        <v>4663.07</v>
      </c>
      <c r="AD377" s="192">
        <v>12</v>
      </c>
      <c r="AE377" s="290">
        <v>4600</v>
      </c>
      <c r="AF377" s="194">
        <v>60556.84</v>
      </c>
    </row>
    <row r="378" spans="1:34" x14ac:dyDescent="0.3">
      <c r="A378" s="192">
        <v>5832</v>
      </c>
      <c r="B378" s="192">
        <v>81</v>
      </c>
      <c r="C378" s="192">
        <v>3280</v>
      </c>
      <c r="D378" s="192" t="s">
        <v>1441</v>
      </c>
      <c r="E378" s="192">
        <v>6283574</v>
      </c>
      <c r="F378" s="192" t="s">
        <v>1452</v>
      </c>
      <c r="G378" s="290">
        <v>0.5</v>
      </c>
      <c r="H378" s="192">
        <v>3229.75</v>
      </c>
      <c r="I378" s="192">
        <v>189.97</v>
      </c>
      <c r="J378" s="192">
        <v>173.3</v>
      </c>
      <c r="K378" s="192">
        <v>0</v>
      </c>
      <c r="L378" s="192">
        <v>0</v>
      </c>
      <c r="M378" s="192">
        <v>0</v>
      </c>
      <c r="N378" s="192">
        <v>195</v>
      </c>
      <c r="O378" s="192">
        <v>3788.02</v>
      </c>
      <c r="P378" s="192">
        <v>0</v>
      </c>
      <c r="Q378" s="192">
        <v>0</v>
      </c>
      <c r="R378" s="192">
        <v>0</v>
      </c>
      <c r="S378" s="285">
        <v>0.5</v>
      </c>
      <c r="T378" s="192">
        <v>29.46</v>
      </c>
      <c r="U378" s="291">
        <v>3817.48</v>
      </c>
      <c r="V378" s="291">
        <v>3817.48</v>
      </c>
      <c r="W378" s="292">
        <v>53187.12</v>
      </c>
      <c r="X378" s="292">
        <v>45809.760000000002</v>
      </c>
      <c r="Y378" s="292">
        <v>71242.320000000007</v>
      </c>
      <c r="Z378" s="292">
        <v>96579.79</v>
      </c>
      <c r="AA378" s="290">
        <v>98629.557839999979</v>
      </c>
      <c r="AB378" s="285">
        <v>97858.261199999979</v>
      </c>
      <c r="AC378" s="290">
        <v>10699.45</v>
      </c>
      <c r="AD378" s="192">
        <v>12</v>
      </c>
      <c r="AE378" s="290">
        <v>11000</v>
      </c>
      <c r="AF378" s="194">
        <v>139393.40000000002</v>
      </c>
    </row>
    <row r="379" spans="1:34" x14ac:dyDescent="0.3">
      <c r="A379" s="192">
        <v>5832</v>
      </c>
      <c r="B379" s="192">
        <v>81</v>
      </c>
      <c r="C379" s="192">
        <v>3280</v>
      </c>
      <c r="D379" s="192" t="s">
        <v>1441</v>
      </c>
      <c r="E379" s="192">
        <v>30930701</v>
      </c>
      <c r="F379" s="192" t="s">
        <v>1453</v>
      </c>
      <c r="G379" s="290">
        <v>0.45</v>
      </c>
      <c r="H379" s="192">
        <v>2642.17</v>
      </c>
      <c r="I379" s="192">
        <v>160.27000000000001</v>
      </c>
      <c r="J379" s="192">
        <v>165.4</v>
      </c>
      <c r="K379" s="192">
        <v>0</v>
      </c>
      <c r="L379" s="192">
        <v>0</v>
      </c>
      <c r="M379" s="192">
        <v>0</v>
      </c>
      <c r="N379" s="192">
        <v>36.5</v>
      </c>
      <c r="O379" s="192">
        <v>3004.34</v>
      </c>
      <c r="P379" s="192">
        <v>107</v>
      </c>
      <c r="Q379" s="192">
        <v>225.33</v>
      </c>
      <c r="R379" s="192">
        <v>0</v>
      </c>
      <c r="S379" s="285">
        <v>0.45</v>
      </c>
      <c r="T379" s="192">
        <v>588.5</v>
      </c>
      <c r="U379" s="291">
        <v>3925.17</v>
      </c>
      <c r="V379" s="291">
        <v>3925.17</v>
      </c>
      <c r="W379" s="292">
        <v>48065.64</v>
      </c>
      <c r="X379" s="292">
        <v>47102.04</v>
      </c>
      <c r="Y379" s="292">
        <v>49833.679999999993</v>
      </c>
      <c r="Z379" s="292">
        <v>63177.03</v>
      </c>
      <c r="AA379" s="290">
        <v>63819.578789999992</v>
      </c>
      <c r="AB379" s="285">
        <v>63320.500949999987</v>
      </c>
      <c r="AC379" s="290">
        <v>4005.47</v>
      </c>
      <c r="AD379" s="192">
        <v>12</v>
      </c>
      <c r="AE379" s="290">
        <v>4000</v>
      </c>
      <c r="AF379" s="194">
        <v>52065.64</v>
      </c>
    </row>
    <row r="380" spans="1:34" s="196" customFormat="1" x14ac:dyDescent="0.3">
      <c r="G380" s="288">
        <f>SUM(G367:G379)</f>
        <v>9.2199999999999989</v>
      </c>
      <c r="H380" s="288">
        <f t="shared" ref="H380:AF380" si="35">SUM(H367:H379)</f>
        <v>57862.46</v>
      </c>
      <c r="I380" s="288">
        <f t="shared" si="35"/>
        <v>3541.6299999999997</v>
      </c>
      <c r="J380" s="288">
        <f t="shared" si="35"/>
        <v>2011.75</v>
      </c>
      <c r="K380" s="288">
        <f t="shared" si="35"/>
        <v>129.53</v>
      </c>
      <c r="L380" s="288">
        <f t="shared" si="35"/>
        <v>0</v>
      </c>
      <c r="M380" s="288">
        <f t="shared" si="35"/>
        <v>0</v>
      </c>
      <c r="N380" s="288">
        <f t="shared" si="35"/>
        <v>1036.28</v>
      </c>
      <c r="O380" s="288">
        <f t="shared" si="35"/>
        <v>64581.649999999994</v>
      </c>
      <c r="P380" s="288">
        <f t="shared" si="35"/>
        <v>2173.8599999999997</v>
      </c>
      <c r="Q380" s="288">
        <f t="shared" si="35"/>
        <v>4582.75</v>
      </c>
      <c r="R380" s="288">
        <f t="shared" si="35"/>
        <v>0</v>
      </c>
      <c r="S380" s="288">
        <f t="shared" si="35"/>
        <v>9.2199999999999989</v>
      </c>
      <c r="T380" s="288">
        <f t="shared" si="35"/>
        <v>11904.750000000002</v>
      </c>
      <c r="U380" s="288">
        <f t="shared" si="35"/>
        <v>83243.00999999998</v>
      </c>
      <c r="V380" s="288">
        <f t="shared" si="35"/>
        <v>83243.00999999998</v>
      </c>
      <c r="W380" s="288">
        <f t="shared" si="35"/>
        <v>1037126.52</v>
      </c>
      <c r="X380" s="288">
        <f t="shared" si="35"/>
        <v>998916.12</v>
      </c>
      <c r="Y380" s="288">
        <f t="shared" si="35"/>
        <v>1083514.8</v>
      </c>
      <c r="Z380" s="288">
        <f t="shared" si="35"/>
        <v>1144172</v>
      </c>
      <c r="AA380" s="288">
        <f t="shared" si="35"/>
        <v>1157751.9845099996</v>
      </c>
      <c r="AB380" s="288">
        <f t="shared" si="35"/>
        <v>1148698.2055500001</v>
      </c>
      <c r="AC380" s="288">
        <f t="shared" si="35"/>
        <v>92694.400000000009</v>
      </c>
      <c r="AD380" s="288">
        <f t="shared" si="35"/>
        <v>156</v>
      </c>
      <c r="AE380" s="288">
        <f t="shared" si="35"/>
        <v>93000</v>
      </c>
      <c r="AF380" s="288">
        <f t="shared" si="35"/>
        <v>1205332.8</v>
      </c>
      <c r="AG380" s="288"/>
      <c r="AH380" s="288">
        <v>0</v>
      </c>
    </row>
    <row r="381" spans="1:34" s="193" customFormat="1" x14ac:dyDescent="0.3"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  <c r="AB381" s="285"/>
      <c r="AC381" s="285"/>
      <c r="AD381" s="285"/>
      <c r="AE381" s="285"/>
      <c r="AF381" s="301"/>
      <c r="AG381" s="285"/>
      <c r="AH381" s="285"/>
    </row>
    <row r="382" spans="1:34" x14ac:dyDescent="0.3">
      <c r="A382" s="192">
        <v>5830</v>
      </c>
      <c r="B382" s="192">
        <v>81</v>
      </c>
      <c r="C382" s="192">
        <v>3300</v>
      </c>
      <c r="D382" s="192" t="s">
        <v>1454</v>
      </c>
      <c r="E382" s="192">
        <v>2246222</v>
      </c>
      <c r="F382" s="192" t="s">
        <v>1455</v>
      </c>
      <c r="G382" s="290">
        <v>0</v>
      </c>
      <c r="H382" s="192">
        <v>295</v>
      </c>
      <c r="I382" s="192">
        <v>0</v>
      </c>
      <c r="J382" s="192">
        <v>0</v>
      </c>
      <c r="K382" s="192">
        <v>0</v>
      </c>
      <c r="L382" s="192">
        <v>0</v>
      </c>
      <c r="M382" s="192">
        <v>0</v>
      </c>
      <c r="N382" s="192">
        <v>0</v>
      </c>
      <c r="O382" s="192">
        <v>295</v>
      </c>
      <c r="P382" s="192">
        <v>10.53</v>
      </c>
      <c r="Q382" s="192">
        <v>22.12</v>
      </c>
      <c r="R382" s="192">
        <v>0</v>
      </c>
      <c r="S382" s="285">
        <v>0</v>
      </c>
      <c r="T382" s="192">
        <v>39.83</v>
      </c>
      <c r="U382" s="291">
        <v>367.48</v>
      </c>
      <c r="V382" s="291">
        <v>367.48</v>
      </c>
      <c r="W382" s="292">
        <v>22671.48</v>
      </c>
      <c r="X382" s="292">
        <v>4409.76</v>
      </c>
      <c r="Y382" s="292">
        <v>10849.4</v>
      </c>
      <c r="Z382" s="292">
        <v>5109.63</v>
      </c>
      <c r="AA382" s="290">
        <v>7734.2175899999993</v>
      </c>
      <c r="AB382" s="285">
        <v>7673.7349499999991</v>
      </c>
      <c r="AC382" s="290">
        <v>400</v>
      </c>
      <c r="AD382" s="192">
        <v>12</v>
      </c>
      <c r="AE382" s="290">
        <v>400</v>
      </c>
      <c r="AF382" s="194">
        <v>5200</v>
      </c>
    </row>
    <row r="383" spans="1:34" x14ac:dyDescent="0.3">
      <c r="A383" s="192">
        <v>5830</v>
      </c>
      <c r="B383" s="192">
        <v>81</v>
      </c>
      <c r="C383" s="192">
        <v>3300</v>
      </c>
      <c r="D383" s="192" t="s">
        <v>1454</v>
      </c>
      <c r="E383" s="192">
        <v>2564647</v>
      </c>
      <c r="F383" s="192" t="s">
        <v>1456</v>
      </c>
      <c r="G383" s="290">
        <v>0</v>
      </c>
      <c r="H383" s="192">
        <v>3361.24</v>
      </c>
      <c r="I383" s="192">
        <v>0</v>
      </c>
      <c r="J383" s="192">
        <v>0</v>
      </c>
      <c r="K383" s="192">
        <v>0</v>
      </c>
      <c r="L383" s="192">
        <v>0</v>
      </c>
      <c r="M383" s="192">
        <v>0</v>
      </c>
      <c r="N383" s="192">
        <v>0</v>
      </c>
      <c r="O383" s="192">
        <v>3361.24</v>
      </c>
      <c r="P383" s="192">
        <v>119.2</v>
      </c>
      <c r="Q383" s="192">
        <v>252.1</v>
      </c>
      <c r="R383" s="192">
        <v>0</v>
      </c>
      <c r="S383" s="285">
        <v>0</v>
      </c>
      <c r="T383" s="192">
        <v>226.89</v>
      </c>
      <c r="U383" s="291">
        <v>3959.43</v>
      </c>
      <c r="V383" s="291">
        <v>3959.43</v>
      </c>
      <c r="W383" s="292">
        <v>0</v>
      </c>
      <c r="X383" s="292">
        <v>47513.159999999996</v>
      </c>
      <c r="Y383" s="292">
        <v>15837.72</v>
      </c>
      <c r="Z383" s="292">
        <v>0</v>
      </c>
      <c r="AA383" s="290">
        <v>0</v>
      </c>
      <c r="AB383" s="285">
        <v>0</v>
      </c>
      <c r="AC383" s="290">
        <v>3990</v>
      </c>
      <c r="AD383" s="192">
        <v>12</v>
      </c>
      <c r="AE383" s="290">
        <v>3900</v>
      </c>
      <c r="AF383" s="194">
        <v>51780</v>
      </c>
      <c r="AG383" s="192" t="s">
        <v>1457</v>
      </c>
    </row>
    <row r="384" spans="1:34" x14ac:dyDescent="0.3">
      <c r="A384" s="192">
        <v>5830</v>
      </c>
      <c r="B384" s="192">
        <v>81</v>
      </c>
      <c r="C384" s="192">
        <v>3300</v>
      </c>
      <c r="D384" s="192" t="s">
        <v>1454</v>
      </c>
      <c r="E384" s="192">
        <v>5873721</v>
      </c>
      <c r="F384" s="192" t="s">
        <v>1458</v>
      </c>
      <c r="G384" s="290">
        <v>0.2</v>
      </c>
      <c r="H384" s="192">
        <v>1156.3900000000001</v>
      </c>
      <c r="I384" s="192">
        <v>73.180000000000007</v>
      </c>
      <c r="J384" s="192">
        <v>0</v>
      </c>
      <c r="K384" s="192">
        <v>0</v>
      </c>
      <c r="L384" s="192">
        <v>0</v>
      </c>
      <c r="M384" s="192">
        <v>0</v>
      </c>
      <c r="N384" s="192">
        <v>0</v>
      </c>
      <c r="O384" s="192">
        <v>1229.57</v>
      </c>
      <c r="P384" s="192">
        <v>0</v>
      </c>
      <c r="Q384" s="192">
        <v>0</v>
      </c>
      <c r="R384" s="192">
        <v>0</v>
      </c>
      <c r="S384" s="285">
        <v>0.20000000000000004</v>
      </c>
      <c r="T384" s="192">
        <v>0</v>
      </c>
      <c r="U384" s="291">
        <v>1229.57</v>
      </c>
      <c r="V384" s="291">
        <v>1229.57</v>
      </c>
      <c r="W384" s="292">
        <v>14498.04</v>
      </c>
      <c r="X384" s="292">
        <v>14754.84</v>
      </c>
      <c r="Y384" s="292">
        <v>14638.48</v>
      </c>
      <c r="Z384" s="292">
        <v>20180.919999999998</v>
      </c>
      <c r="AA384" s="290">
        <v>20645.081159999998</v>
      </c>
      <c r="AB384" s="285">
        <v>20483.633799999996</v>
      </c>
      <c r="AC384" s="290">
        <v>1700</v>
      </c>
      <c r="AD384" s="192">
        <v>12</v>
      </c>
      <c r="AE384" s="290">
        <v>1500</v>
      </c>
      <c r="AF384" s="194">
        <v>21900</v>
      </c>
    </row>
    <row r="385" spans="1:33" x14ac:dyDescent="0.3">
      <c r="A385" s="192">
        <v>5832</v>
      </c>
      <c r="B385" s="192">
        <v>81</v>
      </c>
      <c r="C385" s="192">
        <v>3300</v>
      </c>
      <c r="D385" s="192" t="s">
        <v>1454</v>
      </c>
      <c r="E385" s="192">
        <v>2226254</v>
      </c>
      <c r="F385" s="192" t="s">
        <v>1459</v>
      </c>
      <c r="G385" s="290">
        <v>0.9</v>
      </c>
      <c r="H385" s="192">
        <v>6614.17</v>
      </c>
      <c r="I385" s="192">
        <v>357.34</v>
      </c>
      <c r="J385" s="192">
        <v>192.74</v>
      </c>
      <c r="K385" s="192">
        <v>0</v>
      </c>
      <c r="L385" s="192">
        <v>0</v>
      </c>
      <c r="M385" s="192">
        <v>0</v>
      </c>
      <c r="N385" s="192">
        <v>288.5</v>
      </c>
      <c r="O385" s="192">
        <v>7452.75</v>
      </c>
      <c r="P385" s="192">
        <v>311</v>
      </c>
      <c r="Q385" s="192">
        <v>559.75</v>
      </c>
      <c r="R385" s="192">
        <v>0</v>
      </c>
      <c r="S385" s="285">
        <v>0.9</v>
      </c>
      <c r="T385" s="192">
        <v>585.77</v>
      </c>
      <c r="U385" s="291">
        <v>8909.27</v>
      </c>
      <c r="V385" s="291">
        <v>8909.27</v>
      </c>
      <c r="W385" s="292">
        <v>107424.24</v>
      </c>
      <c r="X385" s="292">
        <v>106911.24</v>
      </c>
      <c r="Y385" s="292">
        <v>109297.20000000001</v>
      </c>
      <c r="Z385" s="292">
        <v>116890.99</v>
      </c>
      <c r="AA385" s="290">
        <v>118757.48181</v>
      </c>
      <c r="AB385" s="285">
        <v>117828.78204999999</v>
      </c>
      <c r="AC385" s="290">
        <v>9745.77</v>
      </c>
      <c r="AD385" s="192">
        <v>12</v>
      </c>
      <c r="AE385" s="290">
        <v>9000</v>
      </c>
      <c r="AF385" s="194">
        <v>125949.24</v>
      </c>
    </row>
    <row r="386" spans="1:33" x14ac:dyDescent="0.3">
      <c r="A386" s="192">
        <v>5832</v>
      </c>
      <c r="B386" s="192">
        <v>81</v>
      </c>
      <c r="C386" s="192">
        <v>3300</v>
      </c>
      <c r="D386" s="192" t="s">
        <v>1454</v>
      </c>
      <c r="E386" s="192">
        <v>2244025</v>
      </c>
      <c r="F386" s="192" t="s">
        <v>1460</v>
      </c>
      <c r="G386" s="290">
        <v>0.9</v>
      </c>
      <c r="H386" s="192">
        <v>6618.23</v>
      </c>
      <c r="I386" s="192">
        <v>358.58</v>
      </c>
      <c r="J386" s="192">
        <v>192.74</v>
      </c>
      <c r="K386" s="192">
        <v>0</v>
      </c>
      <c r="L386" s="192">
        <v>0</v>
      </c>
      <c r="M386" s="192">
        <v>0</v>
      </c>
      <c r="N386" s="192">
        <v>288.5</v>
      </c>
      <c r="O386" s="192">
        <v>7458.05</v>
      </c>
      <c r="P386" s="192">
        <v>310</v>
      </c>
      <c r="Q386" s="192">
        <v>559.35</v>
      </c>
      <c r="R386" s="192">
        <v>0</v>
      </c>
      <c r="S386" s="285">
        <v>0.9</v>
      </c>
      <c r="T386" s="192">
        <v>586.17999999999995</v>
      </c>
      <c r="U386" s="291">
        <v>8913.58</v>
      </c>
      <c r="V386" s="291">
        <v>8913.58</v>
      </c>
      <c r="W386" s="292">
        <v>128779.44</v>
      </c>
      <c r="X386" s="292">
        <v>106962.95999999999</v>
      </c>
      <c r="Y386" s="292">
        <v>114379.35999999999</v>
      </c>
      <c r="Z386" s="292">
        <v>116963.44</v>
      </c>
      <c r="AA386" s="290">
        <v>119022.95030999999</v>
      </c>
      <c r="AB386" s="285">
        <v>118092.17455</v>
      </c>
      <c r="AC386" s="290">
        <v>10731.62</v>
      </c>
      <c r="AD386" s="192">
        <v>12</v>
      </c>
      <c r="AE386" s="290">
        <v>1000</v>
      </c>
      <c r="AF386" s="194">
        <v>129779.44</v>
      </c>
    </row>
    <row r="387" spans="1:33" x14ac:dyDescent="0.3">
      <c r="A387" s="192">
        <v>5832</v>
      </c>
      <c r="B387" s="192">
        <v>81</v>
      </c>
      <c r="C387" s="192">
        <v>3300</v>
      </c>
      <c r="D387" s="192" t="s">
        <v>1454</v>
      </c>
      <c r="E387" s="192">
        <v>2304088</v>
      </c>
      <c r="F387" s="192" t="s">
        <v>1461</v>
      </c>
      <c r="G387" s="290">
        <v>0.76</v>
      </c>
      <c r="H387" s="192">
        <v>4725.41</v>
      </c>
      <c r="I387" s="192">
        <v>281.39999999999998</v>
      </c>
      <c r="J387" s="192">
        <v>185.94</v>
      </c>
      <c r="K387" s="192">
        <v>0</v>
      </c>
      <c r="L387" s="192">
        <v>0</v>
      </c>
      <c r="M387" s="192">
        <v>0</v>
      </c>
      <c r="N387" s="192">
        <v>36.5</v>
      </c>
      <c r="O387" s="192">
        <v>5229.25</v>
      </c>
      <c r="P387" s="192">
        <v>186</v>
      </c>
      <c r="Q387" s="192">
        <v>392.19</v>
      </c>
      <c r="R387" s="192">
        <v>0</v>
      </c>
      <c r="S387" s="285">
        <v>0.76000000000000012</v>
      </c>
      <c r="T387" s="192">
        <v>1081.32</v>
      </c>
      <c r="U387" s="291">
        <v>6888.76</v>
      </c>
      <c r="V387" s="291">
        <v>6888.76</v>
      </c>
      <c r="W387" s="292">
        <v>88985.4</v>
      </c>
      <c r="X387" s="292">
        <v>82665.119999999995</v>
      </c>
      <c r="Y387" s="292">
        <v>84615.96</v>
      </c>
      <c r="Z387" s="292">
        <v>86282.52</v>
      </c>
      <c r="AA387" s="290">
        <v>88267.017959999997</v>
      </c>
      <c r="AB387" s="285">
        <v>87576.757799999992</v>
      </c>
      <c r="AC387" s="290">
        <v>7415.45</v>
      </c>
      <c r="AD387" s="192">
        <v>12</v>
      </c>
      <c r="AE387" s="290">
        <v>7000</v>
      </c>
      <c r="AF387" s="194">
        <v>95985.4</v>
      </c>
    </row>
    <row r="388" spans="1:33" x14ac:dyDescent="0.3">
      <c r="A388" s="192">
        <v>5832</v>
      </c>
      <c r="B388" s="192">
        <v>81</v>
      </c>
      <c r="C388" s="192">
        <v>3300</v>
      </c>
      <c r="D388" s="192" t="s">
        <v>1454</v>
      </c>
      <c r="E388" s="192">
        <v>2366110</v>
      </c>
      <c r="F388" s="192" t="s">
        <v>1462</v>
      </c>
      <c r="G388" s="290">
        <v>1</v>
      </c>
      <c r="H388" s="192">
        <v>7729.4</v>
      </c>
      <c r="I388" s="192">
        <v>432.32</v>
      </c>
      <c r="J388" s="192">
        <v>197.6</v>
      </c>
      <c r="K388" s="192">
        <v>0</v>
      </c>
      <c r="L388" s="192">
        <v>0</v>
      </c>
      <c r="M388" s="192">
        <v>0</v>
      </c>
      <c r="N388" s="192">
        <v>36.5</v>
      </c>
      <c r="O388" s="192">
        <v>8395.82</v>
      </c>
      <c r="P388" s="192">
        <v>382</v>
      </c>
      <c r="Q388" s="192">
        <v>630.49</v>
      </c>
      <c r="R388" s="192">
        <v>0</v>
      </c>
      <c r="S388" s="285">
        <v>1</v>
      </c>
      <c r="T388" s="192">
        <v>791.84</v>
      </c>
      <c r="U388" s="291">
        <v>10200.15</v>
      </c>
      <c r="V388" s="291">
        <v>10200.15</v>
      </c>
      <c r="W388" s="292">
        <v>120551.76</v>
      </c>
      <c r="X388" s="292">
        <v>122401.79999999999</v>
      </c>
      <c r="Y388" s="292">
        <v>121570.84</v>
      </c>
      <c r="Z388" s="292">
        <v>134505.91</v>
      </c>
      <c r="AA388" s="290">
        <v>137416.34709</v>
      </c>
      <c r="AB388" s="285">
        <v>136341.73245000001</v>
      </c>
      <c r="AC388" s="290">
        <v>10045.98</v>
      </c>
      <c r="AD388" s="192">
        <v>12</v>
      </c>
      <c r="AE388" s="290">
        <v>1000</v>
      </c>
      <c r="AF388" s="194">
        <v>121551.76</v>
      </c>
    </row>
    <row r="389" spans="1:33" x14ac:dyDescent="0.3">
      <c r="A389" s="192">
        <v>5832</v>
      </c>
      <c r="B389" s="192">
        <v>81</v>
      </c>
      <c r="C389" s="192">
        <v>3300</v>
      </c>
      <c r="D389" s="192" t="s">
        <v>1454</v>
      </c>
      <c r="E389" s="192">
        <v>2418168</v>
      </c>
      <c r="F389" s="192" t="s">
        <v>1463</v>
      </c>
      <c r="G389" s="290">
        <v>0.9</v>
      </c>
      <c r="H389" s="192">
        <v>3718.67</v>
      </c>
      <c r="I389" s="192">
        <v>344.45</v>
      </c>
      <c r="J389" s="192">
        <v>192.74</v>
      </c>
      <c r="K389" s="192">
        <v>0</v>
      </c>
      <c r="L389" s="192">
        <v>0</v>
      </c>
      <c r="M389" s="192">
        <v>0</v>
      </c>
      <c r="N389" s="192">
        <v>36.5</v>
      </c>
      <c r="O389" s="192">
        <v>4292.3599999999997</v>
      </c>
      <c r="P389" s="192">
        <v>152</v>
      </c>
      <c r="Q389" s="192">
        <v>321.93</v>
      </c>
      <c r="R389" s="192">
        <v>0</v>
      </c>
      <c r="S389" s="285">
        <v>0.9</v>
      </c>
      <c r="T389" s="192">
        <v>875.85</v>
      </c>
      <c r="U389" s="291">
        <v>5642.14</v>
      </c>
      <c r="V389" s="291">
        <v>5642.14</v>
      </c>
      <c r="W389" s="292">
        <v>135073.08000000002</v>
      </c>
      <c r="X389" s="292">
        <v>67705.680000000008</v>
      </c>
      <c r="Y389" s="292">
        <v>101964</v>
      </c>
      <c r="Z389" s="292">
        <v>114048.04</v>
      </c>
      <c r="AA389" s="290">
        <v>116729.22062999998</v>
      </c>
      <c r="AB389" s="285">
        <v>115816.38214999999</v>
      </c>
      <c r="AC389" s="290">
        <v>11256.09</v>
      </c>
      <c r="AD389" s="192">
        <v>12</v>
      </c>
      <c r="AE389" s="290">
        <v>11000</v>
      </c>
      <c r="AF389" s="194">
        <v>146073.08000000002</v>
      </c>
    </row>
    <row r="390" spans="1:33" x14ac:dyDescent="0.3">
      <c r="A390" s="192">
        <v>5832</v>
      </c>
      <c r="B390" s="192">
        <v>81</v>
      </c>
      <c r="C390" s="192">
        <v>3300</v>
      </c>
      <c r="D390" s="192" t="s">
        <v>1454</v>
      </c>
      <c r="E390" s="192">
        <v>2458130</v>
      </c>
      <c r="F390" s="192" t="s">
        <v>1464</v>
      </c>
      <c r="G390" s="290">
        <v>0.9</v>
      </c>
      <c r="H390" s="192">
        <v>5417.66</v>
      </c>
      <c r="I390" s="192">
        <v>320.73</v>
      </c>
      <c r="J390" s="192">
        <v>181.81</v>
      </c>
      <c r="K390" s="192">
        <v>0</v>
      </c>
      <c r="L390" s="192">
        <v>0</v>
      </c>
      <c r="M390" s="192">
        <v>0</v>
      </c>
      <c r="N390" s="192">
        <v>36.5</v>
      </c>
      <c r="O390" s="192">
        <v>5956.7</v>
      </c>
      <c r="P390" s="192">
        <v>217</v>
      </c>
      <c r="Q390" s="192">
        <v>458</v>
      </c>
      <c r="R390" s="192">
        <v>0</v>
      </c>
      <c r="S390" s="285">
        <v>0.9</v>
      </c>
      <c r="T390" s="192">
        <v>803.73</v>
      </c>
      <c r="U390" s="291">
        <v>7435.43</v>
      </c>
      <c r="V390" s="291">
        <v>7435.43</v>
      </c>
      <c r="W390" s="292">
        <v>112932.12</v>
      </c>
      <c r="X390" s="292">
        <v>89225.16</v>
      </c>
      <c r="Y390" s="292">
        <v>96278.84</v>
      </c>
      <c r="Z390" s="292">
        <v>23007.13</v>
      </c>
      <c r="AA390" s="290">
        <v>23536.293989999995</v>
      </c>
      <c r="AB390" s="285">
        <v>23352.236949999995</v>
      </c>
      <c r="AC390" s="290">
        <v>6000</v>
      </c>
      <c r="AD390" s="192">
        <v>12</v>
      </c>
      <c r="AE390" s="290">
        <v>6000</v>
      </c>
      <c r="AF390" s="194">
        <v>78000</v>
      </c>
    </row>
    <row r="391" spans="1:33" x14ac:dyDescent="0.3">
      <c r="A391" s="192">
        <v>5832</v>
      </c>
      <c r="B391" s="192">
        <v>81</v>
      </c>
      <c r="C391" s="192">
        <v>3300</v>
      </c>
      <c r="D391" s="192" t="s">
        <v>1454</v>
      </c>
      <c r="E391" s="192">
        <v>2733417</v>
      </c>
      <c r="F391" s="192" t="s">
        <v>1465</v>
      </c>
      <c r="G391" s="290">
        <v>1</v>
      </c>
      <c r="H391" s="192">
        <v>6309.58</v>
      </c>
      <c r="I391" s="192">
        <v>371.48</v>
      </c>
      <c r="J391" s="192">
        <v>149</v>
      </c>
      <c r="K391" s="192">
        <v>0</v>
      </c>
      <c r="L391" s="192">
        <v>0</v>
      </c>
      <c r="M391" s="192">
        <v>0</v>
      </c>
      <c r="N391" s="192">
        <v>36.5</v>
      </c>
      <c r="O391" s="192">
        <v>6866.56</v>
      </c>
      <c r="P391" s="192">
        <v>266</v>
      </c>
      <c r="Q391" s="192">
        <v>514.99</v>
      </c>
      <c r="R391" s="192">
        <v>0</v>
      </c>
      <c r="S391" s="285">
        <v>1</v>
      </c>
      <c r="T391" s="192">
        <v>1439.76</v>
      </c>
      <c r="U391" s="291">
        <v>9087.31</v>
      </c>
      <c r="V391" s="291">
        <v>9087.31</v>
      </c>
      <c r="W391" s="292">
        <v>109923.72</v>
      </c>
      <c r="X391" s="292">
        <v>109047.72</v>
      </c>
      <c r="Y391" s="292">
        <v>109253.48000000001</v>
      </c>
      <c r="Z391" s="292">
        <v>86780.82</v>
      </c>
      <c r="AA391" s="290">
        <v>0</v>
      </c>
      <c r="AB391" s="285">
        <v>88082.532299999992</v>
      </c>
      <c r="AC391" s="290">
        <v>9160.31</v>
      </c>
      <c r="AD391" s="192">
        <v>12</v>
      </c>
      <c r="AE391" s="290">
        <v>9000</v>
      </c>
      <c r="AF391" s="194">
        <v>118923.72</v>
      </c>
    </row>
    <row r="392" spans="1:33" x14ac:dyDescent="0.3">
      <c r="A392" s="192">
        <v>5832</v>
      </c>
      <c r="B392" s="192">
        <v>81</v>
      </c>
      <c r="C392" s="192">
        <v>3300</v>
      </c>
      <c r="D392" s="192" t="s">
        <v>1454</v>
      </c>
      <c r="E392" s="192">
        <v>2887512</v>
      </c>
      <c r="F392" s="192" t="s">
        <v>1466</v>
      </c>
      <c r="G392" s="290">
        <v>0.9</v>
      </c>
      <c r="H392" s="192">
        <v>7165.11</v>
      </c>
      <c r="I392" s="192">
        <v>353.74</v>
      </c>
      <c r="J392" s="192">
        <v>192.74</v>
      </c>
      <c r="K392" s="192">
        <v>0</v>
      </c>
      <c r="L392" s="192">
        <v>0</v>
      </c>
      <c r="M392" s="192">
        <v>0</v>
      </c>
      <c r="N392" s="192">
        <v>36.5</v>
      </c>
      <c r="O392" s="192">
        <v>7748.09</v>
      </c>
      <c r="P392" s="192">
        <v>332</v>
      </c>
      <c r="Q392" s="192">
        <v>581.11</v>
      </c>
      <c r="R392" s="192">
        <v>0</v>
      </c>
      <c r="S392" s="285">
        <v>0.9</v>
      </c>
      <c r="T392" s="192">
        <v>671.91</v>
      </c>
      <c r="U392" s="291">
        <v>9333.11</v>
      </c>
      <c r="V392" s="291">
        <v>9333.11</v>
      </c>
      <c r="W392" s="292">
        <v>110472</v>
      </c>
      <c r="X392" s="292">
        <v>111997.32</v>
      </c>
      <c r="Y392" s="292">
        <v>111310.68</v>
      </c>
      <c r="Z392" s="292">
        <v>136796.76</v>
      </c>
      <c r="AA392" s="290">
        <v>139863.63929999998</v>
      </c>
      <c r="AB392" s="285">
        <v>138769.88649999999</v>
      </c>
      <c r="AC392" s="290">
        <v>9206</v>
      </c>
      <c r="AD392" s="192">
        <v>12</v>
      </c>
      <c r="AE392" s="290">
        <v>9000</v>
      </c>
      <c r="AF392" s="194">
        <v>119472</v>
      </c>
    </row>
    <row r="393" spans="1:33" x14ac:dyDescent="0.3">
      <c r="A393" s="192">
        <v>5832</v>
      </c>
      <c r="B393" s="192">
        <v>81</v>
      </c>
      <c r="C393" s="192">
        <v>3300</v>
      </c>
      <c r="D393" s="192" t="s">
        <v>1454</v>
      </c>
      <c r="E393" s="192">
        <v>2887548</v>
      </c>
      <c r="F393" s="192" t="s">
        <v>1467</v>
      </c>
      <c r="G393" s="290">
        <v>0.9</v>
      </c>
      <c r="H393" s="192">
        <v>6240.45</v>
      </c>
      <c r="I393" s="192">
        <v>352.26</v>
      </c>
      <c r="J393" s="192">
        <v>192.74</v>
      </c>
      <c r="K393" s="192">
        <v>0</v>
      </c>
      <c r="L393" s="192">
        <v>0</v>
      </c>
      <c r="M393" s="192">
        <v>0</v>
      </c>
      <c r="N393" s="192">
        <v>36.5</v>
      </c>
      <c r="O393" s="192">
        <v>6821.95</v>
      </c>
      <c r="P393" s="192">
        <v>0</v>
      </c>
      <c r="Q393" s="192">
        <v>0</v>
      </c>
      <c r="R393" s="192">
        <v>0</v>
      </c>
      <c r="S393" s="285">
        <v>0.9</v>
      </c>
      <c r="T393" s="192">
        <v>0</v>
      </c>
      <c r="U393" s="291">
        <v>6821.95</v>
      </c>
      <c r="V393" s="291">
        <v>6821.95</v>
      </c>
      <c r="W393" s="292">
        <v>2952</v>
      </c>
      <c r="X393" s="292">
        <v>81863.399999999994</v>
      </c>
      <c r="Y393" s="292">
        <v>984</v>
      </c>
      <c r="Z393" s="292">
        <v>119388.24</v>
      </c>
      <c r="AA393" s="290">
        <v>122145.03377999998</v>
      </c>
      <c r="AB393" s="285">
        <v>121189.84289999999</v>
      </c>
      <c r="AC393" s="290">
        <v>9114.84</v>
      </c>
      <c r="AD393" s="192">
        <v>12</v>
      </c>
      <c r="AE393" s="290">
        <v>9000</v>
      </c>
      <c r="AF393" s="194">
        <v>118378.08</v>
      </c>
    </row>
    <row r="394" spans="1:33" x14ac:dyDescent="0.3">
      <c r="A394" s="192">
        <v>5832</v>
      </c>
      <c r="B394" s="192">
        <v>81</v>
      </c>
      <c r="C394" s="192">
        <v>3300</v>
      </c>
      <c r="D394" s="192" t="s">
        <v>1454</v>
      </c>
      <c r="E394" s="192">
        <v>2944925</v>
      </c>
      <c r="F394" s="192" t="s">
        <v>1468</v>
      </c>
      <c r="G394" s="290">
        <v>0.9</v>
      </c>
      <c r="H394" s="192">
        <v>5392.63</v>
      </c>
      <c r="I394" s="192">
        <v>322.26</v>
      </c>
      <c r="J394" s="192">
        <v>187.27</v>
      </c>
      <c r="K394" s="192">
        <v>0</v>
      </c>
      <c r="L394" s="192">
        <v>0</v>
      </c>
      <c r="M394" s="192">
        <v>0</v>
      </c>
      <c r="N394" s="192">
        <v>-73</v>
      </c>
      <c r="O394" s="192">
        <v>5829.16</v>
      </c>
      <c r="P394" s="192">
        <v>211</v>
      </c>
      <c r="Q394" s="192">
        <v>448.43</v>
      </c>
      <c r="R394" s="192">
        <v>0</v>
      </c>
      <c r="S394" s="285">
        <v>0.9</v>
      </c>
      <c r="T394" s="192">
        <v>800.45</v>
      </c>
      <c r="U394" s="291">
        <v>7289.04</v>
      </c>
      <c r="V394" s="291">
        <v>7289.04</v>
      </c>
      <c r="W394" s="292">
        <v>96373.56</v>
      </c>
      <c r="X394" s="292">
        <v>87468.479999999996</v>
      </c>
      <c r="Y394" s="292">
        <v>90693.28</v>
      </c>
      <c r="Z394" s="292">
        <v>8934.25</v>
      </c>
      <c r="AA394" s="290">
        <v>27419.213249999997</v>
      </c>
      <c r="AB394" s="285">
        <v>27204.791249999998</v>
      </c>
      <c r="AC394" s="290">
        <v>8031.13</v>
      </c>
      <c r="AD394" s="192">
        <v>12</v>
      </c>
      <c r="AE394" s="290">
        <v>8000</v>
      </c>
      <c r="AF394" s="194">
        <v>104373.56</v>
      </c>
    </row>
    <row r="395" spans="1:33" x14ac:dyDescent="0.3">
      <c r="A395" s="192">
        <v>5832</v>
      </c>
      <c r="B395" s="192">
        <v>81</v>
      </c>
      <c r="C395" s="192">
        <v>3300</v>
      </c>
      <c r="D395" s="192" t="s">
        <v>1454</v>
      </c>
      <c r="E395" s="192">
        <v>3594506</v>
      </c>
      <c r="F395" s="192" t="s">
        <v>1469</v>
      </c>
      <c r="G395" s="290">
        <v>0.9</v>
      </c>
      <c r="H395" s="192">
        <v>5784.09</v>
      </c>
      <c r="I395" s="192">
        <v>343.38</v>
      </c>
      <c r="J395" s="192">
        <v>149</v>
      </c>
      <c r="K395" s="192">
        <v>0</v>
      </c>
      <c r="L395" s="192">
        <v>0</v>
      </c>
      <c r="M395" s="192">
        <v>0</v>
      </c>
      <c r="N395" s="192">
        <v>0</v>
      </c>
      <c r="O395" s="192">
        <v>6276.47</v>
      </c>
      <c r="P395" s="192">
        <v>222</v>
      </c>
      <c r="Q395" s="192">
        <v>470.73</v>
      </c>
      <c r="R395" s="192">
        <v>0</v>
      </c>
      <c r="S395" s="285">
        <v>0.9</v>
      </c>
      <c r="T395" s="192">
        <v>1323.04</v>
      </c>
      <c r="U395" s="291">
        <v>8292.24</v>
      </c>
      <c r="V395" s="291">
        <v>8292.24</v>
      </c>
      <c r="W395" s="292">
        <v>96676.92</v>
      </c>
      <c r="X395" s="292">
        <v>99506.880000000005</v>
      </c>
      <c r="Y395" s="292">
        <v>100208.76</v>
      </c>
      <c r="Z395" s="292">
        <v>113414.11</v>
      </c>
      <c r="AA395" s="290">
        <v>115760.2248</v>
      </c>
      <c r="AB395" s="285">
        <v>114854.96399999999</v>
      </c>
      <c r="AC395" s="290">
        <v>8056.41</v>
      </c>
      <c r="AD395" s="192">
        <v>12</v>
      </c>
      <c r="AE395" s="290">
        <v>2000</v>
      </c>
      <c r="AF395" s="194">
        <v>98676.92</v>
      </c>
      <c r="AG395" s="192" t="s">
        <v>1470</v>
      </c>
    </row>
    <row r="396" spans="1:33" s="207" customFormat="1" x14ac:dyDescent="0.3">
      <c r="A396" s="207">
        <v>5832</v>
      </c>
      <c r="B396" s="207">
        <v>81</v>
      </c>
      <c r="C396" s="207">
        <v>3300</v>
      </c>
      <c r="D396" s="207" t="s">
        <v>1454</v>
      </c>
      <c r="E396" s="207">
        <v>3955533</v>
      </c>
      <c r="F396" s="207" t="s">
        <v>1471</v>
      </c>
      <c r="G396" s="305">
        <v>0</v>
      </c>
      <c r="H396" s="207">
        <v>-5138.42</v>
      </c>
      <c r="I396" s="207">
        <v>-287.91000000000003</v>
      </c>
      <c r="J396" s="207">
        <v>-187.27</v>
      </c>
      <c r="K396" s="207">
        <v>0</v>
      </c>
      <c r="L396" s="207">
        <v>0</v>
      </c>
      <c r="M396" s="207">
        <v>580.98</v>
      </c>
      <c r="N396" s="207">
        <v>0</v>
      </c>
      <c r="O396" s="207">
        <v>-5032.62</v>
      </c>
      <c r="P396" s="207">
        <v>-179</v>
      </c>
      <c r="Q396" s="207">
        <v>-377.44</v>
      </c>
      <c r="R396" s="207">
        <v>0</v>
      </c>
      <c r="S396" s="305"/>
      <c r="T396" s="207">
        <v>-760.22</v>
      </c>
      <c r="U396" s="306">
        <v>-6349.28</v>
      </c>
      <c r="V396" s="306">
        <v>-6349.28</v>
      </c>
      <c r="W396" s="307">
        <v>81995.759999999995</v>
      </c>
      <c r="X396" s="307">
        <v>-12698.56</v>
      </c>
      <c r="Y396" s="307">
        <v>29910.16</v>
      </c>
      <c r="Z396" s="307">
        <v>25335.89</v>
      </c>
      <c r="AA396" s="305">
        <v>22628.084819999996</v>
      </c>
      <c r="AB396" s="305">
        <v>22451.130099999998</v>
      </c>
      <c r="AC396" s="305">
        <v>6832.98</v>
      </c>
      <c r="AD396" s="207">
        <v>2</v>
      </c>
      <c r="AE396" s="305">
        <v>2000</v>
      </c>
      <c r="AF396" s="208">
        <v>15665.96</v>
      </c>
      <c r="AG396" s="207" t="s">
        <v>1472</v>
      </c>
    </row>
    <row r="397" spans="1:33" x14ac:dyDescent="0.3">
      <c r="A397" s="192">
        <v>5832</v>
      </c>
      <c r="B397" s="192">
        <v>81</v>
      </c>
      <c r="C397" s="192">
        <v>3300</v>
      </c>
      <c r="D397" s="192" t="s">
        <v>1454</v>
      </c>
      <c r="E397" s="192">
        <v>4005068</v>
      </c>
      <c r="F397" s="192" t="s">
        <v>1473</v>
      </c>
      <c r="G397" s="290">
        <v>0.9</v>
      </c>
      <c r="H397" s="192">
        <v>5798.57</v>
      </c>
      <c r="I397" s="192">
        <v>346.26</v>
      </c>
      <c r="J397" s="192">
        <v>192.74</v>
      </c>
      <c r="K397" s="192">
        <v>0</v>
      </c>
      <c r="L397" s="192">
        <v>0</v>
      </c>
      <c r="M397" s="192">
        <v>0</v>
      </c>
      <c r="N397" s="192">
        <v>36.5</v>
      </c>
      <c r="O397" s="192">
        <v>6374.07</v>
      </c>
      <c r="P397" s="192">
        <v>229</v>
      </c>
      <c r="Q397" s="192">
        <v>478.84</v>
      </c>
      <c r="R397" s="192">
        <v>0</v>
      </c>
      <c r="S397" s="285">
        <v>0.9</v>
      </c>
      <c r="T397" s="192">
        <v>1331</v>
      </c>
      <c r="U397" s="291">
        <v>8412.91</v>
      </c>
      <c r="V397" s="291">
        <v>8412.91</v>
      </c>
      <c r="W397" s="292">
        <v>107735.51999999999</v>
      </c>
      <c r="X397" s="292">
        <v>100954.92</v>
      </c>
      <c r="Y397" s="292">
        <v>105436.56</v>
      </c>
      <c r="Z397" s="292">
        <v>118729.73</v>
      </c>
      <c r="AA397" s="290">
        <v>121234.89113999998</v>
      </c>
      <c r="AB397" s="285">
        <v>120286.81769999999</v>
      </c>
      <c r="AC397" s="290">
        <v>8977.9599999999991</v>
      </c>
      <c r="AD397" s="192">
        <v>12</v>
      </c>
      <c r="AE397" s="290">
        <v>9000</v>
      </c>
      <c r="AF397" s="194">
        <v>116735.51999999999</v>
      </c>
    </row>
    <row r="398" spans="1:33" x14ac:dyDescent="0.3">
      <c r="A398" s="192">
        <v>5832</v>
      </c>
      <c r="B398" s="192">
        <v>81</v>
      </c>
      <c r="C398" s="192">
        <v>3300</v>
      </c>
      <c r="D398" s="192" t="s">
        <v>1454</v>
      </c>
      <c r="E398" s="192">
        <v>4056278</v>
      </c>
      <c r="F398" s="192" t="s">
        <v>1474</v>
      </c>
      <c r="G398" s="290">
        <v>0.9</v>
      </c>
      <c r="H398" s="192">
        <v>6985.47</v>
      </c>
      <c r="I398" s="192">
        <v>378.86</v>
      </c>
      <c r="J398" s="192">
        <v>192.74</v>
      </c>
      <c r="K398" s="192">
        <v>0</v>
      </c>
      <c r="L398" s="192">
        <v>0</v>
      </c>
      <c r="M398" s="192">
        <v>0</v>
      </c>
      <c r="N398" s="192">
        <v>288.5</v>
      </c>
      <c r="O398" s="192">
        <v>7845.57</v>
      </c>
      <c r="P398" s="192">
        <v>340</v>
      </c>
      <c r="Q398" s="192">
        <v>588.53</v>
      </c>
      <c r="R398" s="192">
        <v>0</v>
      </c>
      <c r="S398" s="285">
        <v>0.9</v>
      </c>
      <c r="T398" s="192">
        <v>1643.34</v>
      </c>
      <c r="U398" s="291">
        <v>10417.44</v>
      </c>
      <c r="V398" s="291">
        <v>10417.44</v>
      </c>
      <c r="W398" s="292">
        <v>136938.72</v>
      </c>
      <c r="X398" s="292">
        <v>125009.28</v>
      </c>
      <c r="Y398" s="292">
        <v>131627.92000000001</v>
      </c>
      <c r="Z398" s="292">
        <v>134472.13</v>
      </c>
      <c r="AA398" s="290">
        <v>135959.26772999999</v>
      </c>
      <c r="AB398" s="285">
        <v>134896.04764999999</v>
      </c>
      <c r="AC398" s="290">
        <v>11411.56</v>
      </c>
      <c r="AD398" s="192">
        <v>12</v>
      </c>
      <c r="AE398" s="290">
        <v>10000</v>
      </c>
      <c r="AF398" s="194">
        <v>146938.72</v>
      </c>
    </row>
    <row r="399" spans="1:33" x14ac:dyDescent="0.3">
      <c r="A399" s="192">
        <v>5832</v>
      </c>
      <c r="B399" s="192">
        <v>81</v>
      </c>
      <c r="C399" s="192">
        <v>3300</v>
      </c>
      <c r="D399" s="192" t="s">
        <v>1454</v>
      </c>
      <c r="E399" s="192">
        <v>5323168</v>
      </c>
      <c r="F399" s="192" t="s">
        <v>1475</v>
      </c>
      <c r="G399" s="290">
        <v>0.9</v>
      </c>
      <c r="H399" s="192">
        <v>7492.63</v>
      </c>
      <c r="I399" s="192">
        <v>374.07</v>
      </c>
      <c r="J399" s="192">
        <v>192.74</v>
      </c>
      <c r="K399" s="192">
        <v>0</v>
      </c>
      <c r="L399" s="192">
        <v>0</v>
      </c>
      <c r="M399" s="192">
        <v>0</v>
      </c>
      <c r="N399" s="192">
        <v>288.5</v>
      </c>
      <c r="O399" s="192">
        <v>8347.94</v>
      </c>
      <c r="P399" s="192">
        <v>346</v>
      </c>
      <c r="Q399" s="192">
        <v>626.1</v>
      </c>
      <c r="R399" s="192">
        <v>0</v>
      </c>
      <c r="S399" s="285">
        <v>0.9</v>
      </c>
      <c r="T399" s="192">
        <v>779.36</v>
      </c>
      <c r="U399" s="291">
        <v>10099.4</v>
      </c>
      <c r="V399" s="291">
        <v>10099.4</v>
      </c>
      <c r="W399" s="292">
        <v>169814.28</v>
      </c>
      <c r="X399" s="292">
        <v>121192.79999999999</v>
      </c>
      <c r="Y399" s="292">
        <v>138436.44</v>
      </c>
      <c r="Z399" s="292">
        <v>147741.04999999999</v>
      </c>
      <c r="AA399" s="290">
        <v>149732.81697000001</v>
      </c>
      <c r="AB399" s="285">
        <v>148561.88584999999</v>
      </c>
      <c r="AC399" s="290">
        <v>14151.19</v>
      </c>
      <c r="AD399" s="192">
        <v>12</v>
      </c>
      <c r="AE399" s="290">
        <v>10000</v>
      </c>
      <c r="AF399" s="194">
        <v>179814.28</v>
      </c>
    </row>
    <row r="400" spans="1:33" x14ac:dyDescent="0.3">
      <c r="A400" s="192">
        <v>5832</v>
      </c>
      <c r="B400" s="192">
        <v>81</v>
      </c>
      <c r="C400" s="192">
        <v>3300</v>
      </c>
      <c r="D400" s="192" t="s">
        <v>1454</v>
      </c>
      <c r="E400" s="192">
        <v>5429061</v>
      </c>
      <c r="F400" s="192" t="s">
        <v>1476</v>
      </c>
      <c r="G400" s="290">
        <v>0.9</v>
      </c>
      <c r="H400" s="192">
        <v>7082.04</v>
      </c>
      <c r="I400" s="192">
        <v>392.29</v>
      </c>
      <c r="J400" s="192">
        <v>192.74</v>
      </c>
      <c r="K400" s="192">
        <v>0</v>
      </c>
      <c r="L400" s="192">
        <v>0</v>
      </c>
      <c r="M400" s="192">
        <v>0</v>
      </c>
      <c r="N400" s="192">
        <v>36.5</v>
      </c>
      <c r="O400" s="192">
        <v>7703.57</v>
      </c>
      <c r="P400" s="192">
        <v>302</v>
      </c>
      <c r="Q400" s="192">
        <v>578.29999999999995</v>
      </c>
      <c r="R400" s="192">
        <v>0</v>
      </c>
      <c r="S400" s="285">
        <v>0.9</v>
      </c>
      <c r="T400" s="192">
        <v>722.8</v>
      </c>
      <c r="U400" s="291">
        <v>9306.67</v>
      </c>
      <c r="V400" s="291">
        <v>9306.67</v>
      </c>
      <c r="W400" s="292">
        <v>117443.04000000001</v>
      </c>
      <c r="X400" s="292">
        <v>111680.04000000001</v>
      </c>
      <c r="Y400" s="292">
        <v>116342.36</v>
      </c>
      <c r="Z400" s="292">
        <v>136140.29999999999</v>
      </c>
      <c r="AA400" s="290">
        <v>139728.60329999999</v>
      </c>
      <c r="AB400" s="285">
        <v>138635.90649999998</v>
      </c>
      <c r="AC400" s="290">
        <v>9786.92</v>
      </c>
      <c r="AD400" s="192">
        <v>12</v>
      </c>
      <c r="AE400" s="290">
        <v>9000</v>
      </c>
      <c r="AF400" s="194">
        <v>126443.04000000001</v>
      </c>
    </row>
    <row r="401" spans="1:34" s="197" customFormat="1" x14ac:dyDescent="0.3">
      <c r="A401" s="197">
        <v>5832</v>
      </c>
      <c r="B401" s="197">
        <v>81</v>
      </c>
      <c r="C401" s="197">
        <v>3300</v>
      </c>
      <c r="D401" s="197" t="s">
        <v>1454</v>
      </c>
      <c r="E401" s="197">
        <v>5767089</v>
      </c>
      <c r="F401" s="197" t="s">
        <v>1477</v>
      </c>
      <c r="G401" s="200">
        <v>1</v>
      </c>
      <c r="H401" s="197">
        <v>7019.51</v>
      </c>
      <c r="I401" s="197">
        <v>2707.14</v>
      </c>
      <c r="J401" s="197">
        <v>197.6</v>
      </c>
      <c r="K401" s="197">
        <v>284.08999999999997</v>
      </c>
      <c r="L401" s="197">
        <v>0</v>
      </c>
      <c r="M401" s="197">
        <v>0</v>
      </c>
      <c r="N401" s="197">
        <v>36.5</v>
      </c>
      <c r="O401" s="197">
        <v>10244.84</v>
      </c>
      <c r="P401" s="197">
        <v>523.04</v>
      </c>
      <c r="Q401" s="197">
        <v>769.84</v>
      </c>
      <c r="R401" s="197">
        <v>0</v>
      </c>
      <c r="S401" s="285">
        <v>1</v>
      </c>
      <c r="T401" s="197">
        <v>932.04</v>
      </c>
      <c r="U401" s="198">
        <v>12469.76</v>
      </c>
      <c r="V401" s="198">
        <v>12469.76</v>
      </c>
      <c r="W401" s="199">
        <v>160243.56</v>
      </c>
      <c r="X401" s="199">
        <v>149637.12</v>
      </c>
      <c r="Y401" s="199">
        <v>153794.72</v>
      </c>
      <c r="Z401" s="199">
        <v>115424</v>
      </c>
      <c r="AA401" s="200">
        <v>0</v>
      </c>
      <c r="AB401" s="201">
        <v>0</v>
      </c>
      <c r="AC401" s="200">
        <v>13353.63</v>
      </c>
      <c r="AD401" s="197">
        <v>12</v>
      </c>
      <c r="AE401" s="200">
        <v>10000</v>
      </c>
      <c r="AF401" s="202">
        <v>170243.56</v>
      </c>
      <c r="AG401" s="197" t="s">
        <v>1478</v>
      </c>
    </row>
    <row r="402" spans="1:34" s="207" customFormat="1" x14ac:dyDescent="0.3">
      <c r="A402" s="207">
        <v>5832</v>
      </c>
      <c r="B402" s="207">
        <v>81</v>
      </c>
      <c r="C402" s="207">
        <v>3300</v>
      </c>
      <c r="D402" s="207" t="s">
        <v>1454</v>
      </c>
      <c r="E402" s="207">
        <v>5873801</v>
      </c>
      <c r="F402" s="207" t="s">
        <v>1479</v>
      </c>
      <c r="G402" s="305">
        <v>0.9</v>
      </c>
      <c r="H402" s="207">
        <v>6759</v>
      </c>
      <c r="I402" s="207">
        <v>384.23</v>
      </c>
      <c r="J402" s="207">
        <v>192.74</v>
      </c>
      <c r="K402" s="207">
        <v>0</v>
      </c>
      <c r="L402" s="207">
        <v>0</v>
      </c>
      <c r="M402" s="207">
        <v>0</v>
      </c>
      <c r="N402" s="207">
        <v>288.5</v>
      </c>
      <c r="O402" s="207">
        <v>7624.47</v>
      </c>
      <c r="P402" s="207">
        <v>324</v>
      </c>
      <c r="Q402" s="207">
        <v>572.62</v>
      </c>
      <c r="R402" s="207">
        <v>0</v>
      </c>
      <c r="S402" s="285">
        <v>0.22500000000000001</v>
      </c>
      <c r="T402" s="207">
        <v>716.06</v>
      </c>
      <c r="U402" s="306">
        <v>9237.15</v>
      </c>
      <c r="V402" s="306">
        <v>9237.15</v>
      </c>
      <c r="W402" s="307">
        <v>157648.08000000002</v>
      </c>
      <c r="X402" s="307">
        <v>27711.449999999997</v>
      </c>
      <c r="Y402" s="307">
        <v>128655.67999999999</v>
      </c>
      <c r="Z402" s="307">
        <v>36077.68</v>
      </c>
      <c r="AA402" s="305">
        <v>0</v>
      </c>
      <c r="AB402" s="305">
        <v>0</v>
      </c>
      <c r="AC402" s="305">
        <v>9000</v>
      </c>
      <c r="AD402" s="207">
        <v>3</v>
      </c>
      <c r="AE402" s="305">
        <v>9000</v>
      </c>
      <c r="AF402" s="208">
        <v>36000</v>
      </c>
      <c r="AG402" s="207" t="s">
        <v>1480</v>
      </c>
    </row>
    <row r="403" spans="1:34" x14ac:dyDescent="0.3">
      <c r="A403" s="192">
        <v>5832</v>
      </c>
      <c r="B403" s="192">
        <v>81</v>
      </c>
      <c r="C403" s="192">
        <v>3300</v>
      </c>
      <c r="D403" s="192" t="s">
        <v>1454</v>
      </c>
      <c r="E403" s="192">
        <v>5873945</v>
      </c>
      <c r="F403" s="192" t="s">
        <v>1481</v>
      </c>
      <c r="G403" s="290">
        <v>0</v>
      </c>
      <c r="H403" s="192">
        <v>111.03</v>
      </c>
      <c r="I403" s="192">
        <v>0</v>
      </c>
      <c r="J403" s="192">
        <v>0</v>
      </c>
      <c r="K403" s="192">
        <v>0</v>
      </c>
      <c r="L403" s="192">
        <v>0</v>
      </c>
      <c r="M403" s="192">
        <v>0</v>
      </c>
      <c r="N403" s="192">
        <v>0</v>
      </c>
      <c r="O403" s="192">
        <v>111.03</v>
      </c>
      <c r="P403" s="192">
        <v>3.48</v>
      </c>
      <c r="Q403" s="192">
        <v>9.1199999999999992</v>
      </c>
      <c r="R403" s="192">
        <v>0</v>
      </c>
      <c r="S403" s="285">
        <v>0</v>
      </c>
      <c r="T403" s="192">
        <v>16.52</v>
      </c>
      <c r="U403" s="291">
        <v>140.15</v>
      </c>
      <c r="V403" s="291">
        <v>140.15</v>
      </c>
      <c r="W403" s="292">
        <v>4212.96</v>
      </c>
      <c r="X403" s="292">
        <v>1681.8000000000002</v>
      </c>
      <c r="Y403" s="292">
        <v>3384.2800000000007</v>
      </c>
      <c r="Z403" s="292">
        <v>114809.99</v>
      </c>
      <c r="AA403" s="290">
        <v>117962.42667</v>
      </c>
      <c r="AB403" s="285">
        <v>117039.94434999999</v>
      </c>
      <c r="AC403" s="290">
        <v>6709.77</v>
      </c>
      <c r="AD403" s="192">
        <v>12</v>
      </c>
      <c r="AE403" s="290">
        <v>7000</v>
      </c>
      <c r="AF403" s="194">
        <v>87517.24</v>
      </c>
    </row>
    <row r="404" spans="1:34" x14ac:dyDescent="0.3">
      <c r="A404" s="192">
        <v>5832</v>
      </c>
      <c r="B404" s="192">
        <v>81</v>
      </c>
      <c r="C404" s="192">
        <v>3300</v>
      </c>
      <c r="D404" s="192" t="s">
        <v>1454</v>
      </c>
      <c r="E404" s="192">
        <v>5877546</v>
      </c>
      <c r="F404" s="192" t="s">
        <v>1482</v>
      </c>
      <c r="G404" s="290">
        <v>0.9</v>
      </c>
      <c r="H404" s="192">
        <v>5851.8</v>
      </c>
      <c r="I404" s="192">
        <v>341</v>
      </c>
      <c r="J404" s="192">
        <v>192.74</v>
      </c>
      <c r="K404" s="192">
        <v>0</v>
      </c>
      <c r="L404" s="192">
        <v>0</v>
      </c>
      <c r="M404" s="192">
        <v>0</v>
      </c>
      <c r="N404" s="192">
        <v>36.5</v>
      </c>
      <c r="O404" s="192">
        <v>6422.04</v>
      </c>
      <c r="P404" s="192">
        <v>0</v>
      </c>
      <c r="Q404" s="192">
        <v>0</v>
      </c>
      <c r="R404" s="192">
        <v>0</v>
      </c>
      <c r="S404" s="285">
        <v>0.9</v>
      </c>
      <c r="T404" s="192">
        <v>29.49</v>
      </c>
      <c r="U404" s="291">
        <v>6451.53</v>
      </c>
      <c r="V404" s="291">
        <v>6451.53</v>
      </c>
      <c r="W404" s="292">
        <v>76311.600000000006</v>
      </c>
      <c r="X404" s="292">
        <v>77418.36</v>
      </c>
      <c r="Y404" s="292">
        <v>76937.240000000005</v>
      </c>
      <c r="Z404" s="292">
        <v>113000</v>
      </c>
      <c r="AA404" s="290">
        <v>117050.60630999999</v>
      </c>
      <c r="AB404" s="285">
        <v>116135.25454999998</v>
      </c>
      <c r="AC404" s="290">
        <v>8656.35</v>
      </c>
      <c r="AD404" s="192">
        <v>12</v>
      </c>
      <c r="AE404" s="290">
        <v>9000</v>
      </c>
      <c r="AF404" s="194">
        <v>112876.20000000001</v>
      </c>
    </row>
    <row r="405" spans="1:34" x14ac:dyDescent="0.3">
      <c r="A405" s="192">
        <v>5832</v>
      </c>
      <c r="B405" s="192">
        <v>81</v>
      </c>
      <c r="C405" s="192">
        <v>3300</v>
      </c>
      <c r="D405" s="192" t="s">
        <v>1454</v>
      </c>
      <c r="E405" s="192">
        <v>5918796</v>
      </c>
      <c r="F405" s="192" t="s">
        <v>1483</v>
      </c>
      <c r="G405" s="290">
        <v>0.9</v>
      </c>
      <c r="H405" s="192">
        <v>6131.55</v>
      </c>
      <c r="I405" s="192">
        <v>350.23</v>
      </c>
      <c r="J405" s="192">
        <v>192.74</v>
      </c>
      <c r="K405" s="192">
        <v>0</v>
      </c>
      <c r="L405" s="192">
        <v>0</v>
      </c>
      <c r="M405" s="192">
        <v>0</v>
      </c>
      <c r="N405" s="192">
        <v>36.5</v>
      </c>
      <c r="O405" s="192">
        <v>6711.02</v>
      </c>
      <c r="P405" s="192">
        <v>254</v>
      </c>
      <c r="Q405" s="192">
        <v>503.33</v>
      </c>
      <c r="R405" s="192">
        <v>0</v>
      </c>
      <c r="S405" s="285">
        <v>0.9</v>
      </c>
      <c r="T405" s="192">
        <v>1404.98</v>
      </c>
      <c r="U405" s="291">
        <v>8873.33</v>
      </c>
      <c r="V405" s="291">
        <v>8873.33</v>
      </c>
      <c r="W405" s="292">
        <v>128160.36000000002</v>
      </c>
      <c r="X405" s="292">
        <v>106479.95999999999</v>
      </c>
      <c r="Y405" s="292">
        <v>113680.32000000001</v>
      </c>
      <c r="Z405" s="292">
        <v>117668.74</v>
      </c>
      <c r="AA405" s="290">
        <v>121734.29927999999</v>
      </c>
      <c r="AB405" s="285">
        <v>120782.32039999998</v>
      </c>
      <c r="AC405" s="290">
        <v>10680.03</v>
      </c>
      <c r="AD405" s="192">
        <v>12</v>
      </c>
      <c r="AE405" s="290">
        <v>10000</v>
      </c>
      <c r="AF405" s="194">
        <v>138160.36000000002</v>
      </c>
    </row>
    <row r="406" spans="1:34" x14ac:dyDescent="0.3">
      <c r="A406" s="192">
        <v>5832</v>
      </c>
      <c r="B406" s="192">
        <v>81</v>
      </c>
      <c r="C406" s="192">
        <v>3300</v>
      </c>
      <c r="D406" s="192" t="s">
        <v>1454</v>
      </c>
      <c r="E406" s="192">
        <v>6074707</v>
      </c>
      <c r="F406" s="192" t="s">
        <v>1484</v>
      </c>
      <c r="G406" s="290">
        <v>1</v>
      </c>
      <c r="H406" s="192">
        <v>6235.7</v>
      </c>
      <c r="I406" s="192">
        <v>366.38</v>
      </c>
      <c r="J406" s="192">
        <v>197.6</v>
      </c>
      <c r="K406" s="192">
        <v>0</v>
      </c>
      <c r="L406" s="192">
        <v>0</v>
      </c>
      <c r="M406" s="192">
        <v>0</v>
      </c>
      <c r="N406" s="192">
        <v>567.5</v>
      </c>
      <c r="O406" s="192">
        <v>7367.18</v>
      </c>
      <c r="P406" s="192">
        <v>304</v>
      </c>
      <c r="Q406" s="192">
        <v>552.53</v>
      </c>
      <c r="R406" s="192">
        <v>0</v>
      </c>
      <c r="S406" s="285">
        <v>1</v>
      </c>
      <c r="T406" s="192">
        <v>1452.17</v>
      </c>
      <c r="U406" s="291">
        <v>9675.8799999999992</v>
      </c>
      <c r="V406" s="291">
        <v>9675.8799999999992</v>
      </c>
      <c r="W406" s="292">
        <v>123241.56</v>
      </c>
      <c r="X406" s="292">
        <v>116110.56</v>
      </c>
      <c r="Y406" s="292">
        <v>118767.12</v>
      </c>
      <c r="Z406" s="292">
        <v>122966.6</v>
      </c>
      <c r="AA406" s="290">
        <v>125438.02986</v>
      </c>
      <c r="AB406" s="285">
        <v>124457.0873</v>
      </c>
      <c r="AC406" s="290">
        <v>10270.129999999999</v>
      </c>
      <c r="AD406" s="192">
        <v>12</v>
      </c>
      <c r="AE406" s="290">
        <v>10000</v>
      </c>
      <c r="AF406" s="194">
        <v>133241.56</v>
      </c>
    </row>
    <row r="407" spans="1:34" x14ac:dyDescent="0.3">
      <c r="A407" s="192">
        <v>5832</v>
      </c>
      <c r="B407" s="192">
        <v>81</v>
      </c>
      <c r="C407" s="192">
        <v>3300</v>
      </c>
      <c r="D407" s="192" t="s">
        <v>1454</v>
      </c>
      <c r="E407" s="192">
        <v>6751880</v>
      </c>
      <c r="F407" s="192" t="s">
        <v>1485</v>
      </c>
      <c r="G407" s="290">
        <v>0.9</v>
      </c>
      <c r="H407" s="192">
        <v>6688.31</v>
      </c>
      <c r="I407" s="192">
        <v>366.49</v>
      </c>
      <c r="J407" s="192">
        <v>192.74</v>
      </c>
      <c r="K407" s="192">
        <v>0</v>
      </c>
      <c r="L407" s="192">
        <v>0</v>
      </c>
      <c r="M407" s="192">
        <v>0</v>
      </c>
      <c r="N407" s="192">
        <v>36.5</v>
      </c>
      <c r="O407" s="192">
        <v>7284.04</v>
      </c>
      <c r="P407" s="192">
        <v>298</v>
      </c>
      <c r="Q407" s="192">
        <v>547.09</v>
      </c>
      <c r="R407" s="192">
        <v>0</v>
      </c>
      <c r="S407" s="285">
        <v>0.9</v>
      </c>
      <c r="T407" s="192">
        <v>1525.33</v>
      </c>
      <c r="U407" s="291">
        <v>9654.4599999999991</v>
      </c>
      <c r="V407" s="291">
        <v>9654.4599999999991</v>
      </c>
      <c r="W407" s="292">
        <v>114056.88</v>
      </c>
      <c r="X407" s="292">
        <v>115853.51999999999</v>
      </c>
      <c r="Y407" s="292">
        <v>116174.08000000002</v>
      </c>
      <c r="Z407" s="292">
        <v>128002.74</v>
      </c>
      <c r="AA407" s="290">
        <v>130667.61608999998</v>
      </c>
      <c r="AB407" s="285">
        <v>129645.77744999998</v>
      </c>
      <c r="AC407" s="290">
        <v>9504.74</v>
      </c>
      <c r="AD407" s="192">
        <v>12</v>
      </c>
      <c r="AE407" s="290">
        <v>9000</v>
      </c>
      <c r="AF407" s="194">
        <v>123056.88</v>
      </c>
    </row>
    <row r="408" spans="1:34" x14ac:dyDescent="0.3">
      <c r="A408" s="192">
        <v>5832</v>
      </c>
      <c r="B408" s="192">
        <v>81</v>
      </c>
      <c r="C408" s="192">
        <v>3300</v>
      </c>
      <c r="D408" s="192" t="s">
        <v>1454</v>
      </c>
      <c r="E408" s="192">
        <v>6777597</v>
      </c>
      <c r="F408" s="192" t="s">
        <v>1486</v>
      </c>
      <c r="G408" s="290">
        <v>0.5</v>
      </c>
      <c r="H408" s="192">
        <v>3034</v>
      </c>
      <c r="I408" s="192">
        <v>175.65</v>
      </c>
      <c r="J408" s="192">
        <v>167.22</v>
      </c>
      <c r="K408" s="192">
        <v>0</v>
      </c>
      <c r="L408" s="192">
        <v>0</v>
      </c>
      <c r="M408" s="192">
        <v>0</v>
      </c>
      <c r="N408" s="192">
        <v>36.5</v>
      </c>
      <c r="O408" s="192">
        <v>3413.37</v>
      </c>
      <c r="P408" s="192">
        <v>121.23</v>
      </c>
      <c r="Q408" s="192">
        <v>256</v>
      </c>
      <c r="R408" s="192">
        <v>0</v>
      </c>
      <c r="S408" s="285">
        <v>0.5</v>
      </c>
      <c r="T408" s="192">
        <v>718.24</v>
      </c>
      <c r="U408" s="291">
        <v>4508.84</v>
      </c>
      <c r="V408" s="291">
        <v>4508.84</v>
      </c>
      <c r="W408" s="292">
        <v>3527.2799999999997</v>
      </c>
      <c r="X408" s="292">
        <v>54106.080000000002</v>
      </c>
      <c r="Y408" s="292">
        <v>881.8</v>
      </c>
      <c r="Z408" s="292">
        <v>1543.14</v>
      </c>
      <c r="AA408" s="290">
        <v>676.5098999999999</v>
      </c>
      <c r="AB408" s="285">
        <v>671.21949999999993</v>
      </c>
      <c r="AC408" s="290">
        <v>4884.6000000000004</v>
      </c>
      <c r="AD408" s="192">
        <v>12</v>
      </c>
      <c r="AE408" s="290">
        <v>5000</v>
      </c>
      <c r="AF408" s="194">
        <v>63615.200000000004</v>
      </c>
      <c r="AG408" s="192" t="s">
        <v>1457</v>
      </c>
    </row>
    <row r="409" spans="1:34" x14ac:dyDescent="0.3">
      <c r="A409" s="192">
        <v>5832</v>
      </c>
      <c r="B409" s="192">
        <v>81</v>
      </c>
      <c r="C409" s="192">
        <v>3300</v>
      </c>
      <c r="D409" s="192" t="s">
        <v>1454</v>
      </c>
      <c r="E409" s="192">
        <v>6798433</v>
      </c>
      <c r="F409" s="192" t="s">
        <v>1487</v>
      </c>
      <c r="G409" s="290">
        <v>1</v>
      </c>
      <c r="H409" s="192">
        <v>8791.9599999999991</v>
      </c>
      <c r="I409" s="192">
        <v>442.4</v>
      </c>
      <c r="J409" s="192">
        <v>197.6</v>
      </c>
      <c r="K409" s="192">
        <v>0</v>
      </c>
      <c r="L409" s="192">
        <v>0</v>
      </c>
      <c r="M409" s="192">
        <v>0</v>
      </c>
      <c r="N409" s="192">
        <v>288.5</v>
      </c>
      <c r="O409" s="192">
        <v>9720.4599999999991</v>
      </c>
      <c r="P409" s="192">
        <v>482</v>
      </c>
      <c r="Q409" s="192">
        <v>729.03</v>
      </c>
      <c r="R409" s="192">
        <v>0</v>
      </c>
      <c r="S409" s="285">
        <v>1</v>
      </c>
      <c r="T409" s="192">
        <v>911.95</v>
      </c>
      <c r="U409" s="291">
        <v>11843.44</v>
      </c>
      <c r="V409" s="291">
        <v>11843.44</v>
      </c>
      <c r="W409" s="292">
        <v>136467.24</v>
      </c>
      <c r="X409" s="292">
        <v>142121.28</v>
      </c>
      <c r="Y409" s="292">
        <v>141274.76</v>
      </c>
      <c r="Z409" s="292">
        <v>180530.6</v>
      </c>
      <c r="AA409" s="290">
        <v>183279.23756999997</v>
      </c>
      <c r="AB409" s="285">
        <v>181845.96884999998</v>
      </c>
      <c r="AC409" s="290">
        <v>11372.27</v>
      </c>
      <c r="AD409" s="192">
        <v>12</v>
      </c>
      <c r="AE409" s="290">
        <v>10000</v>
      </c>
      <c r="AF409" s="194">
        <v>146467.24</v>
      </c>
    </row>
    <row r="410" spans="1:34" x14ac:dyDescent="0.3">
      <c r="A410" s="192">
        <v>5832</v>
      </c>
      <c r="B410" s="192">
        <v>81</v>
      </c>
      <c r="C410" s="192">
        <v>3300</v>
      </c>
      <c r="D410" s="192" t="s">
        <v>1454</v>
      </c>
      <c r="E410" s="192">
        <v>6819834</v>
      </c>
      <c r="F410" s="192" t="s">
        <v>1488</v>
      </c>
      <c r="G410" s="290">
        <v>0.9</v>
      </c>
      <c r="H410" s="192">
        <v>7519.14</v>
      </c>
      <c r="I410" s="192">
        <v>388.05</v>
      </c>
      <c r="J410" s="192">
        <v>192.74</v>
      </c>
      <c r="K410" s="192">
        <v>0</v>
      </c>
      <c r="L410" s="192">
        <v>0</v>
      </c>
      <c r="M410" s="192">
        <v>0</v>
      </c>
      <c r="N410" s="192">
        <v>288.5</v>
      </c>
      <c r="O410" s="192">
        <v>8388.43</v>
      </c>
      <c r="P410" s="192">
        <v>381</v>
      </c>
      <c r="Q410" s="192">
        <v>629.13</v>
      </c>
      <c r="R410" s="192">
        <v>0</v>
      </c>
      <c r="S410" s="285">
        <v>0.9</v>
      </c>
      <c r="T410" s="192">
        <v>788.92</v>
      </c>
      <c r="U410" s="291">
        <v>10187.48</v>
      </c>
      <c r="V410" s="291">
        <v>10187.48</v>
      </c>
      <c r="W410" s="292">
        <v>156072.36000000002</v>
      </c>
      <c r="X410" s="292">
        <v>122249.76</v>
      </c>
      <c r="Y410" s="292">
        <v>133330.20000000001</v>
      </c>
      <c r="Z410" s="292">
        <v>155528.5</v>
      </c>
      <c r="AA410" s="290">
        <v>159105.65549999999</v>
      </c>
      <c r="AB410" s="285">
        <v>157861.42749999999</v>
      </c>
      <c r="AC410" s="290">
        <v>13006.03</v>
      </c>
      <c r="AD410" s="192">
        <v>12</v>
      </c>
      <c r="AE410" s="290">
        <v>10000</v>
      </c>
      <c r="AF410" s="194">
        <v>166072.36000000002</v>
      </c>
    </row>
    <row r="411" spans="1:34" x14ac:dyDescent="0.3">
      <c r="A411" s="192">
        <v>5832</v>
      </c>
      <c r="B411" s="192">
        <v>81</v>
      </c>
      <c r="C411" s="192">
        <v>3300</v>
      </c>
      <c r="D411" s="192" t="s">
        <v>1454</v>
      </c>
      <c r="E411" s="192">
        <v>6854181</v>
      </c>
      <c r="F411" s="192" t="s">
        <v>1489</v>
      </c>
      <c r="G411" s="290">
        <v>0.5</v>
      </c>
      <c r="H411" s="192">
        <v>3010.82</v>
      </c>
      <c r="I411" s="192">
        <v>186.86</v>
      </c>
      <c r="J411" s="192">
        <v>173.3</v>
      </c>
      <c r="K411" s="192">
        <v>0</v>
      </c>
      <c r="L411" s="192">
        <v>0</v>
      </c>
      <c r="M411" s="192">
        <v>0</v>
      </c>
      <c r="N411" s="192">
        <v>0</v>
      </c>
      <c r="O411" s="192">
        <v>3370.98</v>
      </c>
      <c r="P411" s="192">
        <v>120</v>
      </c>
      <c r="Q411" s="192">
        <v>252.82</v>
      </c>
      <c r="R411" s="192">
        <v>0</v>
      </c>
      <c r="S411" s="285">
        <v>0.5</v>
      </c>
      <c r="T411" s="192">
        <v>709.3</v>
      </c>
      <c r="U411" s="291">
        <v>4453.1000000000004</v>
      </c>
      <c r="V411" s="291">
        <v>4453.1000000000004</v>
      </c>
      <c r="W411" s="292">
        <v>56375.88</v>
      </c>
      <c r="X411" s="292">
        <v>53437.200000000004</v>
      </c>
      <c r="Y411" s="292">
        <v>59961.600000000006</v>
      </c>
      <c r="Z411" s="292">
        <v>78467.12</v>
      </c>
      <c r="AA411" s="290">
        <v>80209.542600000001</v>
      </c>
      <c r="AB411" s="285">
        <v>79582.293000000005</v>
      </c>
      <c r="AC411" s="290">
        <v>4697.99</v>
      </c>
      <c r="AD411" s="192">
        <v>12</v>
      </c>
      <c r="AE411" s="290">
        <v>4000</v>
      </c>
      <c r="AF411" s="194">
        <v>60375.88</v>
      </c>
    </row>
    <row r="412" spans="1:34" s="196" customFormat="1" x14ac:dyDescent="0.3">
      <c r="G412" s="288">
        <f>SUM(G382:G411)</f>
        <v>22.259999999999998</v>
      </c>
      <c r="H412" s="288">
        <f t="shared" ref="H412:AF412" si="36">SUM(H382:H411)</f>
        <v>153901.14000000001</v>
      </c>
      <c r="I412" s="288">
        <f t="shared" si="36"/>
        <v>10823.119999999997</v>
      </c>
      <c r="J412" s="288">
        <f t="shared" si="36"/>
        <v>4495.03</v>
      </c>
      <c r="K412" s="288">
        <f t="shared" si="36"/>
        <v>284.08999999999997</v>
      </c>
      <c r="L412" s="288">
        <f t="shared" si="36"/>
        <v>0</v>
      </c>
      <c r="M412" s="288">
        <f t="shared" si="36"/>
        <v>580.98</v>
      </c>
      <c r="N412" s="288">
        <f t="shared" si="36"/>
        <v>3025</v>
      </c>
      <c r="O412" s="288">
        <f t="shared" si="36"/>
        <v>173109.36000000002</v>
      </c>
      <c r="P412" s="288">
        <f t="shared" si="36"/>
        <v>6567.48</v>
      </c>
      <c r="Q412" s="288">
        <f t="shared" si="36"/>
        <v>11927.030000000002</v>
      </c>
      <c r="R412" s="288">
        <f t="shared" si="36"/>
        <v>0</v>
      </c>
      <c r="S412" s="288">
        <f t="shared" si="36"/>
        <v>21.585000000000001</v>
      </c>
      <c r="T412" s="288">
        <f t="shared" si="36"/>
        <v>22147.850000000002</v>
      </c>
      <c r="U412" s="288">
        <f t="shared" si="36"/>
        <v>213751.72</v>
      </c>
      <c r="V412" s="288">
        <f t="shared" si="36"/>
        <v>213751.72</v>
      </c>
      <c r="W412" s="288">
        <f t="shared" si="36"/>
        <v>2877558.8399999994</v>
      </c>
      <c r="X412" s="288">
        <f t="shared" si="36"/>
        <v>2545379.09</v>
      </c>
      <c r="Y412" s="288">
        <f t="shared" si="36"/>
        <v>2650477.2399999998</v>
      </c>
      <c r="Z412" s="288">
        <f t="shared" si="36"/>
        <v>2808740.9700000011</v>
      </c>
      <c r="AA412" s="288">
        <f t="shared" si="36"/>
        <v>2642704.3094099993</v>
      </c>
      <c r="AB412" s="288">
        <f t="shared" si="36"/>
        <v>2710120.5323499995</v>
      </c>
      <c r="AC412" s="288">
        <f t="shared" si="36"/>
        <v>258149.74999999997</v>
      </c>
      <c r="AD412" s="288">
        <f t="shared" si="36"/>
        <v>341</v>
      </c>
      <c r="AE412" s="288">
        <f t="shared" si="36"/>
        <v>210800</v>
      </c>
      <c r="AF412" s="288">
        <f t="shared" si="36"/>
        <v>3159267.2000000007</v>
      </c>
      <c r="AG412" s="288"/>
      <c r="AH412" s="288">
        <v>0</v>
      </c>
    </row>
    <row r="413" spans="1:34" x14ac:dyDescent="0.3">
      <c r="W413" s="292"/>
      <c r="X413" s="292"/>
      <c r="Y413" s="292"/>
      <c r="Z413" s="292"/>
      <c r="AA413" s="290"/>
      <c r="AB413" s="285"/>
      <c r="AC413" s="290"/>
      <c r="AE413" s="290"/>
      <c r="AF413" s="194"/>
    </row>
    <row r="414" spans="1:34" x14ac:dyDescent="0.3">
      <c r="A414" s="192">
        <v>5832</v>
      </c>
      <c r="B414" s="192">
        <v>81</v>
      </c>
      <c r="C414" s="192">
        <v>3600</v>
      </c>
      <c r="D414" s="192" t="s">
        <v>1490</v>
      </c>
      <c r="E414" s="192">
        <v>2244464</v>
      </c>
      <c r="F414" s="192" t="s">
        <v>1491</v>
      </c>
      <c r="G414" s="290">
        <v>0.71</v>
      </c>
      <c r="H414" s="192">
        <v>3919.87</v>
      </c>
      <c r="I414" s="192">
        <v>247.65</v>
      </c>
      <c r="J414" s="192">
        <v>174.88</v>
      </c>
      <c r="K414" s="192">
        <v>0</v>
      </c>
      <c r="L414" s="192">
        <v>0</v>
      </c>
      <c r="M414" s="192">
        <v>0</v>
      </c>
      <c r="N414" s="192">
        <v>0</v>
      </c>
      <c r="O414" s="192">
        <v>4342.3999999999996</v>
      </c>
      <c r="P414" s="192">
        <v>154</v>
      </c>
      <c r="Q414" s="192">
        <v>325.68</v>
      </c>
      <c r="R414" s="192">
        <v>0</v>
      </c>
      <c r="S414" s="285">
        <v>0.71</v>
      </c>
      <c r="T414" s="192">
        <v>902.19</v>
      </c>
      <c r="U414" s="291">
        <v>5724.27</v>
      </c>
      <c r="V414" s="291">
        <v>5724.27</v>
      </c>
      <c r="W414" s="292">
        <v>75082.92</v>
      </c>
      <c r="X414" s="292">
        <v>68691.240000000005</v>
      </c>
      <c r="Y414" s="292">
        <v>70681.52</v>
      </c>
      <c r="Z414" s="292">
        <v>15950.47</v>
      </c>
      <c r="AA414" s="290">
        <v>15511.984289999999</v>
      </c>
      <c r="AB414" s="285">
        <v>15390.678449999998</v>
      </c>
      <c r="AC414" s="290">
        <v>5500</v>
      </c>
      <c r="AD414" s="192">
        <v>12</v>
      </c>
      <c r="AE414" s="290">
        <v>6000</v>
      </c>
      <c r="AF414" s="194">
        <v>72000</v>
      </c>
      <c r="AG414" s="192" t="s">
        <v>1457</v>
      </c>
    </row>
    <row r="415" spans="1:34" x14ac:dyDescent="0.3">
      <c r="A415" s="192">
        <v>5832</v>
      </c>
      <c r="B415" s="192">
        <v>81</v>
      </c>
      <c r="C415" s="192">
        <v>3600</v>
      </c>
      <c r="D415" s="192" t="s">
        <v>1490</v>
      </c>
      <c r="E415" s="192">
        <v>2371243</v>
      </c>
      <c r="F415" s="192" t="s">
        <v>1330</v>
      </c>
      <c r="G415" s="290">
        <v>0</v>
      </c>
      <c r="H415" s="192">
        <v>368.75</v>
      </c>
      <c r="I415" s="192">
        <v>0</v>
      </c>
      <c r="J415" s="192">
        <v>0</v>
      </c>
      <c r="K415" s="192">
        <v>0</v>
      </c>
      <c r="L415" s="192">
        <v>0</v>
      </c>
      <c r="M415" s="192">
        <v>0</v>
      </c>
      <c r="N415" s="192">
        <v>0</v>
      </c>
      <c r="O415" s="192">
        <v>368.75</v>
      </c>
      <c r="P415" s="192">
        <v>13.03</v>
      </c>
      <c r="Q415" s="192">
        <v>27.66</v>
      </c>
      <c r="R415" s="192">
        <v>0</v>
      </c>
      <c r="S415" s="285">
        <v>0</v>
      </c>
      <c r="T415" s="192">
        <v>49.79</v>
      </c>
      <c r="U415" s="291">
        <v>459.23</v>
      </c>
      <c r="V415" s="291">
        <v>459.23</v>
      </c>
      <c r="W415" s="292">
        <v>34239.24</v>
      </c>
      <c r="X415" s="292">
        <v>5510.76</v>
      </c>
      <c r="Y415" s="292">
        <v>16644.16</v>
      </c>
      <c r="Z415" s="292">
        <v>0</v>
      </c>
      <c r="AA415" s="290">
        <v>0</v>
      </c>
      <c r="AB415" s="285">
        <v>0</v>
      </c>
      <c r="AC415" s="290">
        <v>500</v>
      </c>
      <c r="AD415" s="192">
        <v>12</v>
      </c>
      <c r="AE415" s="290"/>
      <c r="AF415" s="194">
        <v>6000</v>
      </c>
    </row>
    <row r="416" spans="1:34" x14ac:dyDescent="0.3">
      <c r="A416" s="192">
        <v>5832</v>
      </c>
      <c r="B416" s="192">
        <v>81</v>
      </c>
      <c r="C416" s="192">
        <v>3600</v>
      </c>
      <c r="D416" s="192" t="s">
        <v>1490</v>
      </c>
      <c r="E416" s="192">
        <v>2468302</v>
      </c>
      <c r="F416" s="192" t="s">
        <v>1492</v>
      </c>
      <c r="G416" s="290">
        <v>1</v>
      </c>
      <c r="H416" s="192">
        <v>5989.82</v>
      </c>
      <c r="I416" s="192">
        <v>503.85</v>
      </c>
      <c r="J416" s="192">
        <v>173.3</v>
      </c>
      <c r="K416" s="192">
        <v>0</v>
      </c>
      <c r="L416" s="192">
        <v>0</v>
      </c>
      <c r="M416" s="192">
        <v>0</v>
      </c>
      <c r="N416" s="192">
        <v>0</v>
      </c>
      <c r="O416" s="192">
        <v>6666.97</v>
      </c>
      <c r="P416" s="192">
        <v>250</v>
      </c>
      <c r="Q416" s="192">
        <v>500.02</v>
      </c>
      <c r="R416" s="192">
        <v>0</v>
      </c>
      <c r="S416" s="285">
        <v>1</v>
      </c>
      <c r="T416" s="192">
        <v>1233.31</v>
      </c>
      <c r="U416" s="291">
        <v>8650.2999999999993</v>
      </c>
      <c r="V416" s="291">
        <v>8650.2999999999993</v>
      </c>
      <c r="W416" s="292">
        <v>101609.51999999999</v>
      </c>
      <c r="X416" s="292">
        <v>103803.59999999999</v>
      </c>
      <c r="Y416" s="292">
        <v>101880.24</v>
      </c>
      <c r="Z416" s="292">
        <v>98845.84</v>
      </c>
      <c r="AA416" s="290">
        <v>101119.29431999999</v>
      </c>
      <c r="AB416" s="285">
        <v>100328.52759999999</v>
      </c>
      <c r="AC416" s="290">
        <v>8200</v>
      </c>
      <c r="AD416" s="192">
        <v>12</v>
      </c>
      <c r="AE416" s="290">
        <v>8000</v>
      </c>
      <c r="AF416" s="194">
        <v>106400</v>
      </c>
    </row>
    <row r="417" spans="1:34" x14ac:dyDescent="0.3">
      <c r="A417" s="192">
        <v>5832</v>
      </c>
      <c r="B417" s="192">
        <v>81</v>
      </c>
      <c r="C417" s="192">
        <v>3600</v>
      </c>
      <c r="D417" s="192" t="s">
        <v>1490</v>
      </c>
      <c r="E417" s="192">
        <v>2888263</v>
      </c>
      <c r="F417" s="192" t="s">
        <v>1493</v>
      </c>
      <c r="G417" s="290">
        <v>1</v>
      </c>
      <c r="H417" s="192">
        <v>4131.28</v>
      </c>
      <c r="I417" s="192">
        <v>512.57000000000005</v>
      </c>
      <c r="J417" s="192">
        <v>173.3</v>
      </c>
      <c r="K417" s="192">
        <v>0</v>
      </c>
      <c r="L417" s="192">
        <v>0</v>
      </c>
      <c r="M417" s="192">
        <v>0</v>
      </c>
      <c r="N417" s="192">
        <v>36.5</v>
      </c>
      <c r="O417" s="192">
        <v>4853.6499999999996</v>
      </c>
      <c r="P417" s="192">
        <v>122</v>
      </c>
      <c r="Q417" s="192">
        <v>364.02</v>
      </c>
      <c r="R417" s="192">
        <v>0</v>
      </c>
      <c r="S417" s="285">
        <v>1</v>
      </c>
      <c r="T417" s="192">
        <v>817.11</v>
      </c>
      <c r="U417" s="291">
        <v>6156.78</v>
      </c>
      <c r="V417" s="291">
        <v>6156.78</v>
      </c>
      <c r="W417" s="292">
        <v>92526.24</v>
      </c>
      <c r="X417" s="292">
        <v>73881.36</v>
      </c>
      <c r="Y417" s="292">
        <v>95257.68</v>
      </c>
      <c r="Z417" s="292">
        <v>107393.49</v>
      </c>
      <c r="AA417" s="290">
        <v>110338.04858999998</v>
      </c>
      <c r="AB417" s="285">
        <v>109475.18994999997</v>
      </c>
      <c r="AC417" s="290">
        <v>7710.52</v>
      </c>
      <c r="AD417" s="192">
        <v>12</v>
      </c>
      <c r="AE417" s="290">
        <v>7000</v>
      </c>
      <c r="AF417" s="194">
        <v>99526.24</v>
      </c>
    </row>
    <row r="418" spans="1:34" x14ac:dyDescent="0.3">
      <c r="A418" s="192">
        <v>5832</v>
      </c>
      <c r="B418" s="192">
        <v>81</v>
      </c>
      <c r="C418" s="192">
        <v>3600</v>
      </c>
      <c r="D418" s="192" t="s">
        <v>1490</v>
      </c>
      <c r="E418" s="192">
        <v>5618680</v>
      </c>
      <c r="F418" s="192" t="s">
        <v>1494</v>
      </c>
      <c r="G418" s="290">
        <v>1</v>
      </c>
      <c r="H418" s="192">
        <v>6714.34</v>
      </c>
      <c r="I418" s="192">
        <v>380.98</v>
      </c>
      <c r="J418" s="192">
        <v>197.6</v>
      </c>
      <c r="K418" s="192">
        <v>0</v>
      </c>
      <c r="L418" s="192">
        <v>0</v>
      </c>
      <c r="M418" s="192">
        <v>0</v>
      </c>
      <c r="N418" s="192">
        <v>36.5</v>
      </c>
      <c r="O418" s="192">
        <v>7329.42</v>
      </c>
      <c r="P418" s="192">
        <v>303</v>
      </c>
      <c r="Q418" s="192">
        <v>552.26</v>
      </c>
      <c r="R418" s="192">
        <v>0</v>
      </c>
      <c r="S418" s="285">
        <v>1</v>
      </c>
      <c r="T418" s="192">
        <v>557.33000000000004</v>
      </c>
      <c r="U418" s="291">
        <v>8742.01</v>
      </c>
      <c r="V418" s="291">
        <v>8742.01</v>
      </c>
      <c r="W418" s="292">
        <v>102954.48000000001</v>
      </c>
      <c r="X418" s="292">
        <v>104904.12</v>
      </c>
      <c r="Y418" s="292">
        <v>103395.64</v>
      </c>
      <c r="Z418" s="292">
        <v>104016.96000000001</v>
      </c>
      <c r="AA418" s="290">
        <v>106748.50526999998</v>
      </c>
      <c r="AB418" s="285">
        <v>105913.71734999998</v>
      </c>
      <c r="AC418" s="290">
        <v>8579.5400000000009</v>
      </c>
      <c r="AD418" s="192">
        <v>12</v>
      </c>
      <c r="AE418" s="290">
        <v>8000</v>
      </c>
      <c r="AF418" s="194">
        <v>110954.48000000001</v>
      </c>
    </row>
    <row r="419" spans="1:34" s="196" customFormat="1" x14ac:dyDescent="0.3">
      <c r="G419" s="288">
        <f>SUM(G414:G418)</f>
        <v>3.71</v>
      </c>
      <c r="H419" s="288">
        <f t="shared" ref="H419:AF419" si="37">SUM(H414:H418)</f>
        <v>21124.059999999998</v>
      </c>
      <c r="I419" s="288">
        <f t="shared" si="37"/>
        <v>1645.0500000000002</v>
      </c>
      <c r="J419" s="288">
        <f t="shared" si="37"/>
        <v>719.08</v>
      </c>
      <c r="K419" s="288">
        <f t="shared" si="37"/>
        <v>0</v>
      </c>
      <c r="L419" s="288">
        <f t="shared" si="37"/>
        <v>0</v>
      </c>
      <c r="M419" s="288">
        <f t="shared" si="37"/>
        <v>0</v>
      </c>
      <c r="N419" s="288">
        <f t="shared" si="37"/>
        <v>73</v>
      </c>
      <c r="O419" s="288">
        <f t="shared" si="37"/>
        <v>23561.19</v>
      </c>
      <c r="P419" s="288">
        <f t="shared" si="37"/>
        <v>842.03</v>
      </c>
      <c r="Q419" s="288">
        <f t="shared" si="37"/>
        <v>1769.64</v>
      </c>
      <c r="R419" s="288">
        <f t="shared" si="37"/>
        <v>0</v>
      </c>
      <c r="S419" s="288">
        <f t="shared" si="37"/>
        <v>3.71</v>
      </c>
      <c r="T419" s="288">
        <f t="shared" si="37"/>
        <v>3559.73</v>
      </c>
      <c r="U419" s="288">
        <f t="shared" si="37"/>
        <v>29732.589999999997</v>
      </c>
      <c r="V419" s="288">
        <f t="shared" si="37"/>
        <v>29732.589999999997</v>
      </c>
      <c r="W419" s="288">
        <f t="shared" si="37"/>
        <v>406412.4</v>
      </c>
      <c r="X419" s="288">
        <f t="shared" si="37"/>
        <v>356791.07999999996</v>
      </c>
      <c r="Y419" s="288">
        <f t="shared" si="37"/>
        <v>387859.24</v>
      </c>
      <c r="Z419" s="288">
        <f t="shared" si="37"/>
        <v>326206.76</v>
      </c>
      <c r="AA419" s="288">
        <f t="shared" si="37"/>
        <v>333717.83246999991</v>
      </c>
      <c r="AB419" s="288">
        <f t="shared" si="37"/>
        <v>331108.11334999994</v>
      </c>
      <c r="AC419" s="288">
        <f t="shared" si="37"/>
        <v>30490.06</v>
      </c>
      <c r="AD419" s="288">
        <f t="shared" si="37"/>
        <v>60</v>
      </c>
      <c r="AE419" s="288">
        <f t="shared" si="37"/>
        <v>29000</v>
      </c>
      <c r="AF419" s="288">
        <f t="shared" si="37"/>
        <v>394880.72</v>
      </c>
      <c r="AG419" s="288"/>
      <c r="AH419" s="288">
        <v>0</v>
      </c>
    </row>
    <row r="420" spans="1:34" x14ac:dyDescent="0.3">
      <c r="W420" s="292"/>
      <c r="X420" s="292"/>
      <c r="Y420" s="292"/>
      <c r="Z420" s="292"/>
      <c r="AA420" s="290"/>
      <c r="AB420" s="285"/>
      <c r="AC420" s="290"/>
      <c r="AE420" s="290"/>
      <c r="AF420" s="194"/>
    </row>
    <row r="421" spans="1:34" x14ac:dyDescent="0.3">
      <c r="A421" s="192">
        <v>5832</v>
      </c>
      <c r="B421" s="192">
        <v>81</v>
      </c>
      <c r="C421" s="192">
        <v>3700</v>
      </c>
      <c r="D421" s="192" t="s">
        <v>1495</v>
      </c>
      <c r="E421" s="192">
        <v>2200401</v>
      </c>
      <c r="F421" s="192" t="s">
        <v>1496</v>
      </c>
      <c r="G421" s="290">
        <v>0.5</v>
      </c>
      <c r="H421" s="192">
        <v>2882.21</v>
      </c>
      <c r="I421" s="192">
        <v>174.35</v>
      </c>
      <c r="J421" s="192">
        <v>167.22</v>
      </c>
      <c r="K421" s="192">
        <v>0</v>
      </c>
      <c r="L421" s="192">
        <v>0</v>
      </c>
      <c r="M421" s="192">
        <v>0</v>
      </c>
      <c r="N421" s="192">
        <v>0</v>
      </c>
      <c r="O421" s="192">
        <v>3223.78</v>
      </c>
      <c r="P421" s="192">
        <v>114</v>
      </c>
      <c r="Q421" s="192">
        <v>241.78</v>
      </c>
      <c r="R421" s="192">
        <v>0</v>
      </c>
      <c r="S421" s="285">
        <v>0.5</v>
      </c>
      <c r="T421" s="192">
        <v>438.64</v>
      </c>
      <c r="U421" s="291">
        <v>4018.2</v>
      </c>
      <c r="V421" s="291">
        <v>4018.2</v>
      </c>
      <c r="W421" s="292">
        <v>48362.399999999994</v>
      </c>
      <c r="X421" s="292">
        <v>48218.399999999994</v>
      </c>
      <c r="Y421" s="292">
        <v>48315.64</v>
      </c>
      <c r="Z421" s="292">
        <v>29897.11</v>
      </c>
      <c r="AA421" s="290">
        <v>34537.380239999991</v>
      </c>
      <c r="AB421" s="285">
        <v>34267.293199999993</v>
      </c>
      <c r="AC421" s="290">
        <v>4030.2</v>
      </c>
      <c r="AD421" s="192">
        <v>12</v>
      </c>
      <c r="AE421" s="290">
        <v>4000</v>
      </c>
      <c r="AF421" s="194">
        <v>52362.399999999994</v>
      </c>
      <c r="AG421" s="192" t="s">
        <v>1457</v>
      </c>
    </row>
    <row r="422" spans="1:34" x14ac:dyDescent="0.3">
      <c r="A422" s="192">
        <v>5832</v>
      </c>
      <c r="B422" s="192">
        <v>81</v>
      </c>
      <c r="C422" s="192">
        <v>3700</v>
      </c>
      <c r="D422" s="192" t="s">
        <v>1495</v>
      </c>
      <c r="E422" s="192">
        <v>3827864</v>
      </c>
      <c r="F422" s="192" t="s">
        <v>1497</v>
      </c>
      <c r="G422" s="290">
        <v>0.5</v>
      </c>
      <c r="H422" s="192">
        <v>2780.81</v>
      </c>
      <c r="I422" s="192">
        <v>184.09</v>
      </c>
      <c r="J422" s="192">
        <v>173.3</v>
      </c>
      <c r="K422" s="192">
        <v>0</v>
      </c>
      <c r="L422" s="192">
        <v>0</v>
      </c>
      <c r="M422" s="192">
        <v>0</v>
      </c>
      <c r="N422" s="192">
        <v>195</v>
      </c>
      <c r="O422" s="192">
        <v>3333.2</v>
      </c>
      <c r="P422" s="192">
        <v>118</v>
      </c>
      <c r="Q422" s="192">
        <v>249.99</v>
      </c>
      <c r="R422" s="192">
        <v>0</v>
      </c>
      <c r="S422" s="285">
        <v>0.5</v>
      </c>
      <c r="T422" s="192">
        <v>650.95000000000005</v>
      </c>
      <c r="U422" s="291">
        <v>4352.1400000000003</v>
      </c>
      <c r="V422" s="291">
        <v>4352.1400000000003</v>
      </c>
      <c r="W422" s="292">
        <v>55542.12</v>
      </c>
      <c r="X422" s="292">
        <v>52225.680000000008</v>
      </c>
      <c r="Y422" s="292">
        <v>54154.28</v>
      </c>
      <c r="Z422" s="292">
        <v>59025.73</v>
      </c>
      <c r="AA422" s="290">
        <v>60500.905409999992</v>
      </c>
      <c r="AB422" s="285">
        <v>60027.780049999994</v>
      </c>
      <c r="AC422" s="290">
        <v>4628.51</v>
      </c>
      <c r="AD422" s="192">
        <v>12</v>
      </c>
      <c r="AE422" s="290">
        <v>4600</v>
      </c>
      <c r="AF422" s="194">
        <v>60142.12</v>
      </c>
      <c r="AG422" s="192" t="s">
        <v>1457</v>
      </c>
    </row>
    <row r="423" spans="1:34" x14ac:dyDescent="0.3">
      <c r="A423" s="192">
        <v>5832</v>
      </c>
      <c r="B423" s="192">
        <v>81</v>
      </c>
      <c r="C423" s="192">
        <v>3700</v>
      </c>
      <c r="D423" s="192" t="s">
        <v>1495</v>
      </c>
      <c r="E423" s="192">
        <v>30296697</v>
      </c>
      <c r="F423" s="192" t="s">
        <v>1498</v>
      </c>
      <c r="G423" s="290">
        <v>1</v>
      </c>
      <c r="H423" s="192">
        <v>5444.31</v>
      </c>
      <c r="I423" s="192">
        <v>1808.15</v>
      </c>
      <c r="J423" s="192">
        <v>191.53</v>
      </c>
      <c r="K423" s="192">
        <v>234.31</v>
      </c>
      <c r="L423" s="192">
        <v>0</v>
      </c>
      <c r="M423" s="192">
        <v>0</v>
      </c>
      <c r="N423" s="192">
        <v>0</v>
      </c>
      <c r="O423" s="192">
        <v>7678.3</v>
      </c>
      <c r="P423" s="192">
        <v>327</v>
      </c>
      <c r="Q423" s="192">
        <v>575.86</v>
      </c>
      <c r="R423" s="192">
        <v>0</v>
      </c>
      <c r="S423" s="285">
        <v>1</v>
      </c>
      <c r="T423" s="192">
        <v>1009.61</v>
      </c>
      <c r="U423" s="291">
        <v>9590.77</v>
      </c>
      <c r="V423" s="291">
        <v>9590.77</v>
      </c>
      <c r="W423" s="292">
        <v>111477.48000000001</v>
      </c>
      <c r="X423" s="292">
        <v>115089.24</v>
      </c>
      <c r="Y423" s="292">
        <v>115604.23999999999</v>
      </c>
      <c r="Z423" s="292">
        <v>38604.83</v>
      </c>
      <c r="AA423" s="290">
        <v>39784.807589999997</v>
      </c>
      <c r="AB423" s="285">
        <v>39473.684949999995</v>
      </c>
      <c r="AC423" s="290">
        <v>9289.7900000000009</v>
      </c>
      <c r="AD423" s="192">
        <v>12</v>
      </c>
      <c r="AE423" s="290">
        <v>9000</v>
      </c>
      <c r="AF423" s="194">
        <v>120477.48000000001</v>
      </c>
      <c r="AG423" s="192" t="s">
        <v>1457</v>
      </c>
    </row>
    <row r="424" spans="1:34" s="196" customFormat="1" x14ac:dyDescent="0.3">
      <c r="G424" s="288">
        <f>SUM(G421:G423)</f>
        <v>2</v>
      </c>
      <c r="H424" s="288">
        <f t="shared" ref="H424:AF424" si="38">SUM(H421:H423)</f>
        <v>11107.330000000002</v>
      </c>
      <c r="I424" s="288">
        <f t="shared" si="38"/>
        <v>2166.59</v>
      </c>
      <c r="J424" s="288">
        <f t="shared" si="38"/>
        <v>532.04999999999995</v>
      </c>
      <c r="K424" s="288">
        <f t="shared" si="38"/>
        <v>234.31</v>
      </c>
      <c r="L424" s="288">
        <f t="shared" si="38"/>
        <v>0</v>
      </c>
      <c r="M424" s="288">
        <f t="shared" si="38"/>
        <v>0</v>
      </c>
      <c r="N424" s="288">
        <f t="shared" si="38"/>
        <v>195</v>
      </c>
      <c r="O424" s="288">
        <f t="shared" si="38"/>
        <v>14235.279999999999</v>
      </c>
      <c r="P424" s="288">
        <f t="shared" si="38"/>
        <v>559</v>
      </c>
      <c r="Q424" s="288">
        <f t="shared" si="38"/>
        <v>1067.6300000000001</v>
      </c>
      <c r="R424" s="288">
        <f t="shared" si="38"/>
        <v>0</v>
      </c>
      <c r="S424" s="288">
        <f t="shared" si="38"/>
        <v>2</v>
      </c>
      <c r="T424" s="288">
        <f t="shared" si="38"/>
        <v>2099.2000000000003</v>
      </c>
      <c r="U424" s="288">
        <f t="shared" si="38"/>
        <v>17961.11</v>
      </c>
      <c r="V424" s="288">
        <f t="shared" si="38"/>
        <v>17961.11</v>
      </c>
      <c r="W424" s="288">
        <f t="shared" si="38"/>
        <v>215382</v>
      </c>
      <c r="X424" s="288">
        <f t="shared" si="38"/>
        <v>215533.32</v>
      </c>
      <c r="Y424" s="288">
        <f t="shared" si="38"/>
        <v>218074.15999999997</v>
      </c>
      <c r="Z424" s="288">
        <f t="shared" si="38"/>
        <v>127527.67</v>
      </c>
      <c r="AA424" s="288">
        <f t="shared" si="38"/>
        <v>134823.09323999996</v>
      </c>
      <c r="AB424" s="288">
        <f t="shared" si="38"/>
        <v>133768.75819999998</v>
      </c>
      <c r="AC424" s="288">
        <f t="shared" si="38"/>
        <v>17948.5</v>
      </c>
      <c r="AD424" s="288">
        <f t="shared" si="38"/>
        <v>36</v>
      </c>
      <c r="AE424" s="288">
        <f t="shared" si="38"/>
        <v>17600</v>
      </c>
      <c r="AF424" s="288">
        <f t="shared" si="38"/>
        <v>232982</v>
      </c>
      <c r="AG424" s="288" t="s">
        <v>1499</v>
      </c>
      <c r="AH424" s="288">
        <v>0</v>
      </c>
    </row>
    <row r="425" spans="1:34" x14ac:dyDescent="0.3">
      <c r="W425" s="292"/>
      <c r="X425" s="292"/>
      <c r="Y425" s="292"/>
      <c r="Z425" s="292"/>
      <c r="AA425" s="290"/>
      <c r="AB425" s="285"/>
      <c r="AC425" s="290"/>
      <c r="AE425" s="290"/>
      <c r="AF425" s="194"/>
    </row>
    <row r="426" spans="1:34" x14ac:dyDescent="0.3">
      <c r="A426" s="192">
        <v>5832</v>
      </c>
      <c r="B426" s="192">
        <v>81</v>
      </c>
      <c r="C426" s="192">
        <v>5700</v>
      </c>
      <c r="D426" s="192" t="s">
        <v>1500</v>
      </c>
      <c r="E426" s="192">
        <v>2459537</v>
      </c>
      <c r="F426" s="192" t="s">
        <v>1501</v>
      </c>
      <c r="G426" s="290">
        <v>1</v>
      </c>
      <c r="H426" s="192">
        <v>7386.09</v>
      </c>
      <c r="I426" s="192">
        <v>2533.35</v>
      </c>
      <c r="J426" s="192">
        <v>197.6</v>
      </c>
      <c r="K426" s="192">
        <v>1062.18</v>
      </c>
      <c r="L426" s="192">
        <v>0</v>
      </c>
      <c r="M426" s="192">
        <v>0</v>
      </c>
      <c r="N426" s="192">
        <v>316.5</v>
      </c>
      <c r="O426" s="192">
        <v>11495.72</v>
      </c>
      <c r="P426" s="192">
        <v>618</v>
      </c>
      <c r="Q426" s="192">
        <v>862.18</v>
      </c>
      <c r="R426" s="192">
        <v>0</v>
      </c>
      <c r="S426" s="285">
        <v>1</v>
      </c>
      <c r="T426" s="192">
        <v>1117.54</v>
      </c>
      <c r="U426" s="291">
        <v>14093.44</v>
      </c>
      <c r="V426" s="291">
        <v>14093.44</v>
      </c>
      <c r="W426" s="292">
        <v>166986.12</v>
      </c>
      <c r="X426" s="292">
        <v>169121.28</v>
      </c>
      <c r="Y426" s="292">
        <v>168206.48</v>
      </c>
      <c r="Z426" s="292">
        <v>13846.59</v>
      </c>
      <c r="AA426" s="290">
        <v>182083.61654999995</v>
      </c>
      <c r="AB426" s="285">
        <v>180659.69774999996</v>
      </c>
      <c r="AC426" s="290">
        <v>14000</v>
      </c>
      <c r="AD426" s="192">
        <v>12</v>
      </c>
      <c r="AE426" s="290">
        <v>14000</v>
      </c>
      <c r="AF426" s="194">
        <v>182000</v>
      </c>
    </row>
    <row r="427" spans="1:34" x14ac:dyDescent="0.3">
      <c r="A427" s="192">
        <v>5832</v>
      </c>
      <c r="B427" s="192">
        <v>81</v>
      </c>
      <c r="C427" s="192">
        <v>5700</v>
      </c>
      <c r="D427" s="192" t="s">
        <v>1500</v>
      </c>
      <c r="E427" s="192">
        <v>5877568</v>
      </c>
      <c r="F427" s="192" t="s">
        <v>1502</v>
      </c>
      <c r="G427" s="290">
        <v>0.36359999999999998</v>
      </c>
      <c r="H427" s="192">
        <v>4909.83</v>
      </c>
      <c r="I427" s="192">
        <v>0</v>
      </c>
      <c r="J427" s="192">
        <v>17.670000000000002</v>
      </c>
      <c r="K427" s="192">
        <v>0</v>
      </c>
      <c r="L427" s="192">
        <v>0</v>
      </c>
      <c r="M427" s="192">
        <v>0</v>
      </c>
      <c r="N427" s="192">
        <v>0</v>
      </c>
      <c r="O427" s="192">
        <v>4927.5</v>
      </c>
      <c r="P427" s="192">
        <v>0</v>
      </c>
      <c r="Q427" s="192">
        <v>0</v>
      </c>
      <c r="R427" s="192">
        <v>0</v>
      </c>
      <c r="S427" s="285">
        <v>0.36359999999999998</v>
      </c>
      <c r="T427" s="192">
        <v>0</v>
      </c>
      <c r="U427" s="291">
        <v>4927.5</v>
      </c>
      <c r="V427" s="291">
        <v>4927.5</v>
      </c>
      <c r="W427" s="292">
        <v>59044.200000000004</v>
      </c>
      <c r="X427" s="292">
        <v>59130</v>
      </c>
      <c r="Y427" s="292">
        <v>59130</v>
      </c>
      <c r="Z427" s="292">
        <v>80475.05</v>
      </c>
      <c r="AA427" s="290">
        <v>82325.976149999988</v>
      </c>
      <c r="AB427" s="285">
        <v>81682.17574999998</v>
      </c>
      <c r="AC427" s="290">
        <v>7800</v>
      </c>
      <c r="AD427" s="192">
        <v>12</v>
      </c>
      <c r="AE427" s="290">
        <v>7500</v>
      </c>
      <c r="AF427" s="194">
        <v>101100</v>
      </c>
    </row>
    <row r="428" spans="1:34" x14ac:dyDescent="0.3">
      <c r="A428" s="192">
        <v>5832</v>
      </c>
      <c r="B428" s="192">
        <v>81</v>
      </c>
      <c r="C428" s="192">
        <v>5700</v>
      </c>
      <c r="D428" s="192" t="s">
        <v>1500</v>
      </c>
      <c r="E428" s="192">
        <v>30763939</v>
      </c>
      <c r="F428" s="192" t="s">
        <v>1503</v>
      </c>
      <c r="G428" s="290">
        <v>1</v>
      </c>
      <c r="H428" s="192">
        <v>6659.79</v>
      </c>
      <c r="I428" s="192">
        <v>397.78</v>
      </c>
      <c r="J428" s="192">
        <v>197.6</v>
      </c>
      <c r="K428" s="192">
        <v>0</v>
      </c>
      <c r="L428" s="192">
        <v>0</v>
      </c>
      <c r="M428" s="192">
        <v>0</v>
      </c>
      <c r="N428" s="192">
        <v>316.5</v>
      </c>
      <c r="O428" s="192">
        <v>7571.67</v>
      </c>
      <c r="P428" s="192">
        <v>320</v>
      </c>
      <c r="Q428" s="192">
        <v>568.67999999999995</v>
      </c>
      <c r="R428" s="192">
        <v>0</v>
      </c>
      <c r="S428" s="285">
        <v>1</v>
      </c>
      <c r="T428" s="192">
        <v>631.61</v>
      </c>
      <c r="U428" s="291">
        <v>9091.9599999999991</v>
      </c>
      <c r="V428" s="291">
        <v>9091.9599999999991</v>
      </c>
      <c r="W428" s="292">
        <v>107222.16</v>
      </c>
      <c r="X428" s="292">
        <v>109103.51999999999</v>
      </c>
      <c r="Y428" s="292">
        <v>106851.72</v>
      </c>
      <c r="Z428" s="292">
        <v>8914.91</v>
      </c>
      <c r="AA428" s="290">
        <v>121324.77192</v>
      </c>
      <c r="AB428" s="285">
        <v>120375.99559999999</v>
      </c>
      <c r="AC428" s="290">
        <v>9400</v>
      </c>
      <c r="AD428" s="192">
        <v>12</v>
      </c>
      <c r="AE428" s="290">
        <v>10000</v>
      </c>
      <c r="AF428" s="194">
        <v>122800</v>
      </c>
    </row>
    <row r="429" spans="1:34" x14ac:dyDescent="0.3">
      <c r="A429" s="192">
        <v>5832</v>
      </c>
      <c r="B429" s="192">
        <v>81</v>
      </c>
      <c r="C429" s="192">
        <v>5700</v>
      </c>
      <c r="D429" s="192" t="s">
        <v>1500</v>
      </c>
      <c r="E429" s="192">
        <v>30774978</v>
      </c>
      <c r="F429" s="192" t="s">
        <v>1504</v>
      </c>
      <c r="G429" s="290">
        <v>1</v>
      </c>
      <c r="H429" s="192">
        <v>6659.79</v>
      </c>
      <c r="I429" s="192">
        <v>397.78</v>
      </c>
      <c r="J429" s="192">
        <v>197.6</v>
      </c>
      <c r="K429" s="192">
        <v>0</v>
      </c>
      <c r="L429" s="192">
        <v>0</v>
      </c>
      <c r="M429" s="192">
        <v>0</v>
      </c>
      <c r="N429" s="192">
        <v>316.5</v>
      </c>
      <c r="O429" s="192">
        <v>7571.67</v>
      </c>
      <c r="P429" s="192">
        <v>320</v>
      </c>
      <c r="Q429" s="192">
        <v>568.67999999999995</v>
      </c>
      <c r="R429" s="192">
        <v>0</v>
      </c>
      <c r="S429" s="285">
        <v>1</v>
      </c>
      <c r="T429" s="192">
        <v>631.61</v>
      </c>
      <c r="U429" s="291">
        <v>9091.9599999999991</v>
      </c>
      <c r="V429" s="291">
        <v>9091.9599999999991</v>
      </c>
      <c r="W429" s="292">
        <v>107393.40000000001</v>
      </c>
      <c r="X429" s="292">
        <v>109103.51999999999</v>
      </c>
      <c r="Y429" s="292">
        <v>108332.68</v>
      </c>
      <c r="Z429" s="292">
        <v>116456.52</v>
      </c>
      <c r="AA429" s="290">
        <v>121264.54791000001</v>
      </c>
      <c r="AB429" s="285">
        <v>120316.24255</v>
      </c>
      <c r="AC429" s="290">
        <v>9400</v>
      </c>
      <c r="AD429" s="192">
        <v>12</v>
      </c>
      <c r="AE429" s="290">
        <v>10000</v>
      </c>
      <c r="AF429" s="194">
        <v>122800</v>
      </c>
    </row>
    <row r="430" spans="1:34" s="207" customFormat="1" x14ac:dyDescent="0.3">
      <c r="A430" s="207">
        <v>5832</v>
      </c>
      <c r="B430" s="207">
        <v>81</v>
      </c>
      <c r="C430" s="207">
        <v>5700</v>
      </c>
      <c r="D430" s="207" t="s">
        <v>1500</v>
      </c>
      <c r="E430" s="207">
        <v>31953753</v>
      </c>
      <c r="F430" s="207" t="s">
        <v>1505</v>
      </c>
      <c r="G430" s="305">
        <v>1</v>
      </c>
      <c r="H430" s="207">
        <v>6664.36</v>
      </c>
      <c r="I430" s="207">
        <v>396.22</v>
      </c>
      <c r="J430" s="207">
        <v>197.6</v>
      </c>
      <c r="K430" s="207">
        <v>0</v>
      </c>
      <c r="L430" s="207">
        <v>0</v>
      </c>
      <c r="M430" s="207">
        <v>0</v>
      </c>
      <c r="N430" s="207">
        <v>36.5</v>
      </c>
      <c r="O430" s="207">
        <v>7294.68</v>
      </c>
      <c r="P430" s="207">
        <v>51</v>
      </c>
      <c r="Q430" s="207">
        <v>547.91</v>
      </c>
      <c r="R430" s="207">
        <v>0</v>
      </c>
      <c r="S430" s="285">
        <v>0.5</v>
      </c>
      <c r="T430" s="207">
        <v>608.33000000000004</v>
      </c>
      <c r="U430" s="306">
        <v>8501.92</v>
      </c>
      <c r="V430" s="306">
        <v>8501.92</v>
      </c>
      <c r="W430" s="307">
        <v>100457.63999999998</v>
      </c>
      <c r="X430" s="307">
        <v>51011.520000000004</v>
      </c>
      <c r="Y430" s="307">
        <v>100076.28</v>
      </c>
      <c r="Z430" s="307">
        <v>108751.51</v>
      </c>
      <c r="AA430" s="305">
        <v>112627.15431</v>
      </c>
      <c r="AB430" s="305">
        <v>111746.39455</v>
      </c>
      <c r="AC430" s="305">
        <v>9000</v>
      </c>
      <c r="AD430" s="207">
        <v>6</v>
      </c>
      <c r="AE430" s="305">
        <v>10000</v>
      </c>
      <c r="AF430" s="208">
        <v>64000</v>
      </c>
      <c r="AG430" s="207" t="s">
        <v>1372</v>
      </c>
      <c r="AH430" s="207" t="s">
        <v>1506</v>
      </c>
    </row>
    <row r="431" spans="1:34" s="196" customFormat="1" x14ac:dyDescent="0.3">
      <c r="G431" s="288">
        <f>SUM(G426:G430)</f>
        <v>4.3635999999999999</v>
      </c>
      <c r="H431" s="288">
        <f t="shared" ref="H431:AF431" si="39">SUM(H426:H430)</f>
        <v>32279.86</v>
      </c>
      <c r="I431" s="288">
        <f t="shared" si="39"/>
        <v>3725.13</v>
      </c>
      <c r="J431" s="288">
        <f t="shared" si="39"/>
        <v>808.07</v>
      </c>
      <c r="K431" s="288">
        <f t="shared" si="39"/>
        <v>1062.18</v>
      </c>
      <c r="L431" s="288">
        <f t="shared" si="39"/>
        <v>0</v>
      </c>
      <c r="M431" s="288">
        <f t="shared" si="39"/>
        <v>0</v>
      </c>
      <c r="N431" s="288">
        <f t="shared" si="39"/>
        <v>986</v>
      </c>
      <c r="O431" s="288">
        <f t="shared" si="39"/>
        <v>38861.24</v>
      </c>
      <c r="P431" s="288">
        <f t="shared" si="39"/>
        <v>1309</v>
      </c>
      <c r="Q431" s="288">
        <f t="shared" si="39"/>
        <v>2547.4499999999998</v>
      </c>
      <c r="R431" s="288">
        <f t="shared" si="39"/>
        <v>0</v>
      </c>
      <c r="S431" s="288">
        <f t="shared" si="39"/>
        <v>3.8635999999999999</v>
      </c>
      <c r="T431" s="288">
        <f t="shared" si="39"/>
        <v>2989.09</v>
      </c>
      <c r="U431" s="288">
        <f t="shared" si="39"/>
        <v>45706.78</v>
      </c>
      <c r="V431" s="288">
        <f t="shared" si="39"/>
        <v>45706.78</v>
      </c>
      <c r="W431" s="288">
        <f t="shared" si="39"/>
        <v>541103.52</v>
      </c>
      <c r="X431" s="288">
        <f t="shared" si="39"/>
        <v>497469.83999999997</v>
      </c>
      <c r="Y431" s="288">
        <f t="shared" si="39"/>
        <v>542597.16</v>
      </c>
      <c r="Z431" s="288">
        <f t="shared" si="39"/>
        <v>328444.58</v>
      </c>
      <c r="AA431" s="288">
        <f t="shared" si="39"/>
        <v>619626.06683999987</v>
      </c>
      <c r="AB431" s="288">
        <f t="shared" si="39"/>
        <v>614780.50619999983</v>
      </c>
      <c r="AC431" s="288">
        <f t="shared" si="39"/>
        <v>49600</v>
      </c>
      <c r="AD431" s="288">
        <f t="shared" si="39"/>
        <v>54</v>
      </c>
      <c r="AE431" s="288">
        <f t="shared" si="39"/>
        <v>51500</v>
      </c>
      <c r="AF431" s="288">
        <f t="shared" si="39"/>
        <v>592700</v>
      </c>
      <c r="AG431" s="196" t="s">
        <v>922</v>
      </c>
      <c r="AH431" s="288"/>
    </row>
    <row r="432" spans="1:34" x14ac:dyDescent="0.3">
      <c r="W432" s="292"/>
      <c r="X432" s="292"/>
      <c r="Y432" s="292"/>
      <c r="Z432" s="292"/>
      <c r="AA432" s="290"/>
      <c r="AB432" s="285"/>
      <c r="AC432" s="290"/>
      <c r="AE432" s="290"/>
      <c r="AF432" s="194"/>
    </row>
    <row r="433" spans="1:34" x14ac:dyDescent="0.3">
      <c r="A433" s="192">
        <v>5832</v>
      </c>
      <c r="B433" s="192">
        <v>81</v>
      </c>
      <c r="C433" s="192">
        <v>5710</v>
      </c>
      <c r="D433" s="192" t="s">
        <v>1507</v>
      </c>
      <c r="E433" s="192">
        <v>5877568</v>
      </c>
      <c r="F433" s="192" t="s">
        <v>1502</v>
      </c>
      <c r="G433" s="290">
        <v>1</v>
      </c>
      <c r="H433" s="192">
        <v>7251.38</v>
      </c>
      <c r="I433" s="192">
        <v>2633.7</v>
      </c>
      <c r="J433" s="192">
        <v>12.15</v>
      </c>
      <c r="K433" s="192">
        <v>0</v>
      </c>
      <c r="L433" s="192">
        <v>0</v>
      </c>
      <c r="M433" s="192">
        <v>0</v>
      </c>
      <c r="N433" s="192">
        <v>790.5</v>
      </c>
      <c r="O433" s="192">
        <v>10687.73</v>
      </c>
      <c r="P433" s="192">
        <v>0</v>
      </c>
      <c r="Q433" s="192">
        <v>0</v>
      </c>
      <c r="R433" s="192">
        <v>0</v>
      </c>
      <c r="S433" s="285">
        <v>1</v>
      </c>
      <c r="T433" s="192">
        <v>47.11</v>
      </c>
      <c r="U433" s="291">
        <v>10734.84</v>
      </c>
      <c r="V433" s="291">
        <v>10734.84</v>
      </c>
      <c r="W433" s="292">
        <v>59044.200000000004</v>
      </c>
      <c r="X433" s="292">
        <v>128818.08</v>
      </c>
      <c r="Y433" s="292">
        <v>59130</v>
      </c>
      <c r="Z433" s="292">
        <v>80475.05</v>
      </c>
      <c r="AA433" s="290">
        <v>82325.976149999988</v>
      </c>
      <c r="AB433" s="285">
        <v>81682.17574999998</v>
      </c>
      <c r="AC433" s="290">
        <v>12200</v>
      </c>
      <c r="AD433" s="192">
        <v>12</v>
      </c>
      <c r="AE433" s="290">
        <v>12000</v>
      </c>
      <c r="AF433" s="194">
        <v>158400</v>
      </c>
    </row>
    <row r="434" spans="1:34" s="196" customFormat="1" ht="17.25" customHeight="1" x14ac:dyDescent="0.3">
      <c r="G434" s="288">
        <f>G433</f>
        <v>1</v>
      </c>
      <c r="H434" s="288">
        <f t="shared" ref="H434:AF434" si="40">H433</f>
        <v>7251.38</v>
      </c>
      <c r="I434" s="288">
        <f t="shared" si="40"/>
        <v>2633.7</v>
      </c>
      <c r="J434" s="288">
        <f t="shared" si="40"/>
        <v>12.15</v>
      </c>
      <c r="K434" s="288">
        <f t="shared" si="40"/>
        <v>0</v>
      </c>
      <c r="L434" s="288">
        <f t="shared" si="40"/>
        <v>0</v>
      </c>
      <c r="M434" s="288">
        <f t="shared" si="40"/>
        <v>0</v>
      </c>
      <c r="N434" s="288">
        <f t="shared" si="40"/>
        <v>790.5</v>
      </c>
      <c r="O434" s="288">
        <f t="shared" si="40"/>
        <v>10687.73</v>
      </c>
      <c r="P434" s="288">
        <f t="shared" si="40"/>
        <v>0</v>
      </c>
      <c r="Q434" s="288">
        <f t="shared" si="40"/>
        <v>0</v>
      </c>
      <c r="R434" s="288">
        <f t="shared" si="40"/>
        <v>0</v>
      </c>
      <c r="S434" s="288">
        <f t="shared" si="40"/>
        <v>1</v>
      </c>
      <c r="T434" s="288">
        <f t="shared" si="40"/>
        <v>47.11</v>
      </c>
      <c r="U434" s="288">
        <f t="shared" si="40"/>
        <v>10734.84</v>
      </c>
      <c r="V434" s="288">
        <f t="shared" si="40"/>
        <v>10734.84</v>
      </c>
      <c r="W434" s="288">
        <f t="shared" si="40"/>
        <v>59044.200000000004</v>
      </c>
      <c r="X434" s="288">
        <f t="shared" si="40"/>
        <v>128818.08</v>
      </c>
      <c r="Y434" s="288">
        <f t="shared" si="40"/>
        <v>59130</v>
      </c>
      <c r="Z434" s="288">
        <f t="shared" si="40"/>
        <v>80475.05</v>
      </c>
      <c r="AA434" s="288">
        <f t="shared" si="40"/>
        <v>82325.976149999988</v>
      </c>
      <c r="AB434" s="288">
        <f t="shared" si="40"/>
        <v>81682.17574999998</v>
      </c>
      <c r="AC434" s="288">
        <f t="shared" si="40"/>
        <v>12200</v>
      </c>
      <c r="AD434" s="288">
        <f t="shared" si="40"/>
        <v>12</v>
      </c>
      <c r="AE434" s="288">
        <f t="shared" si="40"/>
        <v>12000</v>
      </c>
      <c r="AF434" s="288">
        <f t="shared" si="40"/>
        <v>158400</v>
      </c>
      <c r="AG434" s="196" t="s">
        <v>923</v>
      </c>
      <c r="AH434" s="288"/>
    </row>
    <row r="435" spans="1:34" x14ac:dyDescent="0.3">
      <c r="W435" s="292"/>
      <c r="X435" s="292"/>
      <c r="Y435" s="292"/>
      <c r="Z435" s="292"/>
      <c r="AA435" s="290"/>
      <c r="AB435" s="285"/>
      <c r="AC435" s="290"/>
      <c r="AE435" s="290"/>
      <c r="AF435" s="194"/>
    </row>
    <row r="436" spans="1:34" x14ac:dyDescent="0.3">
      <c r="A436" s="192">
        <v>5832</v>
      </c>
      <c r="B436" s="192">
        <v>81</v>
      </c>
      <c r="C436" s="192">
        <v>3210</v>
      </c>
      <c r="D436" s="192" t="s">
        <v>1508</v>
      </c>
      <c r="E436" s="192">
        <v>3327779</v>
      </c>
      <c r="F436" s="192" t="s">
        <v>1365</v>
      </c>
      <c r="G436" s="290">
        <v>1</v>
      </c>
      <c r="H436" s="192">
        <v>6415.79</v>
      </c>
      <c r="I436" s="192">
        <v>548.70000000000005</v>
      </c>
      <c r="J436" s="192">
        <v>197.6</v>
      </c>
      <c r="K436" s="192">
        <v>0</v>
      </c>
      <c r="L436" s="192">
        <v>0</v>
      </c>
      <c r="M436" s="192">
        <v>0</v>
      </c>
      <c r="N436" s="192">
        <v>503.5</v>
      </c>
      <c r="O436" s="192">
        <v>7665.59</v>
      </c>
      <c r="P436" s="192">
        <v>326</v>
      </c>
      <c r="Q436" s="192">
        <v>574.91999999999996</v>
      </c>
      <c r="R436" s="192">
        <v>0</v>
      </c>
      <c r="S436" s="285">
        <v>0.5</v>
      </c>
      <c r="T436" s="192">
        <v>589.19000000000005</v>
      </c>
      <c r="U436" s="291">
        <v>9155.7000000000007</v>
      </c>
      <c r="V436" s="291">
        <v>9155.7000000000007</v>
      </c>
      <c r="W436" s="292">
        <v>116753.76</v>
      </c>
      <c r="X436" s="292">
        <v>54934.200000000004</v>
      </c>
      <c r="Y436" s="292">
        <v>114736.6</v>
      </c>
      <c r="Z436" s="292">
        <v>128075.58</v>
      </c>
      <c r="AA436" s="290">
        <v>131011.81466999999</v>
      </c>
      <c r="AB436" s="285">
        <v>129987.28435</v>
      </c>
      <c r="AC436" s="290">
        <v>9729.48</v>
      </c>
      <c r="AD436" s="192">
        <v>6</v>
      </c>
      <c r="AE436" s="290"/>
      <c r="AF436" s="194">
        <v>58376.88</v>
      </c>
      <c r="AG436" s="192" t="s">
        <v>2205</v>
      </c>
    </row>
    <row r="437" spans="1:34" s="207" customFormat="1" x14ac:dyDescent="0.3">
      <c r="A437" s="207">
        <v>5832</v>
      </c>
      <c r="B437" s="207">
        <v>81</v>
      </c>
      <c r="C437" s="207">
        <v>5730</v>
      </c>
      <c r="D437" s="207" t="s">
        <v>1508</v>
      </c>
      <c r="E437" s="207">
        <v>5829047</v>
      </c>
      <c r="F437" s="207" t="s">
        <v>1509</v>
      </c>
      <c r="G437" s="305">
        <v>1</v>
      </c>
      <c r="H437" s="207">
        <v>7821.85</v>
      </c>
      <c r="I437" s="207">
        <v>415.41</v>
      </c>
      <c r="J437" s="207">
        <v>-100.4</v>
      </c>
      <c r="K437" s="207">
        <v>0</v>
      </c>
      <c r="L437" s="207">
        <v>0</v>
      </c>
      <c r="M437" s="207">
        <v>0</v>
      </c>
      <c r="N437" s="207">
        <v>129.5</v>
      </c>
      <c r="O437" s="207">
        <v>8266.36</v>
      </c>
      <c r="P437" s="207">
        <v>371</v>
      </c>
      <c r="Q437" s="207">
        <v>619.98</v>
      </c>
      <c r="R437" s="207">
        <v>0</v>
      </c>
      <c r="S437" s="305">
        <v>0.5</v>
      </c>
      <c r="T437" s="207">
        <v>780.22</v>
      </c>
      <c r="U437" s="306">
        <v>10037.56</v>
      </c>
      <c r="V437" s="306">
        <v>10037.56</v>
      </c>
      <c r="W437" s="307">
        <v>128343.95999999999</v>
      </c>
      <c r="X437" s="307">
        <v>60225.36</v>
      </c>
      <c r="Y437" s="307">
        <v>126105.24</v>
      </c>
      <c r="Z437" s="307">
        <v>142223.04999999999</v>
      </c>
      <c r="AA437" s="305">
        <v>145701.86960999999</v>
      </c>
      <c r="AB437" s="305">
        <v>144562.46104999998</v>
      </c>
      <c r="AC437" s="305">
        <v>11000</v>
      </c>
      <c r="AD437" s="207">
        <v>6</v>
      </c>
      <c r="AE437" s="305">
        <v>11000</v>
      </c>
      <c r="AF437" s="208">
        <v>77000</v>
      </c>
      <c r="AG437" s="207" t="s">
        <v>1372</v>
      </c>
    </row>
    <row r="438" spans="1:34" s="196" customFormat="1" ht="17.25" customHeight="1" x14ac:dyDescent="0.3">
      <c r="G438" s="288">
        <f>SUM(G436:G437)</f>
        <v>2</v>
      </c>
      <c r="H438" s="288">
        <f t="shared" ref="H438:AF438" si="41">SUM(H436:H437)</f>
        <v>14237.64</v>
      </c>
      <c r="I438" s="288">
        <f t="shared" si="41"/>
        <v>964.11000000000013</v>
      </c>
      <c r="J438" s="288">
        <f t="shared" si="41"/>
        <v>97.199999999999989</v>
      </c>
      <c r="K438" s="288">
        <f t="shared" si="41"/>
        <v>0</v>
      </c>
      <c r="L438" s="288">
        <f t="shared" si="41"/>
        <v>0</v>
      </c>
      <c r="M438" s="288">
        <f t="shared" si="41"/>
        <v>0</v>
      </c>
      <c r="N438" s="288">
        <f t="shared" si="41"/>
        <v>633</v>
      </c>
      <c r="O438" s="288">
        <f t="shared" si="41"/>
        <v>15931.95</v>
      </c>
      <c r="P438" s="288">
        <f t="shared" si="41"/>
        <v>697</v>
      </c>
      <c r="Q438" s="288">
        <f t="shared" si="41"/>
        <v>1194.9000000000001</v>
      </c>
      <c r="R438" s="288">
        <f t="shared" si="41"/>
        <v>0</v>
      </c>
      <c r="S438" s="288">
        <f t="shared" si="41"/>
        <v>1</v>
      </c>
      <c r="T438" s="288">
        <f t="shared" si="41"/>
        <v>1369.41</v>
      </c>
      <c r="U438" s="288">
        <f t="shared" si="41"/>
        <v>19193.260000000002</v>
      </c>
      <c r="V438" s="288">
        <f t="shared" si="41"/>
        <v>19193.260000000002</v>
      </c>
      <c r="W438" s="288">
        <f t="shared" si="41"/>
        <v>245097.71999999997</v>
      </c>
      <c r="X438" s="288">
        <f t="shared" si="41"/>
        <v>115159.56</v>
      </c>
      <c r="Y438" s="288">
        <f t="shared" si="41"/>
        <v>240841.84000000003</v>
      </c>
      <c r="Z438" s="288">
        <f t="shared" si="41"/>
        <v>270298.63</v>
      </c>
      <c r="AA438" s="288">
        <f t="shared" si="41"/>
        <v>276713.68427999999</v>
      </c>
      <c r="AB438" s="288">
        <f t="shared" si="41"/>
        <v>274549.74540000001</v>
      </c>
      <c r="AC438" s="288">
        <f t="shared" si="41"/>
        <v>20729.48</v>
      </c>
      <c r="AD438" s="288">
        <f t="shared" si="41"/>
        <v>12</v>
      </c>
      <c r="AE438" s="288">
        <f t="shared" si="41"/>
        <v>11000</v>
      </c>
      <c r="AF438" s="288">
        <f t="shared" si="41"/>
        <v>135376.88</v>
      </c>
      <c r="AH438" s="288"/>
    </row>
    <row r="439" spans="1:34" x14ac:dyDescent="0.3">
      <c r="W439" s="292"/>
      <c r="X439" s="292"/>
      <c r="Y439" s="292"/>
      <c r="Z439" s="292"/>
      <c r="AA439" s="290"/>
      <c r="AB439" s="285"/>
      <c r="AC439" s="290"/>
      <c r="AE439" s="290"/>
      <c r="AF439" s="194"/>
    </row>
    <row r="440" spans="1:34" x14ac:dyDescent="0.3">
      <c r="A440" s="192">
        <v>5832</v>
      </c>
      <c r="B440" s="192">
        <v>81</v>
      </c>
      <c r="C440" s="192">
        <v>7100</v>
      </c>
      <c r="D440" s="192" t="s">
        <v>117</v>
      </c>
      <c r="E440" s="192">
        <v>5905548</v>
      </c>
      <c r="F440" s="192" t="s">
        <v>1510</v>
      </c>
      <c r="G440" s="290">
        <v>1</v>
      </c>
      <c r="H440" s="192">
        <v>6254.39</v>
      </c>
      <c r="I440" s="192">
        <v>2697.71</v>
      </c>
      <c r="J440" s="192">
        <v>197.6</v>
      </c>
      <c r="K440" s="192">
        <v>2018.87</v>
      </c>
      <c r="L440" s="192">
        <v>0</v>
      </c>
      <c r="M440" s="192">
        <v>0</v>
      </c>
      <c r="N440" s="192">
        <v>36.5</v>
      </c>
      <c r="O440" s="192">
        <v>11205.07</v>
      </c>
      <c r="P440" s="192">
        <v>613</v>
      </c>
      <c r="Q440" s="192">
        <v>859.13</v>
      </c>
      <c r="R440" s="192">
        <v>0</v>
      </c>
      <c r="S440" s="285">
        <v>1</v>
      </c>
      <c r="T440" s="192">
        <v>1835.7</v>
      </c>
      <c r="U440" s="291">
        <v>14512.9</v>
      </c>
      <c r="V440" s="291">
        <v>14512.9</v>
      </c>
      <c r="W440" s="292">
        <v>178949.63999999998</v>
      </c>
      <c r="X440" s="292">
        <v>174154.8</v>
      </c>
      <c r="Y440" s="292">
        <v>174114.4</v>
      </c>
      <c r="Z440" s="292">
        <v>190799.99</v>
      </c>
      <c r="AA440" s="290">
        <v>195227.49905999997</v>
      </c>
      <c r="AB440" s="285">
        <v>193700.79329999999</v>
      </c>
      <c r="AC440" s="290">
        <v>14912.47</v>
      </c>
      <c r="AD440" s="192">
        <v>12</v>
      </c>
      <c r="AE440" s="290">
        <v>14000</v>
      </c>
      <c r="AF440" s="194">
        <v>192949.63999999998</v>
      </c>
    </row>
    <row r="441" spans="1:34" s="196" customFormat="1" ht="17.25" customHeight="1" x14ac:dyDescent="0.3">
      <c r="G441" s="288">
        <f>G440</f>
        <v>1</v>
      </c>
      <c r="H441" s="288">
        <f t="shared" ref="H441:AF441" si="42">H440</f>
        <v>6254.39</v>
      </c>
      <c r="I441" s="288">
        <f t="shared" si="42"/>
        <v>2697.71</v>
      </c>
      <c r="J441" s="288">
        <f t="shared" si="42"/>
        <v>197.6</v>
      </c>
      <c r="K441" s="288">
        <f t="shared" si="42"/>
        <v>2018.87</v>
      </c>
      <c r="L441" s="288">
        <f t="shared" si="42"/>
        <v>0</v>
      </c>
      <c r="M441" s="288">
        <f t="shared" si="42"/>
        <v>0</v>
      </c>
      <c r="N441" s="288">
        <f t="shared" si="42"/>
        <v>36.5</v>
      </c>
      <c r="O441" s="288">
        <f t="shared" si="42"/>
        <v>11205.07</v>
      </c>
      <c r="P441" s="288">
        <f t="shared" si="42"/>
        <v>613</v>
      </c>
      <c r="Q441" s="288">
        <f t="shared" si="42"/>
        <v>859.13</v>
      </c>
      <c r="R441" s="288">
        <f t="shared" si="42"/>
        <v>0</v>
      </c>
      <c r="S441" s="288">
        <f t="shared" si="42"/>
        <v>1</v>
      </c>
      <c r="T441" s="288">
        <f t="shared" si="42"/>
        <v>1835.7</v>
      </c>
      <c r="U441" s="288">
        <f t="shared" si="42"/>
        <v>14512.9</v>
      </c>
      <c r="V441" s="288">
        <f t="shared" si="42"/>
        <v>14512.9</v>
      </c>
      <c r="W441" s="288">
        <f t="shared" si="42"/>
        <v>178949.63999999998</v>
      </c>
      <c r="X441" s="288">
        <f t="shared" si="42"/>
        <v>174154.8</v>
      </c>
      <c r="Y441" s="288">
        <f t="shared" si="42"/>
        <v>174114.4</v>
      </c>
      <c r="Z441" s="288">
        <f t="shared" si="42"/>
        <v>190799.99</v>
      </c>
      <c r="AA441" s="288">
        <f t="shared" si="42"/>
        <v>195227.49905999997</v>
      </c>
      <c r="AB441" s="288">
        <f t="shared" si="42"/>
        <v>193700.79329999999</v>
      </c>
      <c r="AC441" s="288">
        <f t="shared" si="42"/>
        <v>14912.47</v>
      </c>
      <c r="AD441" s="288">
        <f t="shared" si="42"/>
        <v>12</v>
      </c>
      <c r="AE441" s="288">
        <f t="shared" si="42"/>
        <v>14000</v>
      </c>
      <c r="AF441" s="288">
        <f t="shared" si="42"/>
        <v>192949.63999999998</v>
      </c>
      <c r="AH441" s="288"/>
    </row>
    <row r="442" spans="1:34" x14ac:dyDescent="0.3">
      <c r="W442" s="292"/>
      <c r="X442" s="292"/>
      <c r="Y442" s="292"/>
      <c r="Z442" s="292"/>
      <c r="AA442" s="290"/>
      <c r="AB442" s="285"/>
      <c r="AC442" s="290"/>
      <c r="AE442" s="290"/>
      <c r="AF442" s="194"/>
    </row>
    <row r="443" spans="1:34" x14ac:dyDescent="0.3">
      <c r="A443" s="192">
        <v>5832</v>
      </c>
      <c r="B443" s="192">
        <v>81</v>
      </c>
      <c r="C443" s="192">
        <v>7200</v>
      </c>
      <c r="D443" s="192" t="s">
        <v>1511</v>
      </c>
      <c r="E443" s="192">
        <v>1650685</v>
      </c>
      <c r="F443" s="192" t="s">
        <v>1512</v>
      </c>
      <c r="G443" s="290">
        <v>1</v>
      </c>
      <c r="H443" s="192">
        <v>6217.48</v>
      </c>
      <c r="I443" s="192">
        <v>389.09</v>
      </c>
      <c r="J443" s="192">
        <v>197.6</v>
      </c>
      <c r="K443" s="192">
        <v>0</v>
      </c>
      <c r="L443" s="192">
        <v>0</v>
      </c>
      <c r="M443" s="192">
        <v>0</v>
      </c>
      <c r="N443" s="192">
        <v>153.5</v>
      </c>
      <c r="O443" s="192">
        <v>6957.67</v>
      </c>
      <c r="P443" s="192">
        <v>272</v>
      </c>
      <c r="Q443" s="192">
        <v>522.35</v>
      </c>
      <c r="R443" s="192">
        <v>0</v>
      </c>
      <c r="S443" s="285">
        <v>1</v>
      </c>
      <c r="T443" s="192">
        <v>1464.75</v>
      </c>
      <c r="U443" s="291">
        <v>9216.77</v>
      </c>
      <c r="V443" s="291">
        <v>9216.77</v>
      </c>
      <c r="W443" s="292">
        <v>150080.76</v>
      </c>
      <c r="X443" s="292">
        <v>110601.24</v>
      </c>
      <c r="Y443" s="292">
        <v>127224.91999999998</v>
      </c>
      <c r="Z443" s="292">
        <v>119615.84</v>
      </c>
      <c r="AA443" s="290">
        <v>123998.60747999999</v>
      </c>
      <c r="AB443" s="285">
        <v>123028.92139999999</v>
      </c>
      <c r="AC443" s="290">
        <v>10000</v>
      </c>
      <c r="AD443" s="192">
        <v>12</v>
      </c>
      <c r="AE443" s="290">
        <v>11500</v>
      </c>
      <c r="AF443" s="194">
        <v>131500</v>
      </c>
      <c r="AG443" s="192" t="s">
        <v>1513</v>
      </c>
    </row>
    <row r="444" spans="1:34" x14ac:dyDescent="0.3">
      <c r="A444" s="192">
        <v>5832</v>
      </c>
      <c r="B444" s="192">
        <v>81</v>
      </c>
      <c r="C444" s="192">
        <v>7200</v>
      </c>
      <c r="D444" s="192" t="s">
        <v>1511</v>
      </c>
      <c r="E444" s="192">
        <v>2418787</v>
      </c>
      <c r="F444" s="192" t="s">
        <v>1514</v>
      </c>
      <c r="G444" s="290">
        <v>0.5</v>
      </c>
      <c r="H444" s="192">
        <v>3214.59</v>
      </c>
      <c r="I444" s="192">
        <v>188.74</v>
      </c>
      <c r="J444" s="192">
        <v>173.3</v>
      </c>
      <c r="K444" s="192">
        <v>0</v>
      </c>
      <c r="L444" s="192">
        <v>0</v>
      </c>
      <c r="M444" s="192">
        <v>0</v>
      </c>
      <c r="N444" s="192">
        <v>176.5</v>
      </c>
      <c r="O444" s="192">
        <v>3753.13</v>
      </c>
      <c r="P444" s="192">
        <v>0</v>
      </c>
      <c r="Q444" s="192">
        <v>0</v>
      </c>
      <c r="R444" s="192">
        <v>0</v>
      </c>
      <c r="S444" s="285">
        <v>0.5</v>
      </c>
      <c r="T444" s="192">
        <v>29.65</v>
      </c>
      <c r="U444" s="291">
        <v>3782.78</v>
      </c>
      <c r="V444" s="291">
        <v>3782.78</v>
      </c>
      <c r="W444" s="292">
        <v>44728.2</v>
      </c>
      <c r="X444" s="292">
        <v>45393.36</v>
      </c>
      <c r="Y444" s="292">
        <v>45092.480000000003</v>
      </c>
      <c r="Z444" s="292">
        <v>57505.54</v>
      </c>
      <c r="AA444" s="290">
        <v>58995.151709999998</v>
      </c>
      <c r="AB444" s="285">
        <v>58533.801549999996</v>
      </c>
      <c r="AC444" s="290">
        <v>4551.68</v>
      </c>
      <c r="AD444" s="192">
        <v>12</v>
      </c>
      <c r="AE444" s="290">
        <v>4000</v>
      </c>
      <c r="AF444" s="194">
        <v>58620.160000000003</v>
      </c>
    </row>
    <row r="445" spans="1:34" x14ac:dyDescent="0.3">
      <c r="A445" s="192">
        <v>5832</v>
      </c>
      <c r="B445" s="192">
        <v>81</v>
      </c>
      <c r="C445" s="192">
        <v>7200</v>
      </c>
      <c r="D445" s="192" t="s">
        <v>1511</v>
      </c>
      <c r="E445" s="192">
        <v>5663747</v>
      </c>
      <c r="F445" s="192" t="s">
        <v>1515</v>
      </c>
      <c r="G445" s="290">
        <v>0.68</v>
      </c>
      <c r="H445" s="192">
        <v>4299.58</v>
      </c>
      <c r="I445" s="192">
        <v>1109.5999999999999</v>
      </c>
      <c r="J445" s="192">
        <v>182.05</v>
      </c>
      <c r="K445" s="192">
        <v>0</v>
      </c>
      <c r="L445" s="192">
        <v>0</v>
      </c>
      <c r="M445" s="192">
        <v>0</v>
      </c>
      <c r="N445" s="192">
        <v>109.5</v>
      </c>
      <c r="O445" s="192">
        <v>5700.73</v>
      </c>
      <c r="P445" s="192">
        <v>27</v>
      </c>
      <c r="Q445" s="192">
        <v>428.14</v>
      </c>
      <c r="R445" s="192">
        <v>0</v>
      </c>
      <c r="S445" s="285">
        <v>0.68</v>
      </c>
      <c r="T445" s="192">
        <v>573.39</v>
      </c>
      <c r="U445" s="291">
        <v>6729.26</v>
      </c>
      <c r="V445" s="291">
        <v>6729.26</v>
      </c>
      <c r="W445" s="292">
        <v>80678.399999999994</v>
      </c>
      <c r="X445" s="292">
        <v>80751.12</v>
      </c>
      <c r="Y445" s="292">
        <v>81838.36</v>
      </c>
      <c r="Z445" s="292">
        <v>89549.71</v>
      </c>
      <c r="AA445" s="290">
        <v>91925.562629999986</v>
      </c>
      <c r="AB445" s="285">
        <v>91206.692149999988</v>
      </c>
      <c r="AC445" s="290">
        <v>6723.2</v>
      </c>
      <c r="AD445" s="192">
        <v>12</v>
      </c>
      <c r="AE445" s="290">
        <v>6700</v>
      </c>
      <c r="AF445" s="194">
        <v>87378.4</v>
      </c>
    </row>
    <row r="446" spans="1:34" s="196" customFormat="1" ht="17.25" customHeight="1" x14ac:dyDescent="0.3">
      <c r="G446" s="288">
        <f>SUM(G443:G445)</f>
        <v>2.1800000000000002</v>
      </c>
      <c r="H446" s="288">
        <f t="shared" ref="H446:AF446" si="43">SUM(H443:H445)</f>
        <v>13731.65</v>
      </c>
      <c r="I446" s="288">
        <f t="shared" si="43"/>
        <v>1687.4299999999998</v>
      </c>
      <c r="J446" s="288">
        <f t="shared" si="43"/>
        <v>552.95000000000005</v>
      </c>
      <c r="K446" s="288">
        <f t="shared" si="43"/>
        <v>0</v>
      </c>
      <c r="L446" s="288">
        <f t="shared" si="43"/>
        <v>0</v>
      </c>
      <c r="M446" s="288">
        <f t="shared" si="43"/>
        <v>0</v>
      </c>
      <c r="N446" s="288">
        <f t="shared" si="43"/>
        <v>439.5</v>
      </c>
      <c r="O446" s="288">
        <f t="shared" si="43"/>
        <v>16411.53</v>
      </c>
      <c r="P446" s="288">
        <f t="shared" si="43"/>
        <v>299</v>
      </c>
      <c r="Q446" s="288">
        <f t="shared" si="43"/>
        <v>950.49</v>
      </c>
      <c r="R446" s="288">
        <f t="shared" si="43"/>
        <v>0</v>
      </c>
      <c r="S446" s="288">
        <f t="shared" si="43"/>
        <v>2.1800000000000002</v>
      </c>
      <c r="T446" s="288">
        <f t="shared" si="43"/>
        <v>2067.79</v>
      </c>
      <c r="U446" s="288">
        <f t="shared" si="43"/>
        <v>19728.810000000001</v>
      </c>
      <c r="V446" s="288">
        <f t="shared" si="43"/>
        <v>19728.810000000001</v>
      </c>
      <c r="W446" s="288">
        <f t="shared" si="43"/>
        <v>275487.35999999999</v>
      </c>
      <c r="X446" s="288">
        <f t="shared" si="43"/>
        <v>236745.72</v>
      </c>
      <c r="Y446" s="288">
        <f t="shared" si="43"/>
        <v>254155.76</v>
      </c>
      <c r="Z446" s="288">
        <f t="shared" si="43"/>
        <v>266671.09000000003</v>
      </c>
      <c r="AA446" s="288">
        <f t="shared" si="43"/>
        <v>274919.32181999995</v>
      </c>
      <c r="AB446" s="288">
        <f t="shared" si="43"/>
        <v>272769.41509999998</v>
      </c>
      <c r="AC446" s="288">
        <f t="shared" si="43"/>
        <v>21274.880000000001</v>
      </c>
      <c r="AD446" s="288">
        <f t="shared" si="43"/>
        <v>36</v>
      </c>
      <c r="AE446" s="288">
        <f t="shared" si="43"/>
        <v>22200</v>
      </c>
      <c r="AF446" s="288">
        <f t="shared" si="43"/>
        <v>277498.56</v>
      </c>
      <c r="AG446" s="196" t="s">
        <v>1516</v>
      </c>
      <c r="AH446" s="288"/>
    </row>
    <row r="447" spans="1:34" x14ac:dyDescent="0.3">
      <c r="W447" s="292"/>
      <c r="X447" s="292"/>
      <c r="Y447" s="292"/>
      <c r="Z447" s="292"/>
      <c r="AA447" s="290"/>
      <c r="AB447" s="285"/>
      <c r="AC447" s="290"/>
      <c r="AE447" s="290"/>
      <c r="AF447" s="194"/>
    </row>
    <row r="448" spans="1:34" x14ac:dyDescent="0.3">
      <c r="A448" s="192">
        <v>5832</v>
      </c>
      <c r="B448" s="192">
        <v>81</v>
      </c>
      <c r="C448" s="192">
        <v>7300</v>
      </c>
      <c r="D448" s="192" t="s">
        <v>1517</v>
      </c>
      <c r="E448" s="192">
        <v>2244009</v>
      </c>
      <c r="F448" s="192" t="s">
        <v>1518</v>
      </c>
      <c r="G448" s="290">
        <v>0.5</v>
      </c>
      <c r="H448" s="192">
        <v>4161.7</v>
      </c>
      <c r="I448" s="192">
        <v>255.02</v>
      </c>
      <c r="J448" s="192">
        <v>344.3</v>
      </c>
      <c r="K448" s="192">
        <v>0</v>
      </c>
      <c r="L448" s="192">
        <v>0</v>
      </c>
      <c r="M448" s="192">
        <v>0</v>
      </c>
      <c r="N448" s="192">
        <v>133</v>
      </c>
      <c r="O448" s="192">
        <v>4894.0200000000004</v>
      </c>
      <c r="P448" s="192">
        <v>174</v>
      </c>
      <c r="Q448" s="192">
        <v>367.05</v>
      </c>
      <c r="R448" s="192">
        <v>0</v>
      </c>
      <c r="S448" s="285">
        <v>0.5</v>
      </c>
      <c r="T448" s="192">
        <v>372.4</v>
      </c>
      <c r="U448" s="291">
        <v>5807.47</v>
      </c>
      <c r="V448" s="291">
        <v>5807.47</v>
      </c>
      <c r="W448" s="292">
        <v>63865.919999999998</v>
      </c>
      <c r="X448" s="292">
        <v>69689.64</v>
      </c>
      <c r="Y448" s="292">
        <v>87054.04</v>
      </c>
      <c r="Z448" s="292">
        <v>71700.88</v>
      </c>
      <c r="AA448" s="290">
        <v>73727.783909999998</v>
      </c>
      <c r="AB448" s="285">
        <v>73151.222549999991</v>
      </c>
      <c r="AC448" s="290">
        <v>5322.16</v>
      </c>
      <c r="AD448" s="192">
        <v>12</v>
      </c>
      <c r="AE448" s="290">
        <v>5000</v>
      </c>
      <c r="AF448" s="194">
        <v>68865.919999999998</v>
      </c>
    </row>
    <row r="449" spans="1:34" x14ac:dyDescent="0.3">
      <c r="A449" s="192">
        <v>5832</v>
      </c>
      <c r="B449" s="192">
        <v>81</v>
      </c>
      <c r="C449" s="192">
        <v>7300</v>
      </c>
      <c r="D449" s="192" t="s">
        <v>1517</v>
      </c>
      <c r="E449" s="192">
        <v>3196259</v>
      </c>
      <c r="F449" s="192" t="s">
        <v>1519</v>
      </c>
      <c r="G449" s="290">
        <v>1</v>
      </c>
      <c r="H449" s="192">
        <v>6680.06</v>
      </c>
      <c r="I449" s="192">
        <v>1062.93</v>
      </c>
      <c r="J449" s="192">
        <v>746.2</v>
      </c>
      <c r="K449" s="192">
        <v>0</v>
      </c>
      <c r="L449" s="192">
        <v>0</v>
      </c>
      <c r="M449" s="192">
        <v>0</v>
      </c>
      <c r="N449" s="192">
        <v>36.5</v>
      </c>
      <c r="O449" s="192">
        <v>8525.69</v>
      </c>
      <c r="P449" s="192">
        <v>392</v>
      </c>
      <c r="Q449" s="192">
        <v>639.42999999999995</v>
      </c>
      <c r="R449" s="192">
        <v>0</v>
      </c>
      <c r="S449" s="285">
        <v>1</v>
      </c>
      <c r="T449" s="192">
        <v>1734.84</v>
      </c>
      <c r="U449" s="291">
        <v>11291.96</v>
      </c>
      <c r="V449" s="291">
        <v>11291.96</v>
      </c>
      <c r="W449" s="292">
        <v>130317.84</v>
      </c>
      <c r="X449" s="292">
        <v>135503.51999999999</v>
      </c>
      <c r="Y449" s="292">
        <v>141598.32</v>
      </c>
      <c r="Z449" s="292">
        <v>137906.76999999999</v>
      </c>
      <c r="AA449" s="290">
        <v>143266.01454</v>
      </c>
      <c r="AB449" s="285">
        <v>142145.65469999998</v>
      </c>
      <c r="AC449" s="290">
        <v>10859.82</v>
      </c>
      <c r="AD449" s="192">
        <v>12</v>
      </c>
      <c r="AE449" s="290">
        <v>10000</v>
      </c>
      <c r="AF449" s="194">
        <v>140317.84</v>
      </c>
    </row>
    <row r="450" spans="1:34" x14ac:dyDescent="0.3">
      <c r="A450" s="192">
        <v>5832</v>
      </c>
      <c r="B450" s="192">
        <v>81</v>
      </c>
      <c r="C450" s="192">
        <v>7300</v>
      </c>
      <c r="D450" s="192" t="s">
        <v>1517</v>
      </c>
      <c r="E450" s="192">
        <v>3287863</v>
      </c>
      <c r="F450" s="192" t="s">
        <v>1520</v>
      </c>
      <c r="G450" s="290">
        <v>0.5</v>
      </c>
      <c r="H450" s="192">
        <v>3801.21</v>
      </c>
      <c r="I450" s="192">
        <v>586.91</v>
      </c>
      <c r="J450" s="192">
        <v>613.29999999999995</v>
      </c>
      <c r="K450" s="192">
        <v>0</v>
      </c>
      <c r="L450" s="192">
        <v>0</v>
      </c>
      <c r="M450" s="192">
        <v>0</v>
      </c>
      <c r="N450" s="192">
        <v>55.8</v>
      </c>
      <c r="O450" s="192">
        <v>5057.22</v>
      </c>
      <c r="P450" s="192">
        <v>188</v>
      </c>
      <c r="Q450" s="192">
        <v>398.03</v>
      </c>
      <c r="R450" s="192">
        <v>0</v>
      </c>
      <c r="S450" s="285">
        <v>0.5</v>
      </c>
      <c r="T450" s="192">
        <v>971.15</v>
      </c>
      <c r="U450" s="291">
        <v>6614.4</v>
      </c>
      <c r="V450" s="291">
        <v>6614.4</v>
      </c>
      <c r="W450" s="292">
        <v>80743.56</v>
      </c>
      <c r="X450" s="292">
        <v>79372.799999999988</v>
      </c>
      <c r="Y450" s="292">
        <v>86179.4</v>
      </c>
      <c r="Z450" s="292">
        <v>74302.52</v>
      </c>
      <c r="AA450" s="290">
        <v>77304.948929999999</v>
      </c>
      <c r="AB450" s="285">
        <v>76700.413650000002</v>
      </c>
      <c r="AC450" s="290">
        <v>6728.63</v>
      </c>
      <c r="AD450" s="192">
        <v>12</v>
      </c>
      <c r="AE450" s="290">
        <v>6000</v>
      </c>
      <c r="AF450" s="194">
        <v>86743.56</v>
      </c>
    </row>
    <row r="451" spans="1:34" x14ac:dyDescent="0.3">
      <c r="A451" s="192">
        <v>5832</v>
      </c>
      <c r="B451" s="192">
        <v>81</v>
      </c>
      <c r="C451" s="192">
        <v>7300</v>
      </c>
      <c r="D451" s="192" t="s">
        <v>1517</v>
      </c>
      <c r="E451" s="192">
        <v>4335728</v>
      </c>
      <c r="F451" s="192" t="s">
        <v>1521</v>
      </c>
      <c r="G451" s="290">
        <v>1</v>
      </c>
      <c r="H451" s="192">
        <v>6653.68</v>
      </c>
      <c r="I451" s="192">
        <v>1060.92</v>
      </c>
      <c r="J451" s="192">
        <v>197.6</v>
      </c>
      <c r="K451" s="192">
        <v>0</v>
      </c>
      <c r="L451" s="192">
        <v>0</v>
      </c>
      <c r="M451" s="192">
        <v>0</v>
      </c>
      <c r="N451" s="192">
        <v>531</v>
      </c>
      <c r="O451" s="192">
        <v>8443.2000000000007</v>
      </c>
      <c r="P451" s="192">
        <v>385</v>
      </c>
      <c r="Q451" s="192">
        <v>633.24</v>
      </c>
      <c r="R451" s="192">
        <v>0</v>
      </c>
      <c r="S451" s="285">
        <v>1</v>
      </c>
      <c r="T451" s="192">
        <v>1725.92</v>
      </c>
      <c r="U451" s="291">
        <v>11187.36</v>
      </c>
      <c r="V451" s="291">
        <v>11187.36</v>
      </c>
      <c r="W451" s="292">
        <v>144695.76</v>
      </c>
      <c r="X451" s="292">
        <v>134248.32000000001</v>
      </c>
      <c r="Y451" s="292">
        <v>140230.79999999999</v>
      </c>
      <c r="Z451" s="292">
        <v>115538.24000000001</v>
      </c>
      <c r="AA451" s="290">
        <v>119580.15794999998</v>
      </c>
      <c r="AB451" s="285">
        <v>118645.02474999998</v>
      </c>
      <c r="AC451" s="290">
        <v>12057.98</v>
      </c>
      <c r="AD451" s="192">
        <v>12</v>
      </c>
      <c r="AE451" s="290">
        <v>12000</v>
      </c>
      <c r="AF451" s="194">
        <v>156695.76</v>
      </c>
    </row>
    <row r="452" spans="1:34" x14ac:dyDescent="0.3">
      <c r="A452" s="192">
        <v>5832</v>
      </c>
      <c r="B452" s="192">
        <v>81</v>
      </c>
      <c r="C452" s="192">
        <v>7300</v>
      </c>
      <c r="D452" s="192" t="s">
        <v>1517</v>
      </c>
      <c r="E452" s="192">
        <v>5569957</v>
      </c>
      <c r="F452" s="192" t="s">
        <v>1522</v>
      </c>
      <c r="G452" s="290">
        <v>0.5</v>
      </c>
      <c r="H452" s="192">
        <v>5338.66</v>
      </c>
      <c r="I452" s="192">
        <v>724.5</v>
      </c>
      <c r="J452" s="192">
        <v>429.3</v>
      </c>
      <c r="K452" s="192">
        <v>0</v>
      </c>
      <c r="L452" s="192">
        <v>0</v>
      </c>
      <c r="M452" s="192">
        <v>0</v>
      </c>
      <c r="N452" s="192">
        <v>36.5</v>
      </c>
      <c r="O452" s="192">
        <v>6528.96</v>
      </c>
      <c r="P452" s="192">
        <v>240</v>
      </c>
      <c r="Q452" s="192">
        <v>489.67</v>
      </c>
      <c r="R452" s="192">
        <v>0</v>
      </c>
      <c r="S452" s="285">
        <v>0.5</v>
      </c>
      <c r="T452" s="192">
        <v>1327.82</v>
      </c>
      <c r="U452" s="291">
        <v>8586.4500000000007</v>
      </c>
      <c r="V452" s="291">
        <v>8586.4500000000007</v>
      </c>
      <c r="W452" s="292">
        <v>107592.48000000001</v>
      </c>
      <c r="X452" s="292">
        <v>103037.40000000001</v>
      </c>
      <c r="Y452" s="292">
        <v>104145.72</v>
      </c>
      <c r="Z452" s="292">
        <v>113250.64</v>
      </c>
      <c r="AA452" s="290">
        <v>116771.99225999998</v>
      </c>
      <c r="AB452" s="285">
        <v>115858.81929999999</v>
      </c>
      <c r="AC452" s="290">
        <v>8966.0400000000009</v>
      </c>
      <c r="AD452" s="192">
        <v>12</v>
      </c>
      <c r="AE452" s="290">
        <v>9000</v>
      </c>
      <c r="AF452" s="194">
        <v>116592.48000000001</v>
      </c>
    </row>
    <row r="453" spans="1:34" x14ac:dyDescent="0.3">
      <c r="A453" s="192">
        <v>5832</v>
      </c>
      <c r="B453" s="192">
        <v>81</v>
      </c>
      <c r="C453" s="192">
        <v>7300</v>
      </c>
      <c r="D453" s="192" t="s">
        <v>1517</v>
      </c>
      <c r="E453" s="192">
        <v>5956391</v>
      </c>
      <c r="F453" s="192" t="s">
        <v>1523</v>
      </c>
      <c r="G453" s="290">
        <v>1.25</v>
      </c>
      <c r="H453" s="192">
        <v>18017.240000000002</v>
      </c>
      <c r="I453" s="192">
        <v>2265.2600000000002</v>
      </c>
      <c r="J453" s="192">
        <v>48.6</v>
      </c>
      <c r="K453" s="192">
        <v>2997.81</v>
      </c>
      <c r="L453" s="192">
        <v>0</v>
      </c>
      <c r="M453" s="192">
        <v>0</v>
      </c>
      <c r="N453" s="192">
        <v>36.5</v>
      </c>
      <c r="O453" s="192">
        <v>23365.41</v>
      </c>
      <c r="P453" s="192">
        <v>1564</v>
      </c>
      <c r="Q453" s="192">
        <v>1796.87</v>
      </c>
      <c r="R453" s="192">
        <v>0</v>
      </c>
      <c r="S453" s="285">
        <v>1.25</v>
      </c>
      <c r="T453" s="192">
        <v>1766.8</v>
      </c>
      <c r="U453" s="291">
        <v>28493.08</v>
      </c>
      <c r="V453" s="291">
        <v>28493.08</v>
      </c>
      <c r="W453" s="292">
        <v>369895.80000000005</v>
      </c>
      <c r="X453" s="292">
        <v>341916.96</v>
      </c>
      <c r="Y453" s="292">
        <v>352647.67999999999</v>
      </c>
      <c r="Z453" s="292">
        <v>361487.44</v>
      </c>
      <c r="AA453" s="290">
        <v>372981.11465999996</v>
      </c>
      <c r="AB453" s="285">
        <v>370064.35129999992</v>
      </c>
      <c r="AC453" s="290">
        <v>28000</v>
      </c>
      <c r="AD453" s="192">
        <v>12</v>
      </c>
      <c r="AE453" s="290">
        <v>10000</v>
      </c>
      <c r="AF453" s="194">
        <v>346000</v>
      </c>
    </row>
    <row r="454" spans="1:34" x14ac:dyDescent="0.3">
      <c r="A454" s="192">
        <v>5832</v>
      </c>
      <c r="B454" s="192">
        <v>81</v>
      </c>
      <c r="C454" s="192">
        <v>7300</v>
      </c>
      <c r="D454" s="192" t="s">
        <v>1517</v>
      </c>
      <c r="E454" s="192">
        <v>6608749</v>
      </c>
      <c r="F454" s="192" t="s">
        <v>1524</v>
      </c>
      <c r="G454" s="290">
        <v>0.5</v>
      </c>
      <c r="H454" s="192">
        <v>3070.42</v>
      </c>
      <c r="I454" s="192">
        <v>665.93</v>
      </c>
      <c r="J454" s="192">
        <v>1355.3</v>
      </c>
      <c r="K454" s="192">
        <v>0</v>
      </c>
      <c r="L454" s="192">
        <v>0</v>
      </c>
      <c r="M454" s="192">
        <v>0</v>
      </c>
      <c r="N454" s="192">
        <v>36.5</v>
      </c>
      <c r="O454" s="192">
        <v>5128.1499999999996</v>
      </c>
      <c r="P454" s="192">
        <v>167</v>
      </c>
      <c r="Q454" s="192">
        <v>403.36</v>
      </c>
      <c r="R454" s="192">
        <v>0</v>
      </c>
      <c r="S454" s="285">
        <v>0.5</v>
      </c>
      <c r="T454" s="192">
        <v>905.39</v>
      </c>
      <c r="U454" s="291">
        <v>6603.9</v>
      </c>
      <c r="V454" s="291">
        <v>6603.9</v>
      </c>
      <c r="W454" s="292">
        <v>99097.08</v>
      </c>
      <c r="X454" s="292">
        <v>79246.799999999988</v>
      </c>
      <c r="Y454" s="292">
        <v>164249.56</v>
      </c>
      <c r="Z454" s="292">
        <v>96873.25</v>
      </c>
      <c r="AA454" s="290">
        <v>101673.96492</v>
      </c>
      <c r="AB454" s="285">
        <v>100878.8606</v>
      </c>
      <c r="AC454" s="290">
        <v>8258.09</v>
      </c>
      <c r="AD454" s="192">
        <v>12</v>
      </c>
      <c r="AE454" s="290">
        <v>8000</v>
      </c>
      <c r="AF454" s="194">
        <v>107097.08</v>
      </c>
    </row>
    <row r="455" spans="1:34" x14ac:dyDescent="0.3">
      <c r="A455" s="192">
        <v>5832</v>
      </c>
      <c r="B455" s="192">
        <v>81</v>
      </c>
      <c r="C455" s="192">
        <v>7300</v>
      </c>
      <c r="D455" s="192" t="s">
        <v>1517</v>
      </c>
      <c r="E455" s="192">
        <v>6670430</v>
      </c>
      <c r="F455" s="192" t="s">
        <v>1369</v>
      </c>
      <c r="G455" s="290">
        <v>0.75</v>
      </c>
      <c r="H455" s="192">
        <v>5362.71</v>
      </c>
      <c r="I455" s="192">
        <v>804.11</v>
      </c>
      <c r="J455" s="192">
        <v>301.16000000000003</v>
      </c>
      <c r="K455" s="192">
        <v>0</v>
      </c>
      <c r="L455" s="192">
        <v>0</v>
      </c>
      <c r="M455" s="192">
        <v>0</v>
      </c>
      <c r="N455" s="192">
        <v>32.21</v>
      </c>
      <c r="O455" s="192">
        <v>6500.19</v>
      </c>
      <c r="P455" s="192">
        <v>285.38</v>
      </c>
      <c r="Q455" s="192">
        <v>486.13</v>
      </c>
      <c r="R455" s="192">
        <v>0</v>
      </c>
      <c r="S455" s="285">
        <v>0.75</v>
      </c>
      <c r="T455" s="192">
        <v>1371.75</v>
      </c>
      <c r="U455" s="291">
        <v>8643.4500000000007</v>
      </c>
      <c r="V455" s="291">
        <v>8643.4500000000007</v>
      </c>
      <c r="W455" s="292">
        <v>12248.64</v>
      </c>
      <c r="X455" s="292">
        <v>103721.40000000001</v>
      </c>
      <c r="Y455" s="292">
        <v>17560.52</v>
      </c>
      <c r="Z455" s="292">
        <v>11422.83</v>
      </c>
      <c r="AA455" s="290">
        <v>11665.524749999999</v>
      </c>
      <c r="AB455" s="285">
        <v>11574.298749999998</v>
      </c>
      <c r="AC455" s="290">
        <v>8704.68</v>
      </c>
      <c r="AD455" s="192">
        <v>12</v>
      </c>
      <c r="AE455" s="290">
        <v>8000</v>
      </c>
      <c r="AF455" s="194">
        <v>112456.16</v>
      </c>
    </row>
    <row r="456" spans="1:34" x14ac:dyDescent="0.3">
      <c r="A456" s="192">
        <v>5832</v>
      </c>
      <c r="B456" s="192">
        <v>81</v>
      </c>
      <c r="C456" s="192">
        <v>7300</v>
      </c>
      <c r="D456" s="192" t="s">
        <v>1517</v>
      </c>
      <c r="E456" s="192">
        <v>6777597</v>
      </c>
      <c r="F456" s="192" t="s">
        <v>1486</v>
      </c>
      <c r="G456" s="290">
        <v>0</v>
      </c>
      <c r="H456" s="192">
        <v>767</v>
      </c>
      <c r="I456" s="192">
        <v>0</v>
      </c>
      <c r="J456" s="192">
        <v>0</v>
      </c>
      <c r="K456" s="192">
        <v>0</v>
      </c>
      <c r="L456" s="192">
        <v>0</v>
      </c>
      <c r="M456" s="192">
        <v>0</v>
      </c>
      <c r="N456" s="192">
        <v>0</v>
      </c>
      <c r="O456" s="192">
        <v>767</v>
      </c>
      <c r="P456" s="192">
        <v>27.24</v>
      </c>
      <c r="Q456" s="192">
        <v>57.52</v>
      </c>
      <c r="R456" s="192">
        <v>0</v>
      </c>
      <c r="S456" s="285">
        <v>0</v>
      </c>
      <c r="T456" s="192">
        <v>103.55</v>
      </c>
      <c r="U456" s="291">
        <v>955.31</v>
      </c>
      <c r="V456" s="291">
        <v>955.31</v>
      </c>
      <c r="W456" s="292">
        <v>3527.2799999999997</v>
      </c>
      <c r="X456" s="292">
        <v>11463.72</v>
      </c>
      <c r="Y456" s="292">
        <v>881.8</v>
      </c>
      <c r="Z456" s="292">
        <v>1543.14</v>
      </c>
      <c r="AA456" s="290">
        <v>676.5098999999999</v>
      </c>
      <c r="AB456" s="285">
        <v>671.21949999999993</v>
      </c>
      <c r="AC456" s="290">
        <v>2500</v>
      </c>
      <c r="AD456" s="192">
        <v>12</v>
      </c>
      <c r="AE456" s="290">
        <v>5000</v>
      </c>
      <c r="AF456" s="194">
        <v>35000</v>
      </c>
    </row>
    <row r="457" spans="1:34" x14ac:dyDescent="0.3">
      <c r="A457" s="192">
        <v>5832</v>
      </c>
      <c r="B457" s="192">
        <v>81</v>
      </c>
      <c r="C457" s="192">
        <v>7300</v>
      </c>
      <c r="D457" s="192" t="s">
        <v>1517</v>
      </c>
      <c r="E457" s="192">
        <v>30023138</v>
      </c>
      <c r="F457" s="192" t="s">
        <v>1525</v>
      </c>
      <c r="G457" s="290">
        <v>0.75</v>
      </c>
      <c r="H457" s="192">
        <v>3682.03</v>
      </c>
      <c r="I457" s="192">
        <v>788.29</v>
      </c>
      <c r="J457" s="192">
        <v>585.45000000000005</v>
      </c>
      <c r="K457" s="192">
        <v>0</v>
      </c>
      <c r="L457" s="192">
        <v>0</v>
      </c>
      <c r="M457" s="192">
        <v>0</v>
      </c>
      <c r="N457" s="192">
        <v>36.5</v>
      </c>
      <c r="O457" s="192">
        <v>5092.2700000000004</v>
      </c>
      <c r="P457" s="192">
        <v>185</v>
      </c>
      <c r="Q457" s="192">
        <v>393.17</v>
      </c>
      <c r="R457" s="192">
        <v>0</v>
      </c>
      <c r="S457" s="285">
        <v>0.75</v>
      </c>
      <c r="T457" s="192">
        <v>47.8</v>
      </c>
      <c r="U457" s="291">
        <v>5718.24</v>
      </c>
      <c r="V457" s="291">
        <v>5718.24</v>
      </c>
      <c r="W457" s="292">
        <v>79696.08</v>
      </c>
      <c r="X457" s="292">
        <v>68618.880000000005</v>
      </c>
      <c r="Y457" s="292">
        <v>77649.2</v>
      </c>
      <c r="Z457" s="292">
        <v>26932.38</v>
      </c>
      <c r="AA457" s="290">
        <v>28161.215609999996</v>
      </c>
      <c r="AB457" s="285">
        <v>27940.991049999997</v>
      </c>
      <c r="AC457" s="290">
        <v>6641.34</v>
      </c>
      <c r="AD457" s="192">
        <v>12</v>
      </c>
      <c r="AE457" s="290">
        <v>6000</v>
      </c>
      <c r="AF457" s="194">
        <v>85696.08</v>
      </c>
    </row>
    <row r="458" spans="1:34" x14ac:dyDescent="0.3">
      <c r="A458" s="192">
        <v>5832</v>
      </c>
      <c r="B458" s="192">
        <v>81</v>
      </c>
      <c r="C458" s="192">
        <v>7300</v>
      </c>
      <c r="D458" s="192" t="s">
        <v>1517</v>
      </c>
      <c r="E458" s="192">
        <v>30040489</v>
      </c>
      <c r="F458" s="192" t="s">
        <v>1526</v>
      </c>
      <c r="G458" s="290">
        <v>0.5</v>
      </c>
      <c r="H458" s="192">
        <v>3432.87</v>
      </c>
      <c r="I458" s="192">
        <v>545.70000000000005</v>
      </c>
      <c r="J458" s="192">
        <v>173.3</v>
      </c>
      <c r="K458" s="192">
        <v>1244</v>
      </c>
      <c r="L458" s="192">
        <v>0</v>
      </c>
      <c r="M458" s="192">
        <v>0</v>
      </c>
      <c r="N458" s="192">
        <v>36.5</v>
      </c>
      <c r="O458" s="192">
        <v>5432.37</v>
      </c>
      <c r="P458" s="192">
        <v>193</v>
      </c>
      <c r="Q458" s="192">
        <v>407.43</v>
      </c>
      <c r="R458" s="192">
        <v>0</v>
      </c>
      <c r="S458" s="285">
        <v>0.5</v>
      </c>
      <c r="T458" s="192">
        <v>947.1</v>
      </c>
      <c r="U458" s="291">
        <v>6979.9</v>
      </c>
      <c r="V458" s="291">
        <v>6979.9</v>
      </c>
      <c r="W458" s="292">
        <v>82988.28</v>
      </c>
      <c r="X458" s="292">
        <v>83758.799999999988</v>
      </c>
      <c r="Y458" s="292">
        <v>136040</v>
      </c>
      <c r="Z458" s="292">
        <v>84964.15</v>
      </c>
      <c r="AA458" s="290">
        <v>89202.633299999987</v>
      </c>
      <c r="AB458" s="285">
        <v>88505.056499999977</v>
      </c>
      <c r="AC458" s="290">
        <v>6915.69</v>
      </c>
      <c r="AD458" s="192">
        <v>12</v>
      </c>
      <c r="AE458" s="290">
        <v>6000</v>
      </c>
      <c r="AF458" s="194">
        <v>88988.28</v>
      </c>
    </row>
    <row r="459" spans="1:34" x14ac:dyDescent="0.3">
      <c r="A459" s="192">
        <v>5832</v>
      </c>
      <c r="B459" s="192">
        <v>81</v>
      </c>
      <c r="C459" s="192">
        <v>7300</v>
      </c>
      <c r="D459" s="192" t="s">
        <v>1517</v>
      </c>
      <c r="E459" s="192">
        <v>30496429</v>
      </c>
      <c r="F459" s="192" t="s">
        <v>1527</v>
      </c>
      <c r="G459" s="290">
        <v>0.75</v>
      </c>
      <c r="H459" s="192">
        <v>4738.97</v>
      </c>
      <c r="I459" s="192">
        <v>818.96</v>
      </c>
      <c r="J459" s="192">
        <v>743.45</v>
      </c>
      <c r="K459" s="192">
        <v>0</v>
      </c>
      <c r="L459" s="192">
        <v>0</v>
      </c>
      <c r="M459" s="192">
        <v>0</v>
      </c>
      <c r="N459" s="192">
        <v>36.5</v>
      </c>
      <c r="O459" s="192">
        <v>6337.88</v>
      </c>
      <c r="P459" s="192">
        <v>244</v>
      </c>
      <c r="Q459" s="192">
        <v>494.09</v>
      </c>
      <c r="R459" s="192">
        <v>0</v>
      </c>
      <c r="S459" s="285">
        <v>0.75</v>
      </c>
      <c r="T459" s="192">
        <v>1264.1500000000001</v>
      </c>
      <c r="U459" s="291">
        <v>8340.1200000000008</v>
      </c>
      <c r="V459" s="291">
        <v>8340.1200000000008</v>
      </c>
      <c r="W459" s="292">
        <v>77469.84</v>
      </c>
      <c r="X459" s="292">
        <v>100081.44</v>
      </c>
      <c r="Y459" s="292">
        <v>81113.48</v>
      </c>
      <c r="Z459" s="292">
        <v>70032.62</v>
      </c>
      <c r="AA459" s="290">
        <v>70842.177119999993</v>
      </c>
      <c r="AB459" s="285">
        <v>70288.181599999996</v>
      </c>
      <c r="AC459" s="290">
        <v>6455.82</v>
      </c>
      <c r="AD459" s="192">
        <v>12</v>
      </c>
      <c r="AE459" s="290">
        <v>6000</v>
      </c>
      <c r="AF459" s="194">
        <v>83469.84</v>
      </c>
    </row>
    <row r="460" spans="1:34" s="196" customFormat="1" ht="17.25" customHeight="1" x14ac:dyDescent="0.3">
      <c r="G460" s="288">
        <f>SUM(G448:G459)</f>
        <v>8</v>
      </c>
      <c r="H460" s="288">
        <f t="shared" ref="H460:AF460" si="44">SUM(H448:H459)</f>
        <v>65706.55</v>
      </c>
      <c r="I460" s="288">
        <f t="shared" si="44"/>
        <v>9578.5300000000025</v>
      </c>
      <c r="J460" s="288">
        <f t="shared" si="44"/>
        <v>5537.9599999999991</v>
      </c>
      <c r="K460" s="288">
        <f t="shared" si="44"/>
        <v>4241.8099999999995</v>
      </c>
      <c r="L460" s="288">
        <f t="shared" si="44"/>
        <v>0</v>
      </c>
      <c r="M460" s="288">
        <f t="shared" si="44"/>
        <v>0</v>
      </c>
      <c r="N460" s="288">
        <f t="shared" si="44"/>
        <v>1007.51</v>
      </c>
      <c r="O460" s="288">
        <f t="shared" si="44"/>
        <v>86072.36</v>
      </c>
      <c r="P460" s="288">
        <f t="shared" si="44"/>
        <v>4044.62</v>
      </c>
      <c r="Q460" s="288">
        <f t="shared" si="44"/>
        <v>6565.9900000000007</v>
      </c>
      <c r="R460" s="288">
        <f t="shared" si="44"/>
        <v>0</v>
      </c>
      <c r="S460" s="288">
        <f t="shared" si="44"/>
        <v>8</v>
      </c>
      <c r="T460" s="288">
        <f t="shared" si="44"/>
        <v>12538.669999999998</v>
      </c>
      <c r="U460" s="288">
        <f t="shared" si="44"/>
        <v>109221.63999999998</v>
      </c>
      <c r="V460" s="288">
        <f t="shared" si="44"/>
        <v>109221.63999999998</v>
      </c>
      <c r="W460" s="288">
        <f t="shared" si="44"/>
        <v>1252138.5600000003</v>
      </c>
      <c r="X460" s="288">
        <f t="shared" si="44"/>
        <v>1310659.68</v>
      </c>
      <c r="Y460" s="288">
        <f t="shared" si="44"/>
        <v>1389350.52</v>
      </c>
      <c r="Z460" s="288">
        <f t="shared" si="44"/>
        <v>1165954.8599999999</v>
      </c>
      <c r="AA460" s="288">
        <f t="shared" si="44"/>
        <v>1205854.0378499997</v>
      </c>
      <c r="AB460" s="288">
        <f t="shared" si="44"/>
        <v>1196424.0942499998</v>
      </c>
      <c r="AC460" s="288">
        <f t="shared" si="44"/>
        <v>111410.25</v>
      </c>
      <c r="AD460" s="288">
        <f t="shared" si="44"/>
        <v>144</v>
      </c>
      <c r="AE460" s="288">
        <f t="shared" si="44"/>
        <v>91000</v>
      </c>
      <c r="AF460" s="288">
        <f t="shared" si="44"/>
        <v>1427923.0000000002</v>
      </c>
      <c r="AG460" s="196" t="s">
        <v>1528</v>
      </c>
      <c r="AH460" s="288"/>
    </row>
    <row r="461" spans="1:34" x14ac:dyDescent="0.3">
      <c r="W461" s="292"/>
      <c r="X461" s="292"/>
      <c r="Y461" s="292"/>
      <c r="Z461" s="292"/>
      <c r="AA461" s="290"/>
      <c r="AB461" s="285"/>
      <c r="AC461" s="290"/>
      <c r="AE461" s="290"/>
      <c r="AF461" s="194"/>
    </row>
    <row r="462" spans="1:34" x14ac:dyDescent="0.3">
      <c r="A462" s="192">
        <v>5832</v>
      </c>
      <c r="B462" s="192">
        <v>81</v>
      </c>
      <c r="C462" s="192">
        <v>7310</v>
      </c>
      <c r="D462" s="192" t="s">
        <v>1529</v>
      </c>
      <c r="E462" s="192">
        <v>2704640</v>
      </c>
      <c r="F462" s="192" t="s">
        <v>1530</v>
      </c>
      <c r="G462" s="290">
        <v>1</v>
      </c>
      <c r="H462" s="192">
        <v>6915.47</v>
      </c>
      <c r="I462" s="192">
        <v>2171.4699999999998</v>
      </c>
      <c r="J462" s="192">
        <v>197.6</v>
      </c>
      <c r="K462" s="192">
        <v>1596.64</v>
      </c>
      <c r="L462" s="192">
        <v>0</v>
      </c>
      <c r="M462" s="192">
        <v>0</v>
      </c>
      <c r="N462" s="192">
        <v>36.5</v>
      </c>
      <c r="O462" s="192">
        <v>10917.68</v>
      </c>
      <c r="P462" s="192">
        <v>592</v>
      </c>
      <c r="Q462" s="192">
        <v>837.58</v>
      </c>
      <c r="R462" s="192">
        <v>0</v>
      </c>
      <c r="S462" s="285">
        <v>1</v>
      </c>
      <c r="T462" s="192">
        <v>1008.62</v>
      </c>
      <c r="U462" s="291">
        <v>13355.88</v>
      </c>
      <c r="V462" s="291">
        <v>13355.88</v>
      </c>
      <c r="W462" s="292">
        <v>158065.32</v>
      </c>
      <c r="X462" s="292">
        <v>160270.56</v>
      </c>
      <c r="Y462" s="292">
        <v>157863.44</v>
      </c>
      <c r="Z462" s="292">
        <v>172036.06</v>
      </c>
      <c r="AA462" s="290">
        <v>176114.98442999998</v>
      </c>
      <c r="AB462" s="285">
        <v>174737.74114999999</v>
      </c>
      <c r="AC462" s="290">
        <v>13172.11</v>
      </c>
      <c r="AD462" s="192">
        <v>12</v>
      </c>
      <c r="AE462" s="290">
        <v>10000</v>
      </c>
      <c r="AF462" s="194">
        <v>168065.32</v>
      </c>
    </row>
    <row r="463" spans="1:34" x14ac:dyDescent="0.3">
      <c r="A463" s="192">
        <v>5832</v>
      </c>
      <c r="B463" s="192">
        <v>81</v>
      </c>
      <c r="C463" s="192">
        <v>7310</v>
      </c>
      <c r="D463" s="192" t="s">
        <v>1529</v>
      </c>
      <c r="E463" s="192">
        <v>5753966</v>
      </c>
      <c r="F463" s="192" t="s">
        <v>1531</v>
      </c>
      <c r="G463" s="290">
        <v>0.25</v>
      </c>
      <c r="H463" s="192">
        <v>1616.64</v>
      </c>
      <c r="I463" s="192">
        <v>94.52</v>
      </c>
      <c r="J463" s="192">
        <v>159.63</v>
      </c>
      <c r="K463" s="192">
        <v>0</v>
      </c>
      <c r="L463" s="192">
        <v>0</v>
      </c>
      <c r="M463" s="192">
        <v>0</v>
      </c>
      <c r="N463" s="192">
        <v>176.5</v>
      </c>
      <c r="O463" s="192">
        <v>2047.29</v>
      </c>
      <c r="P463" s="192">
        <v>0</v>
      </c>
      <c r="Q463" s="192">
        <v>0</v>
      </c>
      <c r="R463" s="192">
        <v>0</v>
      </c>
      <c r="S463" s="285">
        <v>0.25</v>
      </c>
      <c r="T463" s="192">
        <v>30.33</v>
      </c>
      <c r="U463" s="291">
        <v>2077.62</v>
      </c>
      <c r="V463" s="291">
        <v>2077.62</v>
      </c>
      <c r="W463" s="292">
        <v>24595.68</v>
      </c>
      <c r="X463" s="292">
        <v>24931.439999999999</v>
      </c>
      <c r="Y463" s="292">
        <v>24177.68</v>
      </c>
      <c r="Z463" s="292">
        <v>32110.66</v>
      </c>
      <c r="AA463" s="290">
        <v>32849.205179999997</v>
      </c>
      <c r="AB463" s="285">
        <v>32592.319899999995</v>
      </c>
      <c r="AC463" s="290">
        <v>3000</v>
      </c>
      <c r="AD463" s="192">
        <v>12</v>
      </c>
      <c r="AE463" s="290">
        <v>4500</v>
      </c>
      <c r="AF463" s="194">
        <v>40500</v>
      </c>
    </row>
    <row r="464" spans="1:34" s="196" customFormat="1" ht="17.25" customHeight="1" x14ac:dyDescent="0.3">
      <c r="G464" s="288">
        <f>SUM(G462:G463)</f>
        <v>1.25</v>
      </c>
      <c r="H464" s="288">
        <f t="shared" ref="H464:AF464" si="45">SUM(H462:H463)</f>
        <v>8532.11</v>
      </c>
      <c r="I464" s="288">
        <f t="shared" si="45"/>
        <v>2265.9899999999998</v>
      </c>
      <c r="J464" s="288">
        <f t="shared" si="45"/>
        <v>357.23</v>
      </c>
      <c r="K464" s="288">
        <f t="shared" si="45"/>
        <v>1596.64</v>
      </c>
      <c r="L464" s="288">
        <f t="shared" si="45"/>
        <v>0</v>
      </c>
      <c r="M464" s="288">
        <f t="shared" si="45"/>
        <v>0</v>
      </c>
      <c r="N464" s="288">
        <f t="shared" si="45"/>
        <v>213</v>
      </c>
      <c r="O464" s="288">
        <f t="shared" si="45"/>
        <v>12964.970000000001</v>
      </c>
      <c r="P464" s="288">
        <f t="shared" si="45"/>
        <v>592</v>
      </c>
      <c r="Q464" s="288">
        <f t="shared" si="45"/>
        <v>837.58</v>
      </c>
      <c r="R464" s="288">
        <f t="shared" si="45"/>
        <v>0</v>
      </c>
      <c r="S464" s="288">
        <f t="shared" si="45"/>
        <v>1.25</v>
      </c>
      <c r="T464" s="288">
        <f t="shared" si="45"/>
        <v>1038.95</v>
      </c>
      <c r="U464" s="288">
        <f t="shared" si="45"/>
        <v>15433.5</v>
      </c>
      <c r="V464" s="288">
        <f t="shared" si="45"/>
        <v>15433.5</v>
      </c>
      <c r="W464" s="288">
        <f t="shared" si="45"/>
        <v>182661</v>
      </c>
      <c r="X464" s="288">
        <f t="shared" si="45"/>
        <v>185202</v>
      </c>
      <c r="Y464" s="288">
        <f t="shared" si="45"/>
        <v>182041.12</v>
      </c>
      <c r="Z464" s="288">
        <f t="shared" si="45"/>
        <v>204146.72</v>
      </c>
      <c r="AA464" s="288">
        <f t="shared" si="45"/>
        <v>208964.18960999997</v>
      </c>
      <c r="AB464" s="288">
        <f t="shared" si="45"/>
        <v>207330.06104999999</v>
      </c>
      <c r="AC464" s="288">
        <f t="shared" si="45"/>
        <v>16172.11</v>
      </c>
      <c r="AD464" s="288">
        <f t="shared" si="45"/>
        <v>24</v>
      </c>
      <c r="AE464" s="288">
        <f t="shared" si="45"/>
        <v>14500</v>
      </c>
      <c r="AF464" s="288">
        <f t="shared" si="45"/>
        <v>208565.32</v>
      </c>
      <c r="AH464" s="288"/>
    </row>
    <row r="465" spans="1:34" x14ac:dyDescent="0.3">
      <c r="W465" s="292"/>
      <c r="X465" s="292"/>
      <c r="Y465" s="292"/>
      <c r="Z465" s="292"/>
      <c r="AA465" s="290"/>
      <c r="AB465" s="285"/>
      <c r="AC465" s="290"/>
      <c r="AE465" s="290"/>
      <c r="AF465" s="194"/>
    </row>
    <row r="466" spans="1:34" x14ac:dyDescent="0.3">
      <c r="A466" s="192">
        <v>5832</v>
      </c>
      <c r="B466" s="192">
        <v>81</v>
      </c>
      <c r="C466" s="192">
        <v>7400</v>
      </c>
      <c r="D466" s="192" t="s">
        <v>1532</v>
      </c>
      <c r="E466" s="192">
        <v>2391136</v>
      </c>
      <c r="F466" s="192" t="s">
        <v>1533</v>
      </c>
      <c r="G466" s="290">
        <v>1</v>
      </c>
      <c r="H466" s="192">
        <v>5987.36</v>
      </c>
      <c r="I466" s="192">
        <v>393.7</v>
      </c>
      <c r="J466" s="192">
        <v>197.6</v>
      </c>
      <c r="K466" s="192">
        <v>0</v>
      </c>
      <c r="L466" s="192">
        <v>0</v>
      </c>
      <c r="M466" s="192">
        <v>0</v>
      </c>
      <c r="N466" s="192">
        <v>503.5</v>
      </c>
      <c r="O466" s="192">
        <v>7082.16</v>
      </c>
      <c r="P466" s="192">
        <v>282</v>
      </c>
      <c r="Q466" s="192">
        <v>531.53</v>
      </c>
      <c r="R466" s="192">
        <v>0</v>
      </c>
      <c r="S466" s="285">
        <v>1</v>
      </c>
      <c r="T466" s="192">
        <v>547.53</v>
      </c>
      <c r="U466" s="291">
        <v>8443.2199999999993</v>
      </c>
      <c r="V466" s="291">
        <v>8443.2199999999993</v>
      </c>
      <c r="W466" s="292">
        <v>111602.88</v>
      </c>
      <c r="X466" s="292">
        <v>101318.63999999998</v>
      </c>
      <c r="Y466" s="292">
        <v>108931.12</v>
      </c>
      <c r="Z466" s="292">
        <v>123491.1</v>
      </c>
      <c r="AA466" s="290">
        <v>126432.21194999998</v>
      </c>
      <c r="AB466" s="285">
        <v>125443.49474999998</v>
      </c>
      <c r="AC466" s="290">
        <v>9300.24</v>
      </c>
      <c r="AD466" s="192">
        <v>12</v>
      </c>
      <c r="AE466" s="290">
        <v>10000</v>
      </c>
      <c r="AF466" s="194">
        <v>121602.88</v>
      </c>
    </row>
    <row r="467" spans="1:34" s="196" customFormat="1" ht="17.25" customHeight="1" x14ac:dyDescent="0.3">
      <c r="G467" s="288">
        <f>G466</f>
        <v>1</v>
      </c>
      <c r="H467" s="288">
        <f t="shared" ref="H467:AF467" si="46">H466</f>
        <v>5987.36</v>
      </c>
      <c r="I467" s="288">
        <f t="shared" si="46"/>
        <v>393.7</v>
      </c>
      <c r="J467" s="288">
        <f t="shared" si="46"/>
        <v>197.6</v>
      </c>
      <c r="K467" s="288">
        <f t="shared" si="46"/>
        <v>0</v>
      </c>
      <c r="L467" s="288">
        <f t="shared" si="46"/>
        <v>0</v>
      </c>
      <c r="M467" s="288">
        <f t="shared" si="46"/>
        <v>0</v>
      </c>
      <c r="N467" s="288">
        <f t="shared" si="46"/>
        <v>503.5</v>
      </c>
      <c r="O467" s="288">
        <f t="shared" si="46"/>
        <v>7082.16</v>
      </c>
      <c r="P467" s="288">
        <f t="shared" si="46"/>
        <v>282</v>
      </c>
      <c r="Q467" s="288">
        <f t="shared" si="46"/>
        <v>531.53</v>
      </c>
      <c r="R467" s="288">
        <f t="shared" si="46"/>
        <v>0</v>
      </c>
      <c r="S467" s="288">
        <f t="shared" si="46"/>
        <v>1</v>
      </c>
      <c r="T467" s="288">
        <f t="shared" si="46"/>
        <v>547.53</v>
      </c>
      <c r="U467" s="288">
        <f t="shared" si="46"/>
        <v>8443.2199999999993</v>
      </c>
      <c r="V467" s="288">
        <f t="shared" si="46"/>
        <v>8443.2199999999993</v>
      </c>
      <c r="W467" s="288">
        <f t="shared" si="46"/>
        <v>111602.88</v>
      </c>
      <c r="X467" s="288">
        <f t="shared" si="46"/>
        <v>101318.63999999998</v>
      </c>
      <c r="Y467" s="288">
        <f t="shared" si="46"/>
        <v>108931.12</v>
      </c>
      <c r="Z467" s="288">
        <f t="shared" si="46"/>
        <v>123491.1</v>
      </c>
      <c r="AA467" s="288">
        <f t="shared" si="46"/>
        <v>126432.21194999998</v>
      </c>
      <c r="AB467" s="288">
        <f t="shared" si="46"/>
        <v>125443.49474999998</v>
      </c>
      <c r="AC467" s="288">
        <f t="shared" si="46"/>
        <v>9300.24</v>
      </c>
      <c r="AD467" s="288">
        <f t="shared" si="46"/>
        <v>12</v>
      </c>
      <c r="AE467" s="288">
        <f t="shared" si="46"/>
        <v>10000</v>
      </c>
      <c r="AF467" s="288">
        <f t="shared" si="46"/>
        <v>121602.88</v>
      </c>
      <c r="AH467" s="288"/>
    </row>
    <row r="468" spans="1:34" x14ac:dyDescent="0.3">
      <c r="W468" s="292"/>
      <c r="X468" s="292"/>
      <c r="Y468" s="292"/>
      <c r="Z468" s="292"/>
      <c r="AA468" s="290"/>
      <c r="AB468" s="285"/>
      <c r="AC468" s="290"/>
      <c r="AE468" s="290"/>
      <c r="AF468" s="194"/>
    </row>
    <row r="469" spans="1:34" x14ac:dyDescent="0.3">
      <c r="A469" s="192">
        <v>5832</v>
      </c>
      <c r="B469" s="192">
        <v>81</v>
      </c>
      <c r="C469" s="192">
        <v>7600</v>
      </c>
      <c r="D469" s="192" t="s">
        <v>498</v>
      </c>
      <c r="E469" s="192">
        <v>2209767</v>
      </c>
      <c r="F469" s="192" t="s">
        <v>1534</v>
      </c>
      <c r="G469" s="290">
        <v>0</v>
      </c>
      <c r="H469" s="192">
        <v>1238.71</v>
      </c>
      <c r="I469" s="192">
        <v>0</v>
      </c>
      <c r="J469" s="192">
        <v>27.88</v>
      </c>
      <c r="K469" s="192">
        <v>0</v>
      </c>
      <c r="L469" s="192">
        <v>0</v>
      </c>
      <c r="M469" s="192">
        <v>0</v>
      </c>
      <c r="N469" s="192">
        <v>0</v>
      </c>
      <c r="O469" s="192">
        <v>1266.5899999999999</v>
      </c>
      <c r="P469" s="192">
        <v>50</v>
      </c>
      <c r="Q469" s="192">
        <v>106.24</v>
      </c>
      <c r="R469" s="192">
        <v>0</v>
      </c>
      <c r="S469" s="285">
        <v>0</v>
      </c>
      <c r="T469" s="192">
        <v>0</v>
      </c>
      <c r="U469" s="291">
        <v>1422.83</v>
      </c>
      <c r="V469" s="291">
        <v>1422.83</v>
      </c>
      <c r="W469" s="292">
        <v>33272.879999999997</v>
      </c>
      <c r="X469" s="292">
        <v>11382.64</v>
      </c>
      <c r="Y469" s="292">
        <v>27633.040000000001</v>
      </c>
      <c r="Z469" s="292">
        <v>5724.65</v>
      </c>
      <c r="AA469" s="290">
        <v>7715.9877299999998</v>
      </c>
      <c r="AB469" s="285">
        <v>7655.6476499999999</v>
      </c>
      <c r="AC469" s="290">
        <v>2772.74</v>
      </c>
      <c r="AD469" s="192">
        <v>8</v>
      </c>
      <c r="AE469" s="290">
        <v>2800</v>
      </c>
      <c r="AF469" s="194">
        <v>24981.919999999998</v>
      </c>
      <c r="AG469" s="192" t="s">
        <v>1535</v>
      </c>
    </row>
    <row r="470" spans="1:34" x14ac:dyDescent="0.3">
      <c r="A470" s="192">
        <v>5832</v>
      </c>
      <c r="B470" s="192">
        <v>81</v>
      </c>
      <c r="C470" s="192">
        <v>7600</v>
      </c>
      <c r="D470" s="192" t="s">
        <v>498</v>
      </c>
      <c r="E470" s="192">
        <v>2974223</v>
      </c>
      <c r="F470" s="192" t="s">
        <v>1536</v>
      </c>
      <c r="G470" s="290">
        <v>0</v>
      </c>
      <c r="H470" s="192">
        <v>2982.58</v>
      </c>
      <c r="I470" s="192">
        <v>0</v>
      </c>
      <c r="J470" s="192">
        <v>72.099999999999994</v>
      </c>
      <c r="K470" s="192">
        <v>0</v>
      </c>
      <c r="L470" s="192">
        <v>0</v>
      </c>
      <c r="M470" s="192">
        <v>0</v>
      </c>
      <c r="N470" s="192">
        <v>0</v>
      </c>
      <c r="O470" s="192">
        <v>3054.68</v>
      </c>
      <c r="P470" s="192">
        <v>108</v>
      </c>
      <c r="Q470" s="192">
        <v>229.1</v>
      </c>
      <c r="R470" s="192">
        <v>0</v>
      </c>
      <c r="S470" s="285">
        <v>0</v>
      </c>
      <c r="T470" s="192">
        <v>638.26</v>
      </c>
      <c r="U470" s="291">
        <v>4030.04</v>
      </c>
      <c r="V470" s="291">
        <v>4030.04</v>
      </c>
      <c r="W470" s="292">
        <v>90263.16</v>
      </c>
      <c r="X470" s="292">
        <v>32240.32</v>
      </c>
      <c r="Y470" s="292">
        <v>79526.2</v>
      </c>
      <c r="Z470" s="292">
        <v>105738.45</v>
      </c>
      <c r="AA470" s="290">
        <v>108463.34993999999</v>
      </c>
      <c r="AB470" s="285">
        <v>147615.15169999999</v>
      </c>
      <c r="AC470" s="290">
        <v>7521.93</v>
      </c>
      <c r="AD470" s="192">
        <v>8</v>
      </c>
      <c r="AE470" s="290">
        <v>27000</v>
      </c>
      <c r="AF470" s="194">
        <v>87175.44</v>
      </c>
      <c r="AG470" s="192" t="s">
        <v>1535</v>
      </c>
    </row>
    <row r="471" spans="1:34" x14ac:dyDescent="0.3">
      <c r="A471" s="192">
        <v>5832</v>
      </c>
      <c r="B471" s="192">
        <v>81</v>
      </c>
      <c r="C471" s="192">
        <v>7600</v>
      </c>
      <c r="D471" s="192" t="s">
        <v>498</v>
      </c>
      <c r="E471" s="192">
        <v>3290036</v>
      </c>
      <c r="F471" s="192" t="s">
        <v>1537</v>
      </c>
      <c r="G471" s="290">
        <v>0</v>
      </c>
      <c r="H471" s="192">
        <v>6164</v>
      </c>
      <c r="I471" s="192">
        <v>0</v>
      </c>
      <c r="J471" s="192">
        <v>149</v>
      </c>
      <c r="K471" s="192">
        <v>395.93</v>
      </c>
      <c r="L471" s="192">
        <v>0</v>
      </c>
      <c r="M471" s="192">
        <v>0</v>
      </c>
      <c r="N471" s="192">
        <v>0</v>
      </c>
      <c r="O471" s="192">
        <v>6708.93</v>
      </c>
      <c r="P471" s="192">
        <v>253</v>
      </c>
      <c r="Q471" s="192">
        <v>503.17</v>
      </c>
      <c r="R471" s="192">
        <v>0</v>
      </c>
      <c r="S471" s="285">
        <v>0</v>
      </c>
      <c r="T471" s="192">
        <v>1319.1</v>
      </c>
      <c r="U471" s="291">
        <v>8784.2000000000007</v>
      </c>
      <c r="V471" s="291">
        <v>8784.2000000000007</v>
      </c>
      <c r="W471" s="292">
        <v>102965.40000000001</v>
      </c>
      <c r="X471" s="292">
        <v>70273.600000000006</v>
      </c>
      <c r="Y471" s="292">
        <v>104595.4</v>
      </c>
      <c r="Z471" s="292">
        <v>92086.28</v>
      </c>
      <c r="AA471" s="290">
        <v>94204.264439999984</v>
      </c>
      <c r="AB471" s="285">
        <v>93467.574199999988</v>
      </c>
      <c r="AC471" s="290">
        <v>8580.4500000000007</v>
      </c>
      <c r="AD471" s="192">
        <v>8</v>
      </c>
      <c r="AE471" s="290">
        <v>8500</v>
      </c>
      <c r="AF471" s="194">
        <v>77143.600000000006</v>
      </c>
      <c r="AG471" s="192" t="s">
        <v>1535</v>
      </c>
    </row>
    <row r="472" spans="1:34" x14ac:dyDescent="0.3">
      <c r="A472" s="192">
        <v>5832</v>
      </c>
      <c r="B472" s="192">
        <v>81</v>
      </c>
      <c r="C472" s="192">
        <v>7600</v>
      </c>
      <c r="D472" s="192" t="s">
        <v>498</v>
      </c>
      <c r="E472" s="192">
        <v>3496097</v>
      </c>
      <c r="F472" s="192" t="s">
        <v>1538</v>
      </c>
      <c r="G472" s="290">
        <v>0</v>
      </c>
      <c r="H472" s="192">
        <v>299.35000000000002</v>
      </c>
      <c r="I472" s="192">
        <v>0</v>
      </c>
      <c r="J472" s="192">
        <v>67.290000000000006</v>
      </c>
      <c r="K472" s="192">
        <v>0</v>
      </c>
      <c r="L472" s="192">
        <v>0</v>
      </c>
      <c r="M472" s="192">
        <v>0</v>
      </c>
      <c r="N472" s="192">
        <v>0</v>
      </c>
      <c r="O472" s="192">
        <v>366.64</v>
      </c>
      <c r="P472" s="192">
        <v>-44</v>
      </c>
      <c r="Q472" s="192">
        <v>38.75</v>
      </c>
      <c r="R472" s="192">
        <v>0</v>
      </c>
      <c r="S472" s="285">
        <v>0</v>
      </c>
      <c r="T472" s="192">
        <v>40.409999999999997</v>
      </c>
      <c r="U472" s="291">
        <v>401.8</v>
      </c>
      <c r="V472" s="291">
        <v>401.8</v>
      </c>
      <c r="W472" s="292">
        <v>123375.36000000002</v>
      </c>
      <c r="X472" s="292">
        <v>3214.4</v>
      </c>
      <c r="Y472" s="292">
        <v>82204.56</v>
      </c>
      <c r="Z472" s="292">
        <v>0</v>
      </c>
      <c r="AA472" s="290">
        <v>0</v>
      </c>
      <c r="AB472" s="285">
        <v>0</v>
      </c>
      <c r="AC472" s="290">
        <v>10281.280000000001</v>
      </c>
      <c r="AD472" s="192">
        <v>8</v>
      </c>
      <c r="AE472" s="290">
        <v>1000</v>
      </c>
      <c r="AF472" s="194">
        <v>83250.240000000005</v>
      </c>
      <c r="AG472" s="192" t="s">
        <v>1535</v>
      </c>
    </row>
    <row r="473" spans="1:34" x14ac:dyDescent="0.3">
      <c r="A473" s="192">
        <v>5832</v>
      </c>
      <c r="B473" s="192">
        <v>81</v>
      </c>
      <c r="C473" s="192">
        <v>7600</v>
      </c>
      <c r="D473" s="192" t="s">
        <v>498</v>
      </c>
      <c r="E473" s="192">
        <v>3683416</v>
      </c>
      <c r="F473" s="192" t="s">
        <v>1539</v>
      </c>
      <c r="G473" s="290">
        <v>0</v>
      </c>
      <c r="H473" s="192">
        <v>1589.68</v>
      </c>
      <c r="I473" s="192">
        <v>0</v>
      </c>
      <c r="J473" s="192">
        <v>48.78</v>
      </c>
      <c r="K473" s="192">
        <v>0</v>
      </c>
      <c r="L473" s="192">
        <v>0</v>
      </c>
      <c r="M473" s="192">
        <v>0</v>
      </c>
      <c r="N473" s="192">
        <v>0</v>
      </c>
      <c r="O473" s="192">
        <v>1638.46</v>
      </c>
      <c r="P473" s="192">
        <v>63</v>
      </c>
      <c r="Q473" s="192">
        <v>134.13</v>
      </c>
      <c r="R473" s="192">
        <v>0</v>
      </c>
      <c r="S473" s="285">
        <v>0</v>
      </c>
      <c r="T473" s="192">
        <v>214.61</v>
      </c>
      <c r="U473" s="291">
        <v>2050.1999999999998</v>
      </c>
      <c r="V473" s="291">
        <v>2050.1999999999998</v>
      </c>
      <c r="W473" s="292">
        <v>49015.92</v>
      </c>
      <c r="X473" s="292">
        <v>14351.399999999998</v>
      </c>
      <c r="Y473" s="292">
        <v>44454</v>
      </c>
      <c r="Z473" s="292">
        <v>17585.93</v>
      </c>
      <c r="AA473" s="290">
        <v>20953.5975</v>
      </c>
      <c r="AB473" s="285">
        <v>20789.737499999999</v>
      </c>
      <c r="AC473" s="290">
        <v>4084.66</v>
      </c>
      <c r="AD473" s="192">
        <v>7</v>
      </c>
      <c r="AE473" s="290">
        <v>4000</v>
      </c>
      <c r="AF473" s="194">
        <v>32592.62</v>
      </c>
      <c r="AG473" s="192" t="s">
        <v>1535</v>
      </c>
    </row>
    <row r="474" spans="1:34" x14ac:dyDescent="0.3">
      <c r="A474" s="192">
        <v>5832</v>
      </c>
      <c r="B474" s="192">
        <v>81</v>
      </c>
      <c r="C474" s="192">
        <v>7600</v>
      </c>
      <c r="D474" s="192" t="s">
        <v>498</v>
      </c>
      <c r="E474" s="192">
        <v>3820163</v>
      </c>
      <c r="F474" s="192" t="s">
        <v>1540</v>
      </c>
      <c r="G474" s="290">
        <v>0</v>
      </c>
      <c r="H474" s="192">
        <v>3406.45</v>
      </c>
      <c r="I474" s="192">
        <v>0</v>
      </c>
      <c r="J474" s="192">
        <v>72.099999999999994</v>
      </c>
      <c r="K474" s="192">
        <v>0</v>
      </c>
      <c r="L474" s="192">
        <v>0</v>
      </c>
      <c r="M474" s="192">
        <v>0</v>
      </c>
      <c r="N474" s="192">
        <v>0</v>
      </c>
      <c r="O474" s="192">
        <v>3478.55</v>
      </c>
      <c r="P474" s="192">
        <v>129</v>
      </c>
      <c r="Q474" s="192">
        <v>272.14</v>
      </c>
      <c r="R474" s="192">
        <v>0</v>
      </c>
      <c r="S474" s="285">
        <v>0</v>
      </c>
      <c r="T474" s="192">
        <v>459.87</v>
      </c>
      <c r="U474" s="291">
        <v>4339.5600000000004</v>
      </c>
      <c r="V474" s="291">
        <v>4339.5600000000004</v>
      </c>
      <c r="W474" s="292">
        <v>131073.24</v>
      </c>
      <c r="X474" s="292">
        <v>30376.920000000002</v>
      </c>
      <c r="Y474" s="292">
        <v>98568.4</v>
      </c>
      <c r="Z474" s="292">
        <v>31539.61</v>
      </c>
      <c r="AA474" s="290">
        <v>33253.883519999996</v>
      </c>
      <c r="AB474" s="285">
        <v>32993.833599999998</v>
      </c>
      <c r="AC474" s="290">
        <v>10922.77</v>
      </c>
      <c r="AD474" s="192">
        <v>7</v>
      </c>
      <c r="AE474" s="290">
        <v>1000</v>
      </c>
      <c r="AF474" s="194">
        <v>77459.39</v>
      </c>
      <c r="AG474" s="192" t="s">
        <v>1535</v>
      </c>
    </row>
    <row r="475" spans="1:34" x14ac:dyDescent="0.3">
      <c r="A475" s="192">
        <v>5832</v>
      </c>
      <c r="B475" s="192">
        <v>81</v>
      </c>
      <c r="C475" s="192">
        <v>7600</v>
      </c>
      <c r="D475" s="192" t="s">
        <v>498</v>
      </c>
      <c r="E475" s="192">
        <v>3951808</v>
      </c>
      <c r="F475" s="192" t="s">
        <v>1541</v>
      </c>
      <c r="G475" s="290">
        <v>0</v>
      </c>
      <c r="H475" s="192">
        <v>1589.68</v>
      </c>
      <c r="I475" s="192">
        <v>0</v>
      </c>
      <c r="J475" s="192">
        <v>48.77</v>
      </c>
      <c r="K475" s="192">
        <v>0</v>
      </c>
      <c r="L475" s="192">
        <v>0</v>
      </c>
      <c r="M475" s="192">
        <v>0</v>
      </c>
      <c r="N475" s="192">
        <v>0</v>
      </c>
      <c r="O475" s="192">
        <v>1638.45</v>
      </c>
      <c r="P475" s="192">
        <v>63</v>
      </c>
      <c r="Q475" s="192">
        <v>134.13</v>
      </c>
      <c r="R475" s="192">
        <v>0</v>
      </c>
      <c r="S475" s="285">
        <v>0</v>
      </c>
      <c r="T475" s="192">
        <v>0</v>
      </c>
      <c r="U475" s="291">
        <v>1835.58</v>
      </c>
      <c r="V475" s="291">
        <v>1835.58</v>
      </c>
      <c r="W475" s="292">
        <v>43935.24</v>
      </c>
      <c r="X475" s="292">
        <v>12849.06</v>
      </c>
      <c r="Y475" s="292">
        <v>39999.919999999998</v>
      </c>
      <c r="Z475" s="292">
        <v>13195.01</v>
      </c>
      <c r="AA475" s="290">
        <v>17497.320389999997</v>
      </c>
      <c r="AB475" s="285">
        <v>17360.488949999999</v>
      </c>
      <c r="AC475" s="290">
        <v>3661.27</v>
      </c>
      <c r="AD475" s="192">
        <v>7</v>
      </c>
      <c r="AE475" s="290">
        <v>3000</v>
      </c>
      <c r="AF475" s="194">
        <v>28628.89</v>
      </c>
      <c r="AG475" s="192" t="s">
        <v>1535</v>
      </c>
    </row>
    <row r="476" spans="1:34" x14ac:dyDescent="0.3">
      <c r="A476" s="192">
        <v>5832</v>
      </c>
      <c r="B476" s="192">
        <v>81</v>
      </c>
      <c r="C476" s="192">
        <v>7600</v>
      </c>
      <c r="D476" s="192" t="s">
        <v>498</v>
      </c>
      <c r="E476" s="192">
        <v>30571965</v>
      </c>
      <c r="F476" s="192" t="s">
        <v>1542</v>
      </c>
      <c r="G476" s="290">
        <v>0</v>
      </c>
      <c r="H476" s="192">
        <v>0</v>
      </c>
      <c r="I476" s="192">
        <v>0</v>
      </c>
      <c r="J476" s="192">
        <v>0</v>
      </c>
      <c r="K476" s="192">
        <v>0</v>
      </c>
      <c r="L476" s="192">
        <v>0</v>
      </c>
      <c r="M476" s="192">
        <v>0</v>
      </c>
      <c r="N476" s="192">
        <v>0</v>
      </c>
      <c r="O476" s="192">
        <v>0</v>
      </c>
      <c r="P476" s="192">
        <v>5</v>
      </c>
      <c r="Q476" s="192">
        <v>11.25</v>
      </c>
      <c r="R476" s="192">
        <v>0</v>
      </c>
      <c r="S476" s="285">
        <v>0</v>
      </c>
      <c r="T476" s="192">
        <v>0</v>
      </c>
      <c r="U476" s="291">
        <v>16.25</v>
      </c>
      <c r="V476" s="291">
        <v>16.25</v>
      </c>
      <c r="W476" s="292">
        <v>0</v>
      </c>
      <c r="X476" s="292">
        <v>113.75</v>
      </c>
      <c r="Y476" s="292">
        <v>65</v>
      </c>
      <c r="Z476" s="292">
        <v>5330.4</v>
      </c>
      <c r="AA476" s="290">
        <v>0</v>
      </c>
      <c r="AB476" s="285">
        <v>0</v>
      </c>
      <c r="AC476" s="290">
        <v>166.25</v>
      </c>
      <c r="AD476" s="192">
        <v>7</v>
      </c>
      <c r="AE476" s="290"/>
      <c r="AF476" s="194">
        <v>1163.75</v>
      </c>
      <c r="AG476" s="192" t="s">
        <v>1535</v>
      </c>
    </row>
    <row r="477" spans="1:34" s="196" customFormat="1" ht="17.25" customHeight="1" x14ac:dyDescent="0.3">
      <c r="G477" s="288">
        <f>SUM(G469:G476)</f>
        <v>0</v>
      </c>
      <c r="H477" s="288">
        <f t="shared" ref="H477:AF477" si="47">SUM(H469:H476)</f>
        <v>17270.45</v>
      </c>
      <c r="I477" s="288">
        <f t="shared" si="47"/>
        <v>0</v>
      </c>
      <c r="J477" s="288">
        <f t="shared" si="47"/>
        <v>485.91999999999996</v>
      </c>
      <c r="K477" s="288">
        <f t="shared" si="47"/>
        <v>395.93</v>
      </c>
      <c r="L477" s="288">
        <f t="shared" si="47"/>
        <v>0</v>
      </c>
      <c r="M477" s="288">
        <f t="shared" si="47"/>
        <v>0</v>
      </c>
      <c r="N477" s="288">
        <f t="shared" si="47"/>
        <v>0</v>
      </c>
      <c r="O477" s="288">
        <f t="shared" si="47"/>
        <v>18152.3</v>
      </c>
      <c r="P477" s="288">
        <f t="shared" si="47"/>
        <v>627</v>
      </c>
      <c r="Q477" s="288">
        <f t="shared" si="47"/>
        <v>1428.9099999999999</v>
      </c>
      <c r="R477" s="288">
        <f t="shared" si="47"/>
        <v>0</v>
      </c>
      <c r="S477" s="288">
        <f t="shared" si="47"/>
        <v>0</v>
      </c>
      <c r="T477" s="288">
        <f t="shared" si="47"/>
        <v>2672.25</v>
      </c>
      <c r="U477" s="288">
        <f t="shared" si="47"/>
        <v>22880.46</v>
      </c>
      <c r="V477" s="288">
        <f t="shared" si="47"/>
        <v>22880.46</v>
      </c>
      <c r="W477" s="288">
        <f t="shared" si="47"/>
        <v>573901.19999999995</v>
      </c>
      <c r="X477" s="288">
        <f t="shared" si="47"/>
        <v>174802.09</v>
      </c>
      <c r="Y477" s="288">
        <f t="shared" si="47"/>
        <v>477046.51999999996</v>
      </c>
      <c r="Z477" s="288">
        <f t="shared" si="47"/>
        <v>271200.33</v>
      </c>
      <c r="AA477" s="288">
        <f t="shared" si="47"/>
        <v>282088.40351999999</v>
      </c>
      <c r="AB477" s="288">
        <f t="shared" si="47"/>
        <v>319882.43359999999</v>
      </c>
      <c r="AC477" s="288">
        <f t="shared" si="47"/>
        <v>47991.35</v>
      </c>
      <c r="AD477" s="288">
        <f t="shared" si="47"/>
        <v>60</v>
      </c>
      <c r="AE477" s="288">
        <f t="shared" si="47"/>
        <v>47300</v>
      </c>
      <c r="AF477" s="288">
        <f t="shared" si="47"/>
        <v>412395.85000000003</v>
      </c>
      <c r="AG477" s="196" t="s">
        <v>924</v>
      </c>
      <c r="AH477" s="288"/>
    </row>
    <row r="478" spans="1:34" x14ac:dyDescent="0.3">
      <c r="S478" s="285">
        <v>0</v>
      </c>
      <c r="W478" s="292"/>
      <c r="X478" s="292"/>
      <c r="Y478" s="292"/>
      <c r="Z478" s="292"/>
      <c r="AA478" s="290"/>
      <c r="AB478" s="285"/>
      <c r="AC478" s="290"/>
      <c r="AE478" s="290"/>
      <c r="AF478" s="194"/>
    </row>
    <row r="479" spans="1:34" x14ac:dyDescent="0.3">
      <c r="A479" s="192">
        <v>5832</v>
      </c>
      <c r="B479" s="192">
        <v>81</v>
      </c>
      <c r="C479" s="192">
        <v>7700</v>
      </c>
      <c r="D479" s="192" t="s">
        <v>1543</v>
      </c>
      <c r="E479" s="192">
        <v>2391173</v>
      </c>
      <c r="F479" s="192" t="s">
        <v>1544</v>
      </c>
      <c r="G479" s="290">
        <v>1</v>
      </c>
      <c r="H479" s="192">
        <v>9222.48</v>
      </c>
      <c r="I479" s="192">
        <v>1019.24</v>
      </c>
      <c r="J479" s="192">
        <v>173.3</v>
      </c>
      <c r="K479" s="192">
        <v>1606.94</v>
      </c>
      <c r="L479" s="192">
        <v>0</v>
      </c>
      <c r="M479" s="192">
        <v>0</v>
      </c>
      <c r="N479" s="192">
        <v>36.5</v>
      </c>
      <c r="O479" s="192">
        <v>12058.46</v>
      </c>
      <c r="P479" s="192">
        <v>679</v>
      </c>
      <c r="Q479" s="192">
        <v>923.13</v>
      </c>
      <c r="R479" s="192">
        <v>0</v>
      </c>
      <c r="S479" s="285">
        <v>1</v>
      </c>
      <c r="T479" s="192">
        <v>2217.67</v>
      </c>
      <c r="U479" s="291">
        <v>15878.26</v>
      </c>
      <c r="V479" s="291">
        <v>15878.26</v>
      </c>
      <c r="W479" s="292">
        <v>189302.04</v>
      </c>
      <c r="X479" s="292">
        <v>190539.12</v>
      </c>
      <c r="Y479" s="292">
        <v>189819.36</v>
      </c>
      <c r="Z479" s="292">
        <v>195975.67999999999</v>
      </c>
      <c r="AA479" s="290">
        <v>200390.61074999999</v>
      </c>
      <c r="AB479" s="285">
        <v>198823.52874999997</v>
      </c>
      <c r="AC479" s="290">
        <v>15775.17</v>
      </c>
      <c r="AD479" s="192">
        <v>12</v>
      </c>
      <c r="AE479" s="290">
        <v>10000</v>
      </c>
      <c r="AF479" s="194">
        <v>199302.04</v>
      </c>
    </row>
    <row r="480" spans="1:34" x14ac:dyDescent="0.3">
      <c r="A480" s="192">
        <v>5832</v>
      </c>
      <c r="B480" s="192">
        <v>81</v>
      </c>
      <c r="C480" s="192">
        <v>7700</v>
      </c>
      <c r="D480" s="192" t="s">
        <v>1543</v>
      </c>
      <c r="E480" s="192">
        <v>2528097</v>
      </c>
      <c r="F480" s="192" t="s">
        <v>1545</v>
      </c>
      <c r="G480" s="290">
        <v>1</v>
      </c>
      <c r="H480" s="192">
        <v>8184.16</v>
      </c>
      <c r="I480" s="192">
        <v>1774.29</v>
      </c>
      <c r="J480" s="192">
        <v>173.3</v>
      </c>
      <c r="K480" s="192">
        <v>2506.4899999999998</v>
      </c>
      <c r="L480" s="192">
        <v>0</v>
      </c>
      <c r="M480" s="192">
        <v>0</v>
      </c>
      <c r="N480" s="192">
        <v>120.8</v>
      </c>
      <c r="O480" s="192">
        <v>12759.04</v>
      </c>
      <c r="P480" s="192">
        <v>728</v>
      </c>
      <c r="Q480" s="192">
        <v>975.68</v>
      </c>
      <c r="R480" s="192">
        <v>0</v>
      </c>
      <c r="S480" s="285">
        <v>1</v>
      </c>
      <c r="T480" s="192">
        <v>2160.88</v>
      </c>
      <c r="U480" s="291">
        <v>16623.599999999999</v>
      </c>
      <c r="V480" s="291">
        <v>16623.599999999999</v>
      </c>
      <c r="W480" s="292">
        <v>158658.72</v>
      </c>
      <c r="X480" s="292">
        <v>199483.19999999998</v>
      </c>
      <c r="Y480" s="292">
        <v>170804.16</v>
      </c>
      <c r="Z480" s="292">
        <v>165533.84</v>
      </c>
      <c r="AA480" s="290">
        <v>169206.37899</v>
      </c>
      <c r="AB480" s="285">
        <v>167883.16194999998</v>
      </c>
      <c r="AC480" s="290">
        <v>13221.56</v>
      </c>
      <c r="AD480" s="192">
        <v>12</v>
      </c>
      <c r="AE480" s="290">
        <v>10000</v>
      </c>
      <c r="AF480" s="194">
        <v>168658.72</v>
      </c>
    </row>
    <row r="481" spans="1:34" s="196" customFormat="1" ht="17.25" customHeight="1" x14ac:dyDescent="0.3">
      <c r="G481" s="288">
        <f>SUM(G479:G480)</f>
        <v>2</v>
      </c>
      <c r="H481" s="288">
        <f t="shared" ref="H481:AF481" si="48">SUM(H479:H480)</f>
        <v>17406.64</v>
      </c>
      <c r="I481" s="288">
        <f t="shared" si="48"/>
        <v>2793.5299999999997</v>
      </c>
      <c r="J481" s="288">
        <f t="shared" si="48"/>
        <v>346.6</v>
      </c>
      <c r="K481" s="288">
        <f t="shared" si="48"/>
        <v>4113.43</v>
      </c>
      <c r="L481" s="288">
        <f t="shared" si="48"/>
        <v>0</v>
      </c>
      <c r="M481" s="288">
        <f t="shared" si="48"/>
        <v>0</v>
      </c>
      <c r="N481" s="288">
        <f t="shared" si="48"/>
        <v>157.30000000000001</v>
      </c>
      <c r="O481" s="288">
        <f t="shared" si="48"/>
        <v>24817.5</v>
      </c>
      <c r="P481" s="288">
        <f t="shared" si="48"/>
        <v>1407</v>
      </c>
      <c r="Q481" s="288">
        <f t="shared" si="48"/>
        <v>1898.81</v>
      </c>
      <c r="R481" s="288">
        <f t="shared" si="48"/>
        <v>0</v>
      </c>
      <c r="S481" s="288">
        <f t="shared" si="48"/>
        <v>2</v>
      </c>
      <c r="T481" s="288">
        <f t="shared" si="48"/>
        <v>4378.55</v>
      </c>
      <c r="U481" s="288">
        <f t="shared" si="48"/>
        <v>32501.86</v>
      </c>
      <c r="V481" s="288">
        <f t="shared" si="48"/>
        <v>32501.86</v>
      </c>
      <c r="W481" s="288">
        <f t="shared" si="48"/>
        <v>347960.76</v>
      </c>
      <c r="X481" s="288">
        <f t="shared" si="48"/>
        <v>390022.31999999995</v>
      </c>
      <c r="Y481" s="288">
        <f t="shared" si="48"/>
        <v>360623.52</v>
      </c>
      <c r="Z481" s="288">
        <f t="shared" si="48"/>
        <v>361509.52</v>
      </c>
      <c r="AA481" s="288">
        <f t="shared" si="48"/>
        <v>369596.98973999999</v>
      </c>
      <c r="AB481" s="288">
        <f t="shared" si="48"/>
        <v>366706.69069999992</v>
      </c>
      <c r="AC481" s="288">
        <f t="shared" si="48"/>
        <v>28996.73</v>
      </c>
      <c r="AD481" s="288">
        <f t="shared" si="48"/>
        <v>24</v>
      </c>
      <c r="AE481" s="288">
        <f t="shared" si="48"/>
        <v>20000</v>
      </c>
      <c r="AF481" s="288">
        <f t="shared" si="48"/>
        <v>367960.76</v>
      </c>
      <c r="AH481" s="288"/>
    </row>
    <row r="482" spans="1:34" x14ac:dyDescent="0.3">
      <c r="W482" s="292"/>
      <c r="X482" s="292"/>
      <c r="Y482" s="292"/>
      <c r="Z482" s="292"/>
      <c r="AA482" s="290"/>
      <c r="AB482" s="285"/>
      <c r="AC482" s="290"/>
      <c r="AE482" s="290"/>
      <c r="AF482" s="194"/>
    </row>
    <row r="483" spans="1:34" x14ac:dyDescent="0.3">
      <c r="A483" s="192">
        <v>5832</v>
      </c>
      <c r="B483" s="192">
        <v>81</v>
      </c>
      <c r="C483" s="192">
        <v>7800</v>
      </c>
      <c r="D483" s="192" t="s">
        <v>1546</v>
      </c>
      <c r="E483" s="192">
        <v>2244463</v>
      </c>
      <c r="F483" s="192" t="s">
        <v>1547</v>
      </c>
      <c r="G483" s="290">
        <v>0.42</v>
      </c>
      <c r="H483" s="192">
        <v>1497.98</v>
      </c>
      <c r="I483" s="192">
        <v>152.66999999999999</v>
      </c>
      <c r="J483" s="192">
        <v>20.41</v>
      </c>
      <c r="K483" s="192">
        <v>0</v>
      </c>
      <c r="L483" s="192">
        <v>0</v>
      </c>
      <c r="M483" s="192">
        <v>0</v>
      </c>
      <c r="N483" s="192">
        <v>36.5</v>
      </c>
      <c r="O483" s="192">
        <v>1707.56</v>
      </c>
      <c r="P483" s="192">
        <v>66</v>
      </c>
      <c r="Q483" s="192">
        <v>139.32</v>
      </c>
      <c r="R483" s="192">
        <v>0</v>
      </c>
      <c r="S483" s="285">
        <v>0.42</v>
      </c>
      <c r="T483" s="192">
        <v>346.64</v>
      </c>
      <c r="U483" s="291">
        <v>2259.52</v>
      </c>
      <c r="V483" s="291">
        <v>2259.52</v>
      </c>
      <c r="W483" s="292">
        <v>27994.32</v>
      </c>
      <c r="X483" s="292">
        <v>27114.239999999998</v>
      </c>
      <c r="Y483" s="292">
        <v>36736.160000000003</v>
      </c>
      <c r="Z483" s="292">
        <v>36128.17</v>
      </c>
      <c r="AA483" s="290">
        <v>36959.117909999994</v>
      </c>
      <c r="AB483" s="285">
        <v>36670.092549999994</v>
      </c>
      <c r="AC483" s="290">
        <v>2332.86</v>
      </c>
      <c r="AD483" s="192">
        <v>12</v>
      </c>
      <c r="AE483" s="290">
        <v>2000</v>
      </c>
      <c r="AF483" s="194">
        <v>29994.32</v>
      </c>
    </row>
    <row r="484" spans="1:34" x14ac:dyDescent="0.3">
      <c r="A484" s="192">
        <v>5832</v>
      </c>
      <c r="B484" s="192">
        <v>81</v>
      </c>
      <c r="C484" s="192">
        <v>7800</v>
      </c>
      <c r="D484" s="192" t="s">
        <v>1546</v>
      </c>
      <c r="E484" s="192">
        <v>2458374</v>
      </c>
      <c r="F484" s="192" t="s">
        <v>1548</v>
      </c>
      <c r="G484" s="290">
        <v>1</v>
      </c>
      <c r="H484" s="192">
        <v>5556.2</v>
      </c>
      <c r="I484" s="192">
        <v>1989.16</v>
      </c>
      <c r="J484" s="192">
        <v>42.53</v>
      </c>
      <c r="K484" s="192">
        <v>0</v>
      </c>
      <c r="L484" s="192">
        <v>0</v>
      </c>
      <c r="M484" s="192">
        <v>0</v>
      </c>
      <c r="N484" s="192">
        <v>1150.5</v>
      </c>
      <c r="O484" s="192">
        <v>8738.39</v>
      </c>
      <c r="P484" s="192">
        <v>408</v>
      </c>
      <c r="Q484" s="192">
        <v>655.38</v>
      </c>
      <c r="R484" s="192">
        <v>0</v>
      </c>
      <c r="S484" s="285">
        <v>1</v>
      </c>
      <c r="T484" s="192">
        <v>1495.53</v>
      </c>
      <c r="U484" s="291">
        <v>11297.3</v>
      </c>
      <c r="V484" s="291">
        <v>11297.3</v>
      </c>
      <c r="W484" s="292">
        <v>125968.08</v>
      </c>
      <c r="X484" s="292">
        <v>135567.59999999998</v>
      </c>
      <c r="Y484" s="292">
        <v>132591.72</v>
      </c>
      <c r="Z484" s="292">
        <v>110080.98</v>
      </c>
      <c r="AA484" s="290">
        <v>113875.03017</v>
      </c>
      <c r="AB484" s="285">
        <v>112984.51185</v>
      </c>
      <c r="AC484" s="290">
        <v>8000</v>
      </c>
      <c r="AD484" s="192">
        <v>12</v>
      </c>
      <c r="AE484" s="290">
        <v>10000</v>
      </c>
      <c r="AF484" s="194">
        <v>106000</v>
      </c>
    </row>
    <row r="485" spans="1:34" x14ac:dyDescent="0.3">
      <c r="A485" s="192">
        <v>5832</v>
      </c>
      <c r="B485" s="192">
        <v>81</v>
      </c>
      <c r="C485" s="192">
        <v>7800</v>
      </c>
      <c r="D485" s="192" t="s">
        <v>1546</v>
      </c>
      <c r="E485" s="192">
        <v>2468379</v>
      </c>
      <c r="F485" s="192" t="s">
        <v>1549</v>
      </c>
      <c r="G485" s="290">
        <v>1</v>
      </c>
      <c r="H485" s="192">
        <v>6207.36</v>
      </c>
      <c r="I485" s="192">
        <v>2508.4</v>
      </c>
      <c r="J485" s="192">
        <v>175.6</v>
      </c>
      <c r="K485" s="192">
        <v>0</v>
      </c>
      <c r="L485" s="192">
        <v>0</v>
      </c>
      <c r="M485" s="192">
        <v>0</v>
      </c>
      <c r="N485" s="192">
        <v>1317.6</v>
      </c>
      <c r="O485" s="192">
        <v>10208.959999999999</v>
      </c>
      <c r="P485" s="192">
        <v>520</v>
      </c>
      <c r="Q485" s="192">
        <v>766.4</v>
      </c>
      <c r="R485" s="192">
        <v>0</v>
      </c>
      <c r="S485" s="285">
        <v>1</v>
      </c>
      <c r="T485" s="192">
        <v>1719.78</v>
      </c>
      <c r="U485" s="291">
        <v>13215.14</v>
      </c>
      <c r="V485" s="291">
        <v>13215.14</v>
      </c>
      <c r="W485" s="292">
        <v>151878.59999999998</v>
      </c>
      <c r="X485" s="292">
        <v>158581.68</v>
      </c>
      <c r="Y485" s="292">
        <v>153729.20000000001</v>
      </c>
      <c r="Z485" s="292">
        <v>119975.26</v>
      </c>
      <c r="AA485" s="290">
        <v>121537.34108999999</v>
      </c>
      <c r="AB485" s="285">
        <v>120586.90244999999</v>
      </c>
      <c r="AC485" s="290">
        <v>8000</v>
      </c>
      <c r="AD485" s="192">
        <v>12</v>
      </c>
      <c r="AE485" s="290">
        <v>10000</v>
      </c>
      <c r="AF485" s="194">
        <v>106000</v>
      </c>
    </row>
    <row r="486" spans="1:34" x14ac:dyDescent="0.3">
      <c r="A486" s="192">
        <v>5832</v>
      </c>
      <c r="B486" s="192">
        <v>81</v>
      </c>
      <c r="C486" s="192">
        <v>7800</v>
      </c>
      <c r="D486" s="192" t="s">
        <v>1546</v>
      </c>
      <c r="E486" s="192">
        <v>2699980</v>
      </c>
      <c r="F486" s="192" t="s">
        <v>1550</v>
      </c>
      <c r="G486" s="290">
        <v>0.504</v>
      </c>
      <c r="H486" s="192">
        <v>2960.98</v>
      </c>
      <c r="I486" s="192">
        <v>192.17</v>
      </c>
      <c r="J486" s="192">
        <v>24.49</v>
      </c>
      <c r="K486" s="192">
        <v>0</v>
      </c>
      <c r="L486" s="192">
        <v>0</v>
      </c>
      <c r="M486" s="192">
        <v>0</v>
      </c>
      <c r="N486" s="192">
        <v>36.5</v>
      </c>
      <c r="O486" s="192">
        <v>3214.14</v>
      </c>
      <c r="P486" s="192">
        <v>114</v>
      </c>
      <c r="Q486" s="192">
        <v>241.05</v>
      </c>
      <c r="R486" s="192">
        <v>0</v>
      </c>
      <c r="S486" s="285">
        <v>0.504</v>
      </c>
      <c r="T486" s="192">
        <v>691.4</v>
      </c>
      <c r="U486" s="291">
        <v>4260.59</v>
      </c>
      <c r="V486" s="291">
        <v>4260.59</v>
      </c>
      <c r="W486" s="292">
        <v>49888.200000000004</v>
      </c>
      <c r="X486" s="292">
        <v>51127.08</v>
      </c>
      <c r="Y486" s="292">
        <v>51964.48000000001</v>
      </c>
      <c r="Z486" s="292">
        <v>53991.23</v>
      </c>
      <c r="AA486" s="290">
        <v>55801.386629999994</v>
      </c>
      <c r="AB486" s="285">
        <v>55365.012149999995</v>
      </c>
      <c r="AC486" s="290">
        <v>4157.3500000000004</v>
      </c>
      <c r="AD486" s="192">
        <v>12</v>
      </c>
      <c r="AE486" s="290">
        <v>4000</v>
      </c>
      <c r="AF486" s="194">
        <v>53888.200000000004</v>
      </c>
    </row>
    <row r="487" spans="1:34" x14ac:dyDescent="0.3">
      <c r="A487" s="192">
        <v>5832</v>
      </c>
      <c r="B487" s="192">
        <v>81</v>
      </c>
      <c r="C487" s="192">
        <v>7800</v>
      </c>
      <c r="D487" s="192" t="s">
        <v>1546</v>
      </c>
      <c r="E487" s="192">
        <v>2889007</v>
      </c>
      <c r="F487" s="192" t="s">
        <v>1551</v>
      </c>
      <c r="G487" s="290">
        <v>0</v>
      </c>
      <c r="H487" s="192">
        <v>206.5</v>
      </c>
      <c r="I487" s="192">
        <v>0</v>
      </c>
      <c r="J487" s="192">
        <v>0</v>
      </c>
      <c r="K487" s="192">
        <v>0</v>
      </c>
      <c r="L487" s="192">
        <v>0</v>
      </c>
      <c r="M487" s="192">
        <v>0</v>
      </c>
      <c r="N487" s="192">
        <v>0</v>
      </c>
      <c r="O487" s="192">
        <v>206.5</v>
      </c>
      <c r="P487" s="192">
        <v>13</v>
      </c>
      <c r="Q487" s="192">
        <v>26.74</v>
      </c>
      <c r="R487" s="192">
        <v>0</v>
      </c>
      <c r="S487" s="285">
        <v>0</v>
      </c>
      <c r="T487" s="192">
        <v>27.88</v>
      </c>
      <c r="U487" s="291">
        <v>274.12</v>
      </c>
      <c r="V487" s="291">
        <v>274.12</v>
      </c>
      <c r="W487" s="292">
        <v>0</v>
      </c>
      <c r="X487" s="292">
        <v>3289.44</v>
      </c>
      <c r="Y487" s="292">
        <v>4623.2</v>
      </c>
      <c r="Z487" s="292">
        <v>3031.32</v>
      </c>
      <c r="AA487" s="290">
        <v>2386.8124499999999</v>
      </c>
      <c r="AB487" s="285">
        <v>2368.14725</v>
      </c>
      <c r="AC487" s="290">
        <v>881.68</v>
      </c>
      <c r="AD487" s="192">
        <v>12</v>
      </c>
      <c r="AE487" s="290">
        <v>1000</v>
      </c>
      <c r="AF487" s="194">
        <v>11580.16</v>
      </c>
    </row>
    <row r="488" spans="1:34" x14ac:dyDescent="0.3">
      <c r="A488" s="192">
        <v>5832</v>
      </c>
      <c r="B488" s="192">
        <v>81</v>
      </c>
      <c r="C488" s="192">
        <v>7800</v>
      </c>
      <c r="D488" s="192" t="s">
        <v>1546</v>
      </c>
      <c r="E488" s="192">
        <v>3487657</v>
      </c>
      <c r="F488" s="192" t="s">
        <v>1397</v>
      </c>
      <c r="G488" s="290">
        <v>0.25</v>
      </c>
      <c r="H488" s="192">
        <v>1334.83</v>
      </c>
      <c r="I488" s="192">
        <v>87.71</v>
      </c>
      <c r="J488" s="192">
        <v>0</v>
      </c>
      <c r="K488" s="192">
        <v>0</v>
      </c>
      <c r="L488" s="192">
        <v>0</v>
      </c>
      <c r="M488" s="192">
        <v>0</v>
      </c>
      <c r="N488" s="192">
        <v>0</v>
      </c>
      <c r="O488" s="192">
        <v>1422.54</v>
      </c>
      <c r="P488" s="192">
        <v>0</v>
      </c>
      <c r="Q488" s="192">
        <v>0</v>
      </c>
      <c r="R488" s="192">
        <v>0</v>
      </c>
      <c r="S488" s="285">
        <v>0.25</v>
      </c>
      <c r="T488" s="192">
        <v>0</v>
      </c>
      <c r="U488" s="291">
        <v>1422.54</v>
      </c>
      <c r="V488" s="291">
        <v>1422.54</v>
      </c>
      <c r="W488" s="292">
        <v>37973.64</v>
      </c>
      <c r="X488" s="292">
        <v>17070.48</v>
      </c>
      <c r="Y488" s="292">
        <v>38116.720000000001</v>
      </c>
      <c r="Z488" s="292">
        <v>46592.12</v>
      </c>
      <c r="AA488" s="290">
        <v>47904.184679999998</v>
      </c>
      <c r="AB488" s="285">
        <v>47529.5674</v>
      </c>
      <c r="AC488" s="290">
        <v>6459.36</v>
      </c>
      <c r="AD488" s="192">
        <v>12</v>
      </c>
      <c r="AE488" s="290">
        <v>6000</v>
      </c>
      <c r="AF488" s="194">
        <v>83512.319999999992</v>
      </c>
    </row>
    <row r="489" spans="1:34" x14ac:dyDescent="0.3">
      <c r="A489" s="192">
        <v>5832</v>
      </c>
      <c r="B489" s="192">
        <v>81</v>
      </c>
      <c r="C489" s="192">
        <v>7800</v>
      </c>
      <c r="D489" s="192" t="s">
        <v>1546</v>
      </c>
      <c r="E489" s="192">
        <v>5292628</v>
      </c>
      <c r="F489" s="192" t="s">
        <v>1552</v>
      </c>
      <c r="G489" s="290">
        <v>0.51600000000000001</v>
      </c>
      <c r="H489" s="192">
        <v>937.39</v>
      </c>
      <c r="I489" s="192">
        <v>196.23</v>
      </c>
      <c r="J489" s="192">
        <v>25.08</v>
      </c>
      <c r="K489" s="192">
        <v>0</v>
      </c>
      <c r="L489" s="192">
        <v>0</v>
      </c>
      <c r="M489" s="192">
        <v>0</v>
      </c>
      <c r="N489" s="192">
        <v>36.5</v>
      </c>
      <c r="O489" s="192">
        <v>1195.2</v>
      </c>
      <c r="P489" s="192">
        <v>6</v>
      </c>
      <c r="Q489" s="192">
        <v>89.65</v>
      </c>
      <c r="R489" s="192">
        <v>0</v>
      </c>
      <c r="S489" s="285">
        <v>0.51600000000000001</v>
      </c>
      <c r="T489" s="192">
        <v>258.83999999999997</v>
      </c>
      <c r="U489" s="291">
        <v>1549.69</v>
      </c>
      <c r="V489" s="291">
        <v>1549.69</v>
      </c>
      <c r="W489" s="292">
        <v>43245.120000000003</v>
      </c>
      <c r="X489" s="292">
        <v>18596.28</v>
      </c>
      <c r="Y489" s="292">
        <v>42052.480000000003</v>
      </c>
      <c r="Z489" s="292">
        <v>61040.160000000003</v>
      </c>
      <c r="AA489" s="290">
        <v>62900.321219999991</v>
      </c>
      <c r="AB489" s="285">
        <v>62408.432099999991</v>
      </c>
      <c r="AC489" s="290">
        <v>3603.76</v>
      </c>
      <c r="AD489" s="192">
        <v>12</v>
      </c>
      <c r="AE489" s="290">
        <v>3000</v>
      </c>
      <c r="AF489" s="194">
        <v>46245.120000000003</v>
      </c>
    </row>
    <row r="490" spans="1:34" x14ac:dyDescent="0.3">
      <c r="A490" s="192">
        <v>5832</v>
      </c>
      <c r="B490" s="192">
        <v>81</v>
      </c>
      <c r="C490" s="192">
        <v>7800</v>
      </c>
      <c r="D490" s="192" t="s">
        <v>1546</v>
      </c>
      <c r="E490" s="192">
        <v>5322080</v>
      </c>
      <c r="F490" s="192" t="s">
        <v>1287</v>
      </c>
      <c r="G490" s="290">
        <v>0.34</v>
      </c>
      <c r="H490" s="192">
        <v>1863.03</v>
      </c>
      <c r="I490" s="192">
        <v>120.18</v>
      </c>
      <c r="J490" s="192">
        <v>14.46</v>
      </c>
      <c r="K490" s="192">
        <v>0</v>
      </c>
      <c r="L490" s="192">
        <v>0</v>
      </c>
      <c r="M490" s="192">
        <v>0</v>
      </c>
      <c r="N490" s="192">
        <v>36.5</v>
      </c>
      <c r="O490" s="192">
        <v>2034.17</v>
      </c>
      <c r="P490" s="192">
        <v>11</v>
      </c>
      <c r="Q490" s="192">
        <v>163.81</v>
      </c>
      <c r="R490" s="192">
        <v>0</v>
      </c>
      <c r="S490" s="285">
        <v>0.34</v>
      </c>
      <c r="T490" s="192">
        <v>416.49</v>
      </c>
      <c r="U490" s="291">
        <v>2625.47</v>
      </c>
      <c r="V490" s="291">
        <v>2625.47</v>
      </c>
      <c r="W490" s="292">
        <v>26354.52</v>
      </c>
      <c r="X490" s="292">
        <v>31505.64</v>
      </c>
      <c r="Y490" s="292">
        <v>29923.480000000003</v>
      </c>
      <c r="Z490" s="292">
        <v>4274.6899999999996</v>
      </c>
      <c r="AA490" s="290">
        <v>0</v>
      </c>
      <c r="AB490" s="285">
        <v>4338.8103499999988</v>
      </c>
      <c r="AC490" s="290">
        <v>2196.21</v>
      </c>
      <c r="AD490" s="192">
        <v>12</v>
      </c>
      <c r="AE490" s="290">
        <v>2000</v>
      </c>
      <c r="AF490" s="194">
        <v>28354.52</v>
      </c>
    </row>
    <row r="491" spans="1:34" x14ac:dyDescent="0.3">
      <c r="A491" s="192">
        <v>5832</v>
      </c>
      <c r="B491" s="192">
        <v>81</v>
      </c>
      <c r="C491" s="192">
        <v>7800</v>
      </c>
      <c r="D491" s="192" t="s">
        <v>1546</v>
      </c>
      <c r="E491" s="192">
        <v>5429071</v>
      </c>
      <c r="F491" s="192" t="s">
        <v>1303</v>
      </c>
      <c r="G491" s="290">
        <v>0</v>
      </c>
      <c r="H491" s="192">
        <v>118</v>
      </c>
      <c r="I491" s="192">
        <v>0</v>
      </c>
      <c r="J491" s="192">
        <v>0</v>
      </c>
      <c r="K491" s="192">
        <v>0</v>
      </c>
      <c r="L491" s="192">
        <v>0</v>
      </c>
      <c r="M491" s="192">
        <v>0</v>
      </c>
      <c r="N491" s="192">
        <v>0</v>
      </c>
      <c r="O491" s="192">
        <v>118</v>
      </c>
      <c r="P491" s="192">
        <v>3.85</v>
      </c>
      <c r="Q491" s="192">
        <v>8.85</v>
      </c>
      <c r="R491" s="192">
        <v>0</v>
      </c>
      <c r="S491" s="285">
        <v>0</v>
      </c>
      <c r="T491" s="192">
        <v>15.93</v>
      </c>
      <c r="U491" s="291">
        <v>146.63</v>
      </c>
      <c r="V491" s="291">
        <v>146.63</v>
      </c>
      <c r="W491" s="292">
        <v>45741.96</v>
      </c>
      <c r="X491" s="292">
        <v>1759.56</v>
      </c>
      <c r="Y491" s="292">
        <v>15249.88</v>
      </c>
      <c r="Z491" s="292">
        <v>6147.51</v>
      </c>
      <c r="AA491" s="290">
        <v>0</v>
      </c>
      <c r="AB491" s="285">
        <v>3319.1007500000001</v>
      </c>
      <c r="AC491" s="290">
        <v>3811.83</v>
      </c>
      <c r="AD491" s="192">
        <v>12</v>
      </c>
      <c r="AE491" s="290">
        <v>4000</v>
      </c>
      <c r="AF491" s="194">
        <v>49741.96</v>
      </c>
    </row>
    <row r="492" spans="1:34" x14ac:dyDescent="0.3">
      <c r="A492" s="192">
        <v>5832</v>
      </c>
      <c r="B492" s="192">
        <v>81</v>
      </c>
      <c r="C492" s="192">
        <v>7800</v>
      </c>
      <c r="D492" s="192" t="s">
        <v>1546</v>
      </c>
      <c r="E492" s="192">
        <v>5730620</v>
      </c>
      <c r="F492" s="192" t="s">
        <v>1553</v>
      </c>
      <c r="G492" s="290">
        <v>0.34</v>
      </c>
      <c r="H492" s="192">
        <v>1949.33</v>
      </c>
      <c r="I492" s="192">
        <v>124.37</v>
      </c>
      <c r="J492" s="192">
        <v>16.52</v>
      </c>
      <c r="K492" s="192">
        <v>0</v>
      </c>
      <c r="L492" s="192">
        <v>0</v>
      </c>
      <c r="M492" s="192">
        <v>0</v>
      </c>
      <c r="N492" s="192">
        <v>36.5</v>
      </c>
      <c r="O492" s="192">
        <v>2126.7199999999998</v>
      </c>
      <c r="P492" s="192">
        <v>75</v>
      </c>
      <c r="Q492" s="192">
        <v>159.5</v>
      </c>
      <c r="R492" s="192">
        <v>0</v>
      </c>
      <c r="S492" s="285">
        <v>0.34</v>
      </c>
      <c r="T492" s="192">
        <v>466.07</v>
      </c>
      <c r="U492" s="291">
        <v>2827.29</v>
      </c>
      <c r="V492" s="291">
        <v>2827.29</v>
      </c>
      <c r="W492" s="292">
        <v>33349.440000000002</v>
      </c>
      <c r="X492" s="292">
        <v>33927.479999999996</v>
      </c>
      <c r="Y492" s="292">
        <v>33667.040000000001</v>
      </c>
      <c r="Z492" s="292">
        <v>36031.82</v>
      </c>
      <c r="AA492" s="290">
        <v>36860.55186</v>
      </c>
      <c r="AB492" s="285">
        <v>36572.297299999998</v>
      </c>
      <c r="AC492" s="290">
        <v>2779.12</v>
      </c>
      <c r="AD492" s="192">
        <v>12</v>
      </c>
      <c r="AE492" s="290">
        <v>3000</v>
      </c>
      <c r="AF492" s="194">
        <v>36349.440000000002</v>
      </c>
    </row>
    <row r="493" spans="1:34" x14ac:dyDescent="0.3">
      <c r="A493" s="192">
        <v>5832</v>
      </c>
      <c r="B493" s="192">
        <v>81</v>
      </c>
      <c r="C493" s="192">
        <v>7800</v>
      </c>
      <c r="D493" s="192" t="s">
        <v>1546</v>
      </c>
      <c r="E493" s="192">
        <v>5746004</v>
      </c>
      <c r="F493" s="192" t="s">
        <v>1554</v>
      </c>
      <c r="G493" s="290">
        <v>0.34</v>
      </c>
      <c r="H493" s="192">
        <v>1946.7</v>
      </c>
      <c r="I493" s="192">
        <v>124.28</v>
      </c>
      <c r="J493" s="192">
        <v>16.52</v>
      </c>
      <c r="K493" s="192">
        <v>0</v>
      </c>
      <c r="L493" s="192">
        <v>0</v>
      </c>
      <c r="M493" s="192">
        <v>0</v>
      </c>
      <c r="N493" s="192">
        <v>36.5</v>
      </c>
      <c r="O493" s="192">
        <v>2124</v>
      </c>
      <c r="P493" s="192">
        <v>80.81</v>
      </c>
      <c r="Q493" s="192">
        <v>170.55</v>
      </c>
      <c r="R493" s="192">
        <v>0</v>
      </c>
      <c r="S493" s="285">
        <v>0.34</v>
      </c>
      <c r="T493" s="192">
        <v>437.55</v>
      </c>
      <c r="U493" s="291">
        <v>2812.91</v>
      </c>
      <c r="V493" s="291">
        <v>2812.91</v>
      </c>
      <c r="W493" s="292">
        <v>25890.48</v>
      </c>
      <c r="X493" s="292">
        <v>33754.92</v>
      </c>
      <c r="Y493" s="292">
        <v>30998.120000000003</v>
      </c>
      <c r="Z493" s="292">
        <v>616.21</v>
      </c>
      <c r="AA493" s="290">
        <v>0</v>
      </c>
      <c r="AB493" s="285">
        <v>625.45314999999994</v>
      </c>
      <c r="AC493" s="290">
        <v>2157.54</v>
      </c>
      <c r="AD493" s="192">
        <v>12</v>
      </c>
      <c r="AE493" s="290">
        <v>2000</v>
      </c>
      <c r="AF493" s="194">
        <v>27890.48</v>
      </c>
    </row>
    <row r="494" spans="1:34" x14ac:dyDescent="0.3">
      <c r="A494" s="192">
        <v>5832</v>
      </c>
      <c r="B494" s="192">
        <v>81</v>
      </c>
      <c r="C494" s="192">
        <v>7800</v>
      </c>
      <c r="D494" s="192" t="s">
        <v>1546</v>
      </c>
      <c r="E494" s="192">
        <v>5753799</v>
      </c>
      <c r="F494" s="192" t="s">
        <v>1555</v>
      </c>
      <c r="G494" s="290">
        <v>0.57499999999999996</v>
      </c>
      <c r="H494" s="192">
        <v>3174.54</v>
      </c>
      <c r="I494" s="192">
        <v>200.56</v>
      </c>
      <c r="J494" s="192">
        <v>20.96</v>
      </c>
      <c r="K494" s="192">
        <v>0</v>
      </c>
      <c r="L494" s="192">
        <v>0</v>
      </c>
      <c r="M494" s="192">
        <v>0</v>
      </c>
      <c r="N494" s="192">
        <v>0</v>
      </c>
      <c r="O494" s="192">
        <v>3396.06</v>
      </c>
      <c r="P494" s="192">
        <v>126</v>
      </c>
      <c r="Q494" s="192">
        <v>265.95</v>
      </c>
      <c r="R494" s="192">
        <v>0</v>
      </c>
      <c r="S494" s="285">
        <v>0.57499999999999996</v>
      </c>
      <c r="T494" s="192">
        <v>435.64</v>
      </c>
      <c r="U494" s="291">
        <v>4223.6499999999996</v>
      </c>
      <c r="V494" s="291">
        <v>4223.6499999999996</v>
      </c>
      <c r="W494" s="292">
        <v>49104.72</v>
      </c>
      <c r="X494" s="292">
        <v>50683.799999999996</v>
      </c>
      <c r="Y494" s="292">
        <v>49677.279999999999</v>
      </c>
      <c r="Z494" s="292">
        <v>8358.44</v>
      </c>
      <c r="AA494" s="290">
        <v>0</v>
      </c>
      <c r="AB494" s="285">
        <v>0</v>
      </c>
      <c r="AC494" s="290">
        <v>4092.06</v>
      </c>
      <c r="AD494" s="192">
        <v>12</v>
      </c>
      <c r="AE494" s="290">
        <v>4000</v>
      </c>
      <c r="AF494" s="194">
        <v>53104.72</v>
      </c>
    </row>
    <row r="495" spans="1:34" x14ac:dyDescent="0.3">
      <c r="A495" s="192">
        <v>5832</v>
      </c>
      <c r="B495" s="192">
        <v>81</v>
      </c>
      <c r="C495" s="192">
        <v>7800</v>
      </c>
      <c r="D495" s="192" t="s">
        <v>1546</v>
      </c>
      <c r="E495" s="192">
        <v>5789805</v>
      </c>
      <c r="F495" s="192" t="s">
        <v>1385</v>
      </c>
      <c r="G495" s="290">
        <v>0.25</v>
      </c>
      <c r="H495" s="192">
        <v>1484.93</v>
      </c>
      <c r="I495" s="192">
        <v>93.13</v>
      </c>
      <c r="J495" s="192">
        <v>0</v>
      </c>
      <c r="K495" s="192">
        <v>0</v>
      </c>
      <c r="L495" s="192">
        <v>0</v>
      </c>
      <c r="M495" s="192">
        <v>0</v>
      </c>
      <c r="N495" s="192">
        <v>0</v>
      </c>
      <c r="O495" s="192">
        <v>1578.06</v>
      </c>
      <c r="P495" s="192">
        <v>0</v>
      </c>
      <c r="Q495" s="192">
        <v>0</v>
      </c>
      <c r="R495" s="192">
        <v>0</v>
      </c>
      <c r="S495" s="285">
        <v>0.25</v>
      </c>
      <c r="T495" s="192">
        <v>0</v>
      </c>
      <c r="U495" s="291">
        <v>1578.06</v>
      </c>
      <c r="V495" s="291">
        <v>1578.06</v>
      </c>
      <c r="W495" s="292">
        <v>65029.919999999998</v>
      </c>
      <c r="X495" s="292">
        <v>18936.72</v>
      </c>
      <c r="Y495" s="292">
        <v>66159.399999999994</v>
      </c>
      <c r="Z495" s="292">
        <v>93334.1</v>
      </c>
      <c r="AA495" s="290">
        <v>96417.095279999994</v>
      </c>
      <c r="AB495" s="285">
        <v>95663.100399999996</v>
      </c>
      <c r="AC495" s="290">
        <v>9411.2999999999993</v>
      </c>
      <c r="AD495" s="192">
        <v>12</v>
      </c>
      <c r="AE495" s="290">
        <v>9000</v>
      </c>
      <c r="AF495" s="194">
        <v>121935.59999999999</v>
      </c>
    </row>
    <row r="496" spans="1:34" x14ac:dyDescent="0.3">
      <c r="A496" s="192">
        <v>5832</v>
      </c>
      <c r="B496" s="192">
        <v>81</v>
      </c>
      <c r="C496" s="192">
        <v>7800</v>
      </c>
      <c r="D496" s="192" t="s">
        <v>1546</v>
      </c>
      <c r="E496" s="192">
        <v>5836771</v>
      </c>
      <c r="F496" s="192" t="s">
        <v>1556</v>
      </c>
      <c r="G496" s="290">
        <v>0.34</v>
      </c>
      <c r="H496" s="192">
        <v>1500.28</v>
      </c>
      <c r="I496" s="192">
        <v>124.37</v>
      </c>
      <c r="J496" s="192">
        <v>16.52</v>
      </c>
      <c r="K496" s="192">
        <v>0</v>
      </c>
      <c r="L496" s="192">
        <v>0</v>
      </c>
      <c r="M496" s="192">
        <v>0</v>
      </c>
      <c r="N496" s="192">
        <v>36.5</v>
      </c>
      <c r="O496" s="192">
        <v>1677.67</v>
      </c>
      <c r="P496" s="192">
        <v>65</v>
      </c>
      <c r="Q496" s="192">
        <v>137.08000000000001</v>
      </c>
      <c r="R496" s="192">
        <v>0</v>
      </c>
      <c r="S496" s="285">
        <v>0.34</v>
      </c>
      <c r="T496" s="192">
        <v>341.18</v>
      </c>
      <c r="U496" s="291">
        <v>2220.9299999999998</v>
      </c>
      <c r="V496" s="291">
        <v>2220.9299999999998</v>
      </c>
      <c r="W496" s="292">
        <v>31795.919999999998</v>
      </c>
      <c r="X496" s="292">
        <v>26651.159999999996</v>
      </c>
      <c r="Y496" s="292">
        <v>30602.04</v>
      </c>
      <c r="Z496" s="292">
        <v>31650.04</v>
      </c>
      <c r="AA496" s="290">
        <v>33607.943819999993</v>
      </c>
      <c r="AB496" s="285">
        <v>33345.12509999999</v>
      </c>
      <c r="AC496" s="290">
        <v>2649.66</v>
      </c>
      <c r="AD496" s="192">
        <v>12</v>
      </c>
      <c r="AE496" s="290">
        <v>2500</v>
      </c>
      <c r="AF496" s="194">
        <v>34295.919999999998</v>
      </c>
    </row>
    <row r="497" spans="1:34" x14ac:dyDescent="0.3">
      <c r="A497" s="192">
        <v>5832</v>
      </c>
      <c r="B497" s="192">
        <v>81</v>
      </c>
      <c r="C497" s="192">
        <v>7800</v>
      </c>
      <c r="D497" s="192" t="s">
        <v>1546</v>
      </c>
      <c r="E497" s="192">
        <v>6212773</v>
      </c>
      <c r="F497" s="192" t="s">
        <v>1557</v>
      </c>
      <c r="G497" s="290">
        <v>0</v>
      </c>
      <c r="H497" s="192">
        <v>221.25</v>
      </c>
      <c r="I497" s="192">
        <v>0</v>
      </c>
      <c r="J497" s="192">
        <v>0</v>
      </c>
      <c r="K497" s="192">
        <v>0</v>
      </c>
      <c r="L497" s="192">
        <v>0</v>
      </c>
      <c r="M497" s="192">
        <v>0</v>
      </c>
      <c r="N497" s="192">
        <v>0</v>
      </c>
      <c r="O497" s="192">
        <v>221.25</v>
      </c>
      <c r="P497" s="192">
        <v>2</v>
      </c>
      <c r="Q497" s="192">
        <v>27.84</v>
      </c>
      <c r="R497" s="192">
        <v>0</v>
      </c>
      <c r="S497" s="285">
        <v>0</v>
      </c>
      <c r="T497" s="192">
        <v>0</v>
      </c>
      <c r="U497" s="291">
        <v>251.09</v>
      </c>
      <c r="V497" s="291">
        <v>251.09</v>
      </c>
      <c r="W497" s="292">
        <v>3056.3999999999996</v>
      </c>
      <c r="X497" s="292">
        <v>3013.08</v>
      </c>
      <c r="Y497" s="292">
        <v>2023.1599999999999</v>
      </c>
      <c r="Z497" s="292">
        <v>2659.82</v>
      </c>
      <c r="AA497" s="290">
        <v>1564.1669999999999</v>
      </c>
      <c r="AB497" s="285">
        <v>1551.9349999999999</v>
      </c>
      <c r="AC497" s="290">
        <v>254.7</v>
      </c>
      <c r="AD497" s="192">
        <v>12</v>
      </c>
      <c r="AE497" s="290">
        <v>1000</v>
      </c>
      <c r="AF497" s="194">
        <v>4056.3999999999996</v>
      </c>
    </row>
    <row r="498" spans="1:34" x14ac:dyDescent="0.3">
      <c r="A498" s="192">
        <v>5832</v>
      </c>
      <c r="B498" s="192">
        <v>81</v>
      </c>
      <c r="C498" s="192">
        <v>7800</v>
      </c>
      <c r="D498" s="192" t="s">
        <v>1546</v>
      </c>
      <c r="E498" s="192">
        <v>6246088</v>
      </c>
      <c r="F498" s="192" t="s">
        <v>1558</v>
      </c>
      <c r="G498" s="290">
        <v>1</v>
      </c>
      <c r="H498" s="192">
        <v>4933.55</v>
      </c>
      <c r="I498" s="192">
        <v>820.76</v>
      </c>
      <c r="J498" s="192">
        <v>48.6</v>
      </c>
      <c r="K498" s="192">
        <v>0</v>
      </c>
      <c r="L498" s="192">
        <v>0</v>
      </c>
      <c r="M498" s="192">
        <v>0</v>
      </c>
      <c r="N498" s="192">
        <v>1261.9000000000001</v>
      </c>
      <c r="O498" s="192">
        <v>7064.81</v>
      </c>
      <c r="P498" s="192">
        <v>46</v>
      </c>
      <c r="Q498" s="192">
        <v>530.15</v>
      </c>
      <c r="R498" s="192">
        <v>0</v>
      </c>
      <c r="S498" s="285">
        <v>1</v>
      </c>
      <c r="T498" s="192">
        <v>1205.43</v>
      </c>
      <c r="U498" s="291">
        <v>8846.39</v>
      </c>
      <c r="V498" s="291">
        <v>8846.39</v>
      </c>
      <c r="W498" s="292">
        <v>118403.16</v>
      </c>
      <c r="X498" s="292">
        <v>106156.68</v>
      </c>
      <c r="Y498" s="292">
        <v>118964.56</v>
      </c>
      <c r="Z498" s="292">
        <v>119402.29</v>
      </c>
      <c r="AA498" s="290">
        <v>124850.85854999999</v>
      </c>
      <c r="AB498" s="285">
        <v>123874.50774999999</v>
      </c>
      <c r="AC498" s="290">
        <v>9866.93</v>
      </c>
      <c r="AD498" s="192">
        <v>12</v>
      </c>
      <c r="AE498" s="290">
        <v>10000</v>
      </c>
      <c r="AF498" s="194">
        <v>128403.16</v>
      </c>
    </row>
    <row r="499" spans="1:34" x14ac:dyDescent="0.3">
      <c r="A499" s="192">
        <v>5832</v>
      </c>
      <c r="B499" s="192">
        <v>81</v>
      </c>
      <c r="C499" s="192">
        <v>7800</v>
      </c>
      <c r="D499" s="192" t="s">
        <v>1546</v>
      </c>
      <c r="E499" s="192">
        <v>6737625</v>
      </c>
      <c r="F499" s="192" t="s">
        <v>1559</v>
      </c>
      <c r="G499" s="290">
        <v>1</v>
      </c>
      <c r="H499" s="192">
        <v>5771.02</v>
      </c>
      <c r="I499" s="192">
        <v>3096.85</v>
      </c>
      <c r="J499" s="192">
        <v>48.6</v>
      </c>
      <c r="K499" s="192">
        <v>0</v>
      </c>
      <c r="L499" s="192">
        <v>0</v>
      </c>
      <c r="M499" s="192">
        <v>0</v>
      </c>
      <c r="N499" s="192">
        <v>1653.3</v>
      </c>
      <c r="O499" s="192">
        <v>10569.77</v>
      </c>
      <c r="P499" s="192">
        <v>547</v>
      </c>
      <c r="Q499" s="192">
        <v>792.73</v>
      </c>
      <c r="R499" s="192">
        <v>0</v>
      </c>
      <c r="S499" s="285">
        <v>1</v>
      </c>
      <c r="T499" s="192">
        <v>1760.69</v>
      </c>
      <c r="U499" s="291">
        <v>13670.19</v>
      </c>
      <c r="V499" s="291">
        <v>13670.19</v>
      </c>
      <c r="W499" s="292">
        <v>154212.84</v>
      </c>
      <c r="X499" s="292">
        <v>164042.28</v>
      </c>
      <c r="Y499" s="292">
        <v>160435.76</v>
      </c>
      <c r="Z499" s="292">
        <v>157232.76</v>
      </c>
      <c r="AA499" s="290">
        <v>162438.34398000001</v>
      </c>
      <c r="AB499" s="285">
        <v>161168.0539</v>
      </c>
      <c r="AC499" s="290">
        <v>8000</v>
      </c>
      <c r="AD499" s="192">
        <v>12</v>
      </c>
      <c r="AE499" s="290">
        <v>10000</v>
      </c>
      <c r="AF499" s="194">
        <v>106000</v>
      </c>
    </row>
    <row r="500" spans="1:34" x14ac:dyDescent="0.3">
      <c r="A500" s="192">
        <v>5832</v>
      </c>
      <c r="B500" s="192">
        <v>81</v>
      </c>
      <c r="C500" s="192">
        <v>7800</v>
      </c>
      <c r="D500" s="192" t="s">
        <v>1546</v>
      </c>
      <c r="E500" s="192">
        <v>32151948</v>
      </c>
      <c r="F500" s="192" t="s">
        <v>1560</v>
      </c>
      <c r="G500" s="290">
        <v>0.45100000000000001</v>
      </c>
      <c r="H500" s="192">
        <v>2476.8000000000002</v>
      </c>
      <c r="I500" s="192">
        <v>156.87</v>
      </c>
      <c r="J500" s="192">
        <v>16.440000000000001</v>
      </c>
      <c r="K500" s="192">
        <v>0</v>
      </c>
      <c r="L500" s="192">
        <v>0</v>
      </c>
      <c r="M500" s="192">
        <v>0</v>
      </c>
      <c r="N500" s="192">
        <v>0</v>
      </c>
      <c r="O500" s="192">
        <v>2650.11</v>
      </c>
      <c r="P500" s="192">
        <v>99</v>
      </c>
      <c r="Q500" s="192">
        <v>210.01</v>
      </c>
      <c r="R500" s="192">
        <v>0</v>
      </c>
      <c r="S500" s="285">
        <v>0.45100000000000001</v>
      </c>
      <c r="T500" s="192">
        <v>355.55</v>
      </c>
      <c r="U500" s="291">
        <v>3314.67</v>
      </c>
      <c r="V500" s="291">
        <v>3314.67</v>
      </c>
      <c r="W500" s="292">
        <v>22355.52</v>
      </c>
      <c r="X500" s="292">
        <v>39776.04</v>
      </c>
      <c r="Y500" s="292">
        <v>36033.440000000002</v>
      </c>
      <c r="Z500" s="292">
        <v>15007.97</v>
      </c>
      <c r="AA500" s="290">
        <v>15633.15864</v>
      </c>
      <c r="AB500" s="285">
        <v>15510.905199999999</v>
      </c>
      <c r="AC500" s="290">
        <v>1862.96</v>
      </c>
      <c r="AD500" s="192">
        <v>12</v>
      </c>
      <c r="AE500" s="290">
        <v>2000</v>
      </c>
      <c r="AF500" s="194">
        <v>24355.52</v>
      </c>
    </row>
    <row r="501" spans="1:34" x14ac:dyDescent="0.3">
      <c r="A501" s="192">
        <v>5832</v>
      </c>
      <c r="B501" s="192">
        <v>81</v>
      </c>
      <c r="C501" s="192">
        <v>7800</v>
      </c>
      <c r="D501" s="192" t="s">
        <v>1546</v>
      </c>
      <c r="E501" s="192">
        <v>32154885</v>
      </c>
      <c r="F501" s="192" t="s">
        <v>1561</v>
      </c>
      <c r="G501" s="290">
        <v>0.34</v>
      </c>
      <c r="H501" s="192">
        <v>1865.24</v>
      </c>
      <c r="I501" s="192">
        <v>118.2</v>
      </c>
      <c r="J501" s="192">
        <v>12.39</v>
      </c>
      <c r="K501" s="192">
        <v>0</v>
      </c>
      <c r="L501" s="192">
        <v>0</v>
      </c>
      <c r="M501" s="192">
        <v>0</v>
      </c>
      <c r="N501" s="192">
        <v>0</v>
      </c>
      <c r="O501" s="192">
        <v>1995.83</v>
      </c>
      <c r="P501" s="192">
        <v>76</v>
      </c>
      <c r="Q501" s="192">
        <v>160.94</v>
      </c>
      <c r="R501" s="192">
        <v>0</v>
      </c>
      <c r="S501" s="285">
        <v>0.34</v>
      </c>
      <c r="T501" s="192">
        <v>267.77</v>
      </c>
      <c r="U501" s="291">
        <v>2500.54</v>
      </c>
      <c r="V501" s="291">
        <v>2500.54</v>
      </c>
      <c r="W501" s="292">
        <v>29294.159999999996</v>
      </c>
      <c r="X501" s="292">
        <v>30006.48</v>
      </c>
      <c r="Y501" s="292">
        <v>29638.92</v>
      </c>
      <c r="Z501" s="292">
        <v>14545.01</v>
      </c>
      <c r="AA501" s="290">
        <v>14879.545229999998</v>
      </c>
      <c r="AB501" s="285">
        <v>14763.185149999998</v>
      </c>
      <c r="AC501" s="290">
        <v>2441.1799999999998</v>
      </c>
      <c r="AD501" s="192">
        <v>12</v>
      </c>
      <c r="AE501" s="290">
        <v>2000</v>
      </c>
      <c r="AF501" s="194">
        <v>31294.159999999996</v>
      </c>
    </row>
    <row r="502" spans="1:34" s="196" customFormat="1" ht="17.25" customHeight="1" x14ac:dyDescent="0.3">
      <c r="G502" s="288">
        <f>SUM(G483:G501)</f>
        <v>8.6660000000000004</v>
      </c>
      <c r="H502" s="288">
        <f t="shared" ref="H502:AF502" si="49">SUM(H483:H501)</f>
        <v>46005.909999999996</v>
      </c>
      <c r="I502" s="288">
        <f t="shared" si="49"/>
        <v>10105.910000000002</v>
      </c>
      <c r="J502" s="288">
        <f t="shared" si="49"/>
        <v>499.11999999999989</v>
      </c>
      <c r="K502" s="288">
        <f t="shared" si="49"/>
        <v>0</v>
      </c>
      <c r="L502" s="288">
        <f t="shared" si="49"/>
        <v>0</v>
      </c>
      <c r="M502" s="288">
        <f t="shared" si="49"/>
        <v>0</v>
      </c>
      <c r="N502" s="288">
        <f t="shared" si="49"/>
        <v>5638.8</v>
      </c>
      <c r="O502" s="288">
        <f t="shared" si="49"/>
        <v>62249.739999999991</v>
      </c>
      <c r="P502" s="288">
        <f t="shared" si="49"/>
        <v>2258.66</v>
      </c>
      <c r="Q502" s="288">
        <f t="shared" si="49"/>
        <v>4545.95</v>
      </c>
      <c r="R502" s="288">
        <f t="shared" si="49"/>
        <v>0</v>
      </c>
      <c r="S502" s="288">
        <f t="shared" si="49"/>
        <v>8.6660000000000004</v>
      </c>
      <c r="T502" s="288">
        <f t="shared" si="49"/>
        <v>10242.370000000001</v>
      </c>
      <c r="U502" s="288">
        <f t="shared" si="49"/>
        <v>79296.719999999987</v>
      </c>
      <c r="V502" s="288">
        <f t="shared" si="49"/>
        <v>79296.719999999987</v>
      </c>
      <c r="W502" s="288">
        <f t="shared" si="49"/>
        <v>1041537.0000000002</v>
      </c>
      <c r="X502" s="288">
        <f t="shared" si="49"/>
        <v>951560.6399999999</v>
      </c>
      <c r="Y502" s="288">
        <f t="shared" si="49"/>
        <v>1063187.04</v>
      </c>
      <c r="Z502" s="288">
        <f t="shared" si="49"/>
        <v>920099.9</v>
      </c>
      <c r="AA502" s="288">
        <f t="shared" si="49"/>
        <v>927615.85851000005</v>
      </c>
      <c r="AB502" s="288">
        <f t="shared" si="49"/>
        <v>928645.13979999989</v>
      </c>
      <c r="AC502" s="288">
        <f t="shared" si="49"/>
        <v>82958.500000000015</v>
      </c>
      <c r="AD502" s="288">
        <f t="shared" si="49"/>
        <v>228</v>
      </c>
      <c r="AE502" s="288">
        <f t="shared" si="49"/>
        <v>87500</v>
      </c>
      <c r="AF502" s="288">
        <f t="shared" si="49"/>
        <v>1083002</v>
      </c>
      <c r="AG502" s="196" t="s">
        <v>1562</v>
      </c>
      <c r="AH502" s="288"/>
    </row>
    <row r="503" spans="1:34" x14ac:dyDescent="0.3">
      <c r="W503" s="292"/>
      <c r="X503" s="292"/>
      <c r="Y503" s="292"/>
      <c r="Z503" s="292"/>
      <c r="AA503" s="290"/>
      <c r="AB503" s="285"/>
      <c r="AC503" s="290"/>
      <c r="AE503" s="290"/>
      <c r="AF503" s="194"/>
    </row>
    <row r="504" spans="1:34" x14ac:dyDescent="0.3">
      <c r="A504" s="192">
        <v>5832</v>
      </c>
      <c r="B504" s="192">
        <v>81</v>
      </c>
      <c r="C504" s="192">
        <v>7810</v>
      </c>
      <c r="D504" s="192" t="s">
        <v>1390</v>
      </c>
      <c r="E504" s="192">
        <v>2200415</v>
      </c>
      <c r="F504" s="192" t="s">
        <v>1563</v>
      </c>
      <c r="G504" s="290">
        <v>0.42</v>
      </c>
      <c r="H504" s="192">
        <v>1429.2</v>
      </c>
      <c r="I504" s="192">
        <v>159.80000000000001</v>
      </c>
      <c r="J504" s="192">
        <v>20.41</v>
      </c>
      <c r="K504" s="192">
        <v>0</v>
      </c>
      <c r="L504" s="192">
        <v>0</v>
      </c>
      <c r="M504" s="192">
        <v>0</v>
      </c>
      <c r="N504" s="192">
        <v>36.5</v>
      </c>
      <c r="O504" s="192">
        <v>1645.91</v>
      </c>
      <c r="P504" s="192">
        <v>59</v>
      </c>
      <c r="Q504" s="192">
        <v>123.44</v>
      </c>
      <c r="R504" s="192">
        <v>0</v>
      </c>
      <c r="S504" s="285">
        <v>0.42</v>
      </c>
      <c r="T504" s="192">
        <v>358.8</v>
      </c>
      <c r="U504" s="291">
        <v>2187.15</v>
      </c>
      <c r="V504" s="291">
        <v>2187.15</v>
      </c>
      <c r="W504" s="292">
        <v>44056.800000000003</v>
      </c>
      <c r="X504" s="292">
        <v>26245.800000000003</v>
      </c>
      <c r="Y504" s="292">
        <v>40756.04</v>
      </c>
      <c r="Z504" s="292">
        <v>26215.74</v>
      </c>
      <c r="AA504" s="290">
        <v>27631.976789999997</v>
      </c>
      <c r="AB504" s="285">
        <v>27415.890949999997</v>
      </c>
      <c r="AC504" s="290">
        <v>3671.4</v>
      </c>
      <c r="AD504" s="192">
        <v>12</v>
      </c>
      <c r="AE504" s="290">
        <v>3000</v>
      </c>
      <c r="AF504" s="194">
        <v>47056.800000000003</v>
      </c>
    </row>
    <row r="505" spans="1:34" x14ac:dyDescent="0.3">
      <c r="A505" s="192">
        <v>5832</v>
      </c>
      <c r="B505" s="192">
        <v>81</v>
      </c>
      <c r="C505" s="192">
        <v>7810</v>
      </c>
      <c r="D505" s="192" t="s">
        <v>1390</v>
      </c>
      <c r="E505" s="192">
        <v>2416438</v>
      </c>
      <c r="F505" s="192" t="s">
        <v>1564</v>
      </c>
      <c r="G505" s="290">
        <v>0.55000000000000004</v>
      </c>
      <c r="H505" s="192">
        <v>3151.38</v>
      </c>
      <c r="I505" s="192">
        <v>195.58</v>
      </c>
      <c r="J505" s="192">
        <v>169.05</v>
      </c>
      <c r="K505" s="192">
        <v>0</v>
      </c>
      <c r="L505" s="192">
        <v>0</v>
      </c>
      <c r="M505" s="192">
        <v>0</v>
      </c>
      <c r="N505" s="192">
        <v>0</v>
      </c>
      <c r="O505" s="192">
        <v>3516.01</v>
      </c>
      <c r="P505" s="192">
        <v>125</v>
      </c>
      <c r="Q505" s="192">
        <v>263.7</v>
      </c>
      <c r="R505" s="192">
        <v>0</v>
      </c>
      <c r="S505" s="285">
        <v>0.55000000000000004</v>
      </c>
      <c r="T505" s="192">
        <v>730.74</v>
      </c>
      <c r="U505" s="291">
        <v>4635.45</v>
      </c>
      <c r="V505" s="291">
        <v>4635.45</v>
      </c>
      <c r="W505" s="292">
        <v>54711.360000000001</v>
      </c>
      <c r="X505" s="292">
        <v>55625.399999999994</v>
      </c>
      <c r="Y505" s="292">
        <v>55209.64</v>
      </c>
      <c r="Z505" s="292">
        <v>1377.82</v>
      </c>
      <c r="AA505" s="290">
        <v>0</v>
      </c>
      <c r="AB505" s="285">
        <v>1398.4872999999998</v>
      </c>
      <c r="AC505" s="290">
        <v>4559.28</v>
      </c>
      <c r="AD505" s="192">
        <v>12</v>
      </c>
      <c r="AE505" s="290">
        <v>4000</v>
      </c>
      <c r="AF505" s="194">
        <v>58711.360000000001</v>
      </c>
    </row>
    <row r="506" spans="1:34" x14ac:dyDescent="0.3">
      <c r="A506" s="192">
        <v>5832</v>
      </c>
      <c r="B506" s="192">
        <v>81</v>
      </c>
      <c r="C506" s="192">
        <v>7810</v>
      </c>
      <c r="D506" s="192" t="s">
        <v>1390</v>
      </c>
      <c r="E506" s="192">
        <v>2418754</v>
      </c>
      <c r="F506" s="192" t="s">
        <v>1565</v>
      </c>
      <c r="G506" s="290">
        <v>0.65600000000000003</v>
      </c>
      <c r="H506" s="192">
        <v>4144.13</v>
      </c>
      <c r="I506" s="192">
        <v>252.33</v>
      </c>
      <c r="J506" s="192">
        <v>180.88</v>
      </c>
      <c r="K506" s="192">
        <v>0</v>
      </c>
      <c r="L506" s="192">
        <v>0</v>
      </c>
      <c r="M506" s="192">
        <v>0</v>
      </c>
      <c r="N506" s="192">
        <v>36.5</v>
      </c>
      <c r="O506" s="192">
        <v>4613.84</v>
      </c>
      <c r="P506" s="192">
        <v>164</v>
      </c>
      <c r="Q506" s="192">
        <v>346.04</v>
      </c>
      <c r="R506" s="192">
        <v>0</v>
      </c>
      <c r="S506" s="285">
        <v>0.65600000000000003</v>
      </c>
      <c r="T506" s="192">
        <v>964.49</v>
      </c>
      <c r="U506" s="291">
        <v>6088.37</v>
      </c>
      <c r="V506" s="291">
        <v>6088.37</v>
      </c>
      <c r="W506" s="292">
        <v>71775.600000000006</v>
      </c>
      <c r="X506" s="292">
        <v>73060.44</v>
      </c>
      <c r="Y506" s="292">
        <v>71720.800000000003</v>
      </c>
      <c r="Z506" s="292">
        <v>2385.8200000000002</v>
      </c>
      <c r="AA506" s="290">
        <v>82188.689549999996</v>
      </c>
      <c r="AB506" s="285">
        <v>81545.962749999992</v>
      </c>
      <c r="AC506" s="290">
        <v>5981.3</v>
      </c>
      <c r="AD506" s="192">
        <v>12</v>
      </c>
      <c r="AE506" s="290">
        <v>5000</v>
      </c>
      <c r="AF506" s="194">
        <v>76775.600000000006</v>
      </c>
    </row>
    <row r="507" spans="1:34" x14ac:dyDescent="0.3">
      <c r="A507" s="192">
        <v>5832</v>
      </c>
      <c r="B507" s="192">
        <v>81</v>
      </c>
      <c r="C507" s="192">
        <v>7810</v>
      </c>
      <c r="D507" s="192" t="s">
        <v>1390</v>
      </c>
      <c r="E507" s="192">
        <v>2888653</v>
      </c>
      <c r="F507" s="192" t="s">
        <v>1566</v>
      </c>
      <c r="G507" s="290">
        <v>0.76800000000000002</v>
      </c>
      <c r="H507" s="192">
        <v>4815.84</v>
      </c>
      <c r="I507" s="192">
        <v>294.49</v>
      </c>
      <c r="J507" s="192">
        <v>186.32</v>
      </c>
      <c r="K507" s="192">
        <v>0</v>
      </c>
      <c r="L507" s="192">
        <v>0</v>
      </c>
      <c r="M507" s="192">
        <v>0</v>
      </c>
      <c r="N507" s="192">
        <v>36.5</v>
      </c>
      <c r="O507" s="192">
        <v>5333.15</v>
      </c>
      <c r="P507" s="192">
        <v>189</v>
      </c>
      <c r="Q507" s="192">
        <v>399.99</v>
      </c>
      <c r="R507" s="192">
        <v>0</v>
      </c>
      <c r="S507" s="285">
        <v>0.76800000000000013</v>
      </c>
      <c r="T507" s="192">
        <v>1114.47</v>
      </c>
      <c r="U507" s="291">
        <v>7036.61</v>
      </c>
      <c r="V507" s="291">
        <v>7036.61</v>
      </c>
      <c r="W507" s="292">
        <v>69410.28</v>
      </c>
      <c r="X507" s="292">
        <v>84439.319999999992</v>
      </c>
      <c r="Y507" s="292">
        <v>78058.12</v>
      </c>
      <c r="Z507" s="292">
        <v>15285.49</v>
      </c>
      <c r="AA507" s="290">
        <v>0</v>
      </c>
      <c r="AB507" s="285">
        <v>15514.772349999997</v>
      </c>
      <c r="AC507" s="290">
        <v>5784.19</v>
      </c>
      <c r="AD507" s="192">
        <v>12</v>
      </c>
      <c r="AE507" s="290">
        <v>5000</v>
      </c>
      <c r="AF507" s="194">
        <v>74410.28</v>
      </c>
    </row>
    <row r="508" spans="1:34" x14ac:dyDescent="0.3">
      <c r="A508" s="192">
        <v>5832</v>
      </c>
      <c r="B508" s="192">
        <v>81</v>
      </c>
      <c r="C508" s="192">
        <v>7810</v>
      </c>
      <c r="D508" s="192" t="s">
        <v>1390</v>
      </c>
      <c r="E508" s="192">
        <v>2932885</v>
      </c>
      <c r="F508" s="192" t="s">
        <v>1567</v>
      </c>
      <c r="G508" s="290">
        <v>0.78500000000000003</v>
      </c>
      <c r="H508" s="192">
        <v>4507.95</v>
      </c>
      <c r="I508" s="192">
        <v>295.02999999999997</v>
      </c>
      <c r="J508" s="192">
        <v>187.15</v>
      </c>
      <c r="K508" s="192">
        <v>0</v>
      </c>
      <c r="L508" s="192">
        <v>0</v>
      </c>
      <c r="M508" s="192">
        <v>0</v>
      </c>
      <c r="N508" s="192">
        <v>36.5</v>
      </c>
      <c r="O508" s="192">
        <v>5026.63</v>
      </c>
      <c r="P508" s="192">
        <v>210</v>
      </c>
      <c r="Q508" s="192">
        <v>444.75</v>
      </c>
      <c r="R508" s="192">
        <v>0</v>
      </c>
      <c r="S508" s="285">
        <v>0.78500000000000003</v>
      </c>
      <c r="T508" s="192">
        <v>1048.08</v>
      </c>
      <c r="U508" s="291">
        <v>6729.46</v>
      </c>
      <c r="V508" s="291">
        <v>6729.46</v>
      </c>
      <c r="W508" s="292">
        <v>64442.04</v>
      </c>
      <c r="X508" s="292">
        <v>80753.52</v>
      </c>
      <c r="Y508" s="292">
        <v>77023.039999999994</v>
      </c>
      <c r="Z508" s="292">
        <v>2392.3000000000002</v>
      </c>
      <c r="AA508" s="290">
        <v>70790.464469999992</v>
      </c>
      <c r="AB508" s="285">
        <v>70236.873349999994</v>
      </c>
      <c r="AC508" s="290">
        <v>5370.17</v>
      </c>
      <c r="AD508" s="192">
        <v>12</v>
      </c>
      <c r="AE508" s="290">
        <v>5000</v>
      </c>
      <c r="AF508" s="194">
        <v>69442.040000000008</v>
      </c>
    </row>
    <row r="509" spans="1:34" x14ac:dyDescent="0.3">
      <c r="A509" s="192">
        <v>5832</v>
      </c>
      <c r="B509" s="192">
        <v>81</v>
      </c>
      <c r="C509" s="192">
        <v>7810</v>
      </c>
      <c r="D509" s="192" t="s">
        <v>1390</v>
      </c>
      <c r="E509" s="192">
        <v>3615504</v>
      </c>
      <c r="F509" s="192" t="s">
        <v>1568</v>
      </c>
      <c r="G509" s="290">
        <v>0.61299999999999999</v>
      </c>
      <c r="H509" s="192">
        <v>2878.69</v>
      </c>
      <c r="I509" s="192">
        <v>219.29</v>
      </c>
      <c r="J509" s="192">
        <v>175.07</v>
      </c>
      <c r="K509" s="192">
        <v>0</v>
      </c>
      <c r="L509" s="192">
        <v>0</v>
      </c>
      <c r="M509" s="192">
        <v>0</v>
      </c>
      <c r="N509" s="192">
        <v>194.32</v>
      </c>
      <c r="O509" s="192">
        <v>3467.37</v>
      </c>
      <c r="P509" s="192">
        <v>128</v>
      </c>
      <c r="Q509" s="192">
        <v>271.3</v>
      </c>
      <c r="R509" s="192">
        <v>0</v>
      </c>
      <c r="S509" s="285">
        <v>0.61299999999999999</v>
      </c>
      <c r="T509" s="192">
        <v>443.57</v>
      </c>
      <c r="U509" s="291">
        <v>4310.24</v>
      </c>
      <c r="V509" s="291">
        <v>4310.24</v>
      </c>
      <c r="W509" s="292">
        <v>59877.96</v>
      </c>
      <c r="X509" s="292">
        <v>51722.879999999997</v>
      </c>
      <c r="Y509" s="292">
        <v>52353.64</v>
      </c>
      <c r="Z509" s="292">
        <v>19879.080000000002</v>
      </c>
      <c r="AA509" s="290">
        <v>20336.298839999999</v>
      </c>
      <c r="AB509" s="285">
        <v>20177.266199999998</v>
      </c>
      <c r="AC509" s="290">
        <v>4989.83</v>
      </c>
      <c r="AD509" s="192">
        <v>12</v>
      </c>
      <c r="AE509" s="290">
        <v>5000</v>
      </c>
      <c r="AF509" s="194">
        <v>64877.96</v>
      </c>
    </row>
    <row r="510" spans="1:34" x14ac:dyDescent="0.3">
      <c r="A510" s="192">
        <v>5832</v>
      </c>
      <c r="B510" s="192">
        <v>81</v>
      </c>
      <c r="C510" s="192">
        <v>7810</v>
      </c>
      <c r="D510" s="192" t="s">
        <v>1390</v>
      </c>
      <c r="E510" s="192">
        <v>3822957</v>
      </c>
      <c r="F510" s="192" t="s">
        <v>1569</v>
      </c>
      <c r="G510" s="290">
        <v>0.752</v>
      </c>
      <c r="H510" s="192">
        <v>4358.55</v>
      </c>
      <c r="I510" s="192">
        <v>285.82</v>
      </c>
      <c r="J510" s="192">
        <v>185.55</v>
      </c>
      <c r="K510" s="192">
        <v>0</v>
      </c>
      <c r="L510" s="192">
        <v>0</v>
      </c>
      <c r="M510" s="192">
        <v>0</v>
      </c>
      <c r="N510" s="192">
        <v>36.5</v>
      </c>
      <c r="O510" s="192">
        <v>4866.42</v>
      </c>
      <c r="P510" s="192">
        <v>173</v>
      </c>
      <c r="Q510" s="192">
        <v>364.99</v>
      </c>
      <c r="R510" s="192">
        <v>0</v>
      </c>
      <c r="S510" s="285">
        <v>0.75200000000000011</v>
      </c>
      <c r="T510" s="192">
        <v>1015.04</v>
      </c>
      <c r="U510" s="291">
        <v>6419.45</v>
      </c>
      <c r="V510" s="291">
        <v>6419.45</v>
      </c>
      <c r="W510" s="292">
        <v>63873.240000000005</v>
      </c>
      <c r="X510" s="292">
        <v>77033.399999999994</v>
      </c>
      <c r="Y510" s="292">
        <v>52337.760000000009</v>
      </c>
      <c r="Z510" s="292">
        <v>63095.08</v>
      </c>
      <c r="AA510" s="290">
        <v>0</v>
      </c>
      <c r="AB510" s="285">
        <v>64041.506199999996</v>
      </c>
      <c r="AC510" s="290">
        <v>5322.77</v>
      </c>
      <c r="AD510" s="192">
        <v>12</v>
      </c>
      <c r="AE510" s="290">
        <v>5000</v>
      </c>
      <c r="AF510" s="194">
        <v>68873.240000000005</v>
      </c>
    </row>
    <row r="511" spans="1:34" x14ac:dyDescent="0.3">
      <c r="A511" s="192">
        <v>5832</v>
      </c>
      <c r="B511" s="192">
        <v>81</v>
      </c>
      <c r="C511" s="192">
        <v>7810</v>
      </c>
      <c r="D511" s="192" t="s">
        <v>1390</v>
      </c>
      <c r="E511" s="192">
        <v>3827807</v>
      </c>
      <c r="F511" s="192" t="s">
        <v>1570</v>
      </c>
      <c r="G511" s="290">
        <v>0.25</v>
      </c>
      <c r="H511" s="192">
        <v>1441.1</v>
      </c>
      <c r="I511" s="192">
        <v>89.9</v>
      </c>
      <c r="J511" s="192">
        <v>95.63</v>
      </c>
      <c r="K511" s="192">
        <v>0</v>
      </c>
      <c r="L511" s="192">
        <v>0</v>
      </c>
      <c r="M511" s="192">
        <v>0</v>
      </c>
      <c r="N511" s="192">
        <v>36.5</v>
      </c>
      <c r="O511" s="192">
        <v>1663.13</v>
      </c>
      <c r="P511" s="192">
        <v>64</v>
      </c>
      <c r="Q511" s="192">
        <v>135.97999999999999</v>
      </c>
      <c r="R511" s="192">
        <v>0</v>
      </c>
      <c r="S511" s="285">
        <v>0.25</v>
      </c>
      <c r="T511" s="192">
        <v>206.68</v>
      </c>
      <c r="U511" s="291">
        <v>2069.79</v>
      </c>
      <c r="V511" s="291">
        <v>2069.79</v>
      </c>
      <c r="W511" s="292">
        <v>24247.920000000002</v>
      </c>
      <c r="X511" s="292">
        <v>24837.48</v>
      </c>
      <c r="Y511" s="292">
        <v>24530.04</v>
      </c>
      <c r="Z511" s="292">
        <v>6926.35</v>
      </c>
      <c r="AA511" s="290">
        <v>7264.7833499999997</v>
      </c>
      <c r="AB511" s="285">
        <v>7207.9717499999997</v>
      </c>
      <c r="AC511" s="290">
        <v>2020.66</v>
      </c>
      <c r="AD511" s="192">
        <v>12</v>
      </c>
      <c r="AE511" s="290">
        <v>2000</v>
      </c>
      <c r="AF511" s="194">
        <v>26247.920000000002</v>
      </c>
    </row>
    <row r="512" spans="1:34" x14ac:dyDescent="0.3">
      <c r="A512" s="192">
        <v>5832</v>
      </c>
      <c r="B512" s="192">
        <v>81</v>
      </c>
      <c r="C512" s="192">
        <v>7810</v>
      </c>
      <c r="D512" s="192" t="s">
        <v>1390</v>
      </c>
      <c r="E512" s="192">
        <v>4004867</v>
      </c>
      <c r="F512" s="192" t="s">
        <v>1571</v>
      </c>
      <c r="G512" s="290">
        <v>0.69599999999999995</v>
      </c>
      <c r="H512" s="192">
        <v>4028.38</v>
      </c>
      <c r="I512" s="192">
        <v>251.96</v>
      </c>
      <c r="J512" s="192">
        <v>29.6</v>
      </c>
      <c r="K512" s="192">
        <v>0</v>
      </c>
      <c r="L512" s="192">
        <v>0</v>
      </c>
      <c r="M512" s="192">
        <v>0</v>
      </c>
      <c r="N512" s="192">
        <v>0</v>
      </c>
      <c r="O512" s="192">
        <v>4309.9399999999996</v>
      </c>
      <c r="P512" s="192">
        <v>153</v>
      </c>
      <c r="Q512" s="192">
        <v>323.24</v>
      </c>
      <c r="R512" s="192">
        <v>0</v>
      </c>
      <c r="S512" s="285">
        <v>0.69600000000000006</v>
      </c>
      <c r="T512" s="192">
        <v>898.86</v>
      </c>
      <c r="U512" s="291">
        <v>5685.04</v>
      </c>
      <c r="V512" s="291">
        <v>5685.04</v>
      </c>
      <c r="W512" s="292">
        <v>67374.48</v>
      </c>
      <c r="X512" s="292">
        <v>68220.479999999996</v>
      </c>
      <c r="Y512" s="292">
        <v>68067</v>
      </c>
      <c r="Z512" s="292">
        <v>1642.46</v>
      </c>
      <c r="AA512" s="290">
        <v>0</v>
      </c>
      <c r="AB512" s="285">
        <v>1667.0968999999998</v>
      </c>
      <c r="AC512" s="290">
        <v>5614.54</v>
      </c>
      <c r="AD512" s="192">
        <v>12</v>
      </c>
      <c r="AE512" s="290">
        <v>5000</v>
      </c>
      <c r="AF512" s="194">
        <v>72374.48</v>
      </c>
    </row>
    <row r="513" spans="1:34" x14ac:dyDescent="0.3">
      <c r="A513" s="192">
        <v>5832</v>
      </c>
      <c r="B513" s="192">
        <v>81</v>
      </c>
      <c r="C513" s="192">
        <v>7810</v>
      </c>
      <c r="D513" s="192" t="s">
        <v>1390</v>
      </c>
      <c r="E513" s="192">
        <v>4010632</v>
      </c>
      <c r="F513" s="192" t="s">
        <v>1572</v>
      </c>
      <c r="G513" s="290">
        <v>0.752</v>
      </c>
      <c r="H513" s="192">
        <v>4333.6099999999997</v>
      </c>
      <c r="I513" s="192">
        <v>280.77999999999997</v>
      </c>
      <c r="J513" s="192">
        <v>185.55</v>
      </c>
      <c r="K513" s="192">
        <v>0</v>
      </c>
      <c r="L513" s="192">
        <v>0</v>
      </c>
      <c r="M513" s="192">
        <v>0</v>
      </c>
      <c r="N513" s="192">
        <v>36.5</v>
      </c>
      <c r="O513" s="192">
        <v>4836.4399999999996</v>
      </c>
      <c r="P513" s="192">
        <v>172</v>
      </c>
      <c r="Q513" s="192">
        <v>362.73</v>
      </c>
      <c r="R513" s="192">
        <v>0</v>
      </c>
      <c r="S513" s="285">
        <v>0.75200000000000011</v>
      </c>
      <c r="T513" s="192">
        <v>997.31</v>
      </c>
      <c r="U513" s="291">
        <v>6368.48</v>
      </c>
      <c r="V513" s="291">
        <v>6368.48</v>
      </c>
      <c r="W513" s="292">
        <v>73574.399999999994</v>
      </c>
      <c r="X513" s="292">
        <v>76421.759999999995</v>
      </c>
      <c r="Y513" s="292">
        <v>75360.36</v>
      </c>
      <c r="Z513" s="292">
        <v>74917.17</v>
      </c>
      <c r="AA513" s="290">
        <v>76649.420759999994</v>
      </c>
      <c r="AB513" s="285">
        <v>76050.011799999993</v>
      </c>
      <c r="AC513" s="290">
        <v>6131.2</v>
      </c>
      <c r="AD513" s="192">
        <v>12</v>
      </c>
      <c r="AE513" s="290">
        <v>5000</v>
      </c>
      <c r="AF513" s="194">
        <v>78574.399999999994</v>
      </c>
    </row>
    <row r="514" spans="1:34" x14ac:dyDescent="0.3">
      <c r="A514" s="192">
        <v>5832</v>
      </c>
      <c r="B514" s="192">
        <v>81</v>
      </c>
      <c r="C514" s="192">
        <v>7810</v>
      </c>
      <c r="D514" s="192" t="s">
        <v>1390</v>
      </c>
      <c r="E514" s="192">
        <v>4060829</v>
      </c>
      <c r="F514" s="192" t="s">
        <v>1573</v>
      </c>
      <c r="G514" s="290">
        <v>0.37</v>
      </c>
      <c r="H514" s="192">
        <v>2154.9699999999998</v>
      </c>
      <c r="I514" s="192">
        <v>136.44</v>
      </c>
      <c r="J514" s="192">
        <v>61.78</v>
      </c>
      <c r="K514" s="192">
        <v>0</v>
      </c>
      <c r="L514" s="192">
        <v>0</v>
      </c>
      <c r="M514" s="192">
        <v>0</v>
      </c>
      <c r="N514" s="192">
        <v>13.51</v>
      </c>
      <c r="O514" s="192">
        <v>2366.6999999999998</v>
      </c>
      <c r="P514" s="192">
        <v>85.1</v>
      </c>
      <c r="Q514" s="192">
        <v>177.5</v>
      </c>
      <c r="R514" s="192">
        <v>0</v>
      </c>
      <c r="S514" s="285">
        <v>0.36999999999999994</v>
      </c>
      <c r="T514" s="192">
        <v>491.68</v>
      </c>
      <c r="U514" s="291">
        <v>3120.98</v>
      </c>
      <c r="V514" s="291">
        <v>3120.98</v>
      </c>
      <c r="W514" s="292">
        <v>28847.159999999996</v>
      </c>
      <c r="X514" s="292">
        <v>37451.760000000002</v>
      </c>
      <c r="Y514" s="292">
        <v>34173.440000000002</v>
      </c>
      <c r="Z514" s="292">
        <v>54989.83</v>
      </c>
      <c r="AA514" s="290">
        <v>56254.596089999999</v>
      </c>
      <c r="AB514" s="285">
        <v>55814.677449999996</v>
      </c>
      <c r="AC514" s="290">
        <v>7624.7</v>
      </c>
      <c r="AD514" s="192">
        <v>12</v>
      </c>
      <c r="AE514" s="290">
        <v>5000</v>
      </c>
      <c r="AF514" s="194">
        <v>96496.4</v>
      </c>
    </row>
    <row r="515" spans="1:34" x14ac:dyDescent="0.3">
      <c r="A515" s="192">
        <v>5832</v>
      </c>
      <c r="B515" s="192">
        <v>81</v>
      </c>
      <c r="C515" s="192">
        <v>7810</v>
      </c>
      <c r="D515" s="192" t="s">
        <v>1390</v>
      </c>
      <c r="E515" s="192">
        <v>5146453</v>
      </c>
      <c r="F515" s="192" t="s">
        <v>1574</v>
      </c>
      <c r="G515" s="290">
        <v>0.45</v>
      </c>
      <c r="H515" s="192">
        <v>2118.0500000000002</v>
      </c>
      <c r="I515" s="192">
        <v>160.97999999999999</v>
      </c>
      <c r="J515" s="192">
        <v>168.14</v>
      </c>
      <c r="K515" s="192">
        <v>0</v>
      </c>
      <c r="L515" s="192">
        <v>0</v>
      </c>
      <c r="M515" s="192">
        <v>0</v>
      </c>
      <c r="N515" s="192">
        <v>36.5</v>
      </c>
      <c r="O515" s="192">
        <v>2483.67</v>
      </c>
      <c r="P515" s="192">
        <v>12</v>
      </c>
      <c r="Q515" s="192">
        <v>197.53</v>
      </c>
      <c r="R515" s="192">
        <v>0</v>
      </c>
      <c r="S515" s="285">
        <v>0.45</v>
      </c>
      <c r="T515" s="192">
        <v>0</v>
      </c>
      <c r="U515" s="291">
        <v>2693.2</v>
      </c>
      <c r="V515" s="291">
        <v>2693.2</v>
      </c>
      <c r="W515" s="292">
        <v>36530.76</v>
      </c>
      <c r="X515" s="292">
        <v>32318.399999999998</v>
      </c>
      <c r="Y515" s="292">
        <v>36311.279999999999</v>
      </c>
      <c r="Z515" s="292">
        <v>11622.88</v>
      </c>
      <c r="AA515" s="290">
        <v>11890.20624</v>
      </c>
      <c r="AB515" s="285">
        <v>11797.2232</v>
      </c>
      <c r="AC515" s="290">
        <v>3044.23</v>
      </c>
      <c r="AD515" s="192">
        <v>12</v>
      </c>
      <c r="AE515" s="290">
        <v>5000</v>
      </c>
      <c r="AF515" s="194">
        <v>41530.76</v>
      </c>
    </row>
    <row r="516" spans="1:34" x14ac:dyDescent="0.3">
      <c r="A516" s="192">
        <v>5832</v>
      </c>
      <c r="B516" s="192">
        <v>81</v>
      </c>
      <c r="C516" s="192">
        <v>7810</v>
      </c>
      <c r="D516" s="192" t="s">
        <v>1390</v>
      </c>
      <c r="E516" s="192">
        <v>5267943</v>
      </c>
      <c r="F516" s="192" t="s">
        <v>1575</v>
      </c>
      <c r="G516" s="290">
        <v>0.81</v>
      </c>
      <c r="H516" s="192">
        <v>4731.26</v>
      </c>
      <c r="I516" s="192">
        <v>304.64999999999998</v>
      </c>
      <c r="J516" s="192">
        <v>188.37</v>
      </c>
      <c r="K516" s="192">
        <v>0</v>
      </c>
      <c r="L516" s="192">
        <v>0</v>
      </c>
      <c r="M516" s="192">
        <v>0</v>
      </c>
      <c r="N516" s="192">
        <v>36.5</v>
      </c>
      <c r="O516" s="192">
        <v>5260.78</v>
      </c>
      <c r="P516" s="192">
        <v>187</v>
      </c>
      <c r="Q516" s="192">
        <v>394.56</v>
      </c>
      <c r="R516" s="192">
        <v>0</v>
      </c>
      <c r="S516" s="285">
        <v>0.81</v>
      </c>
      <c r="T516" s="192">
        <v>1086.0999999999999</v>
      </c>
      <c r="U516" s="291">
        <v>6928.44</v>
      </c>
      <c r="V516" s="291">
        <v>6928.44</v>
      </c>
      <c r="W516" s="292">
        <v>84424.44</v>
      </c>
      <c r="X516" s="292">
        <v>83141.279999999999</v>
      </c>
      <c r="Y516" s="292">
        <v>83539.64</v>
      </c>
      <c r="Z516" s="292">
        <v>85499.61</v>
      </c>
      <c r="AA516" s="290">
        <v>88368.110820000002</v>
      </c>
      <c r="AB516" s="285">
        <v>87677.060100000002</v>
      </c>
      <c r="AC516" s="290">
        <v>7035.37</v>
      </c>
      <c r="AD516" s="192">
        <v>12</v>
      </c>
      <c r="AE516" s="290">
        <v>5000</v>
      </c>
      <c r="AF516" s="194">
        <v>89424.44</v>
      </c>
    </row>
    <row r="517" spans="1:34" x14ac:dyDescent="0.3">
      <c r="A517" s="192">
        <v>5832</v>
      </c>
      <c r="B517" s="192">
        <v>81</v>
      </c>
      <c r="C517" s="192">
        <v>7810</v>
      </c>
      <c r="D517" s="192" t="s">
        <v>1390</v>
      </c>
      <c r="E517" s="192">
        <v>5753910</v>
      </c>
      <c r="F517" s="192" t="s">
        <v>1576</v>
      </c>
      <c r="G517" s="290">
        <v>0.61299999999999999</v>
      </c>
      <c r="H517" s="192">
        <v>3536.01</v>
      </c>
      <c r="I517" s="192">
        <v>218.78</v>
      </c>
      <c r="J517" s="192">
        <v>171.34</v>
      </c>
      <c r="K517" s="192">
        <v>0</v>
      </c>
      <c r="L517" s="192">
        <v>0</v>
      </c>
      <c r="M517" s="192">
        <v>0</v>
      </c>
      <c r="N517" s="192">
        <v>0</v>
      </c>
      <c r="O517" s="192">
        <v>3926.13</v>
      </c>
      <c r="P517" s="192">
        <v>145</v>
      </c>
      <c r="Q517" s="192">
        <v>305.70999999999998</v>
      </c>
      <c r="R517" s="192">
        <v>0</v>
      </c>
      <c r="S517" s="285">
        <v>0.61299999999999999</v>
      </c>
      <c r="T517" s="192">
        <v>28.04</v>
      </c>
      <c r="U517" s="291">
        <v>4404.88</v>
      </c>
      <c r="V517" s="291">
        <v>4404.88</v>
      </c>
      <c r="W517" s="292">
        <v>10567.32</v>
      </c>
      <c r="X517" s="292">
        <v>52858.559999999998</v>
      </c>
      <c r="Y517" s="292">
        <v>38592.32</v>
      </c>
      <c r="Z517" s="292">
        <v>15076.57</v>
      </c>
      <c r="AA517" s="290">
        <v>16557.234539999998</v>
      </c>
      <c r="AB517" s="285">
        <v>16427.754699999998</v>
      </c>
      <c r="AC517" s="290">
        <v>880.61</v>
      </c>
      <c r="AD517" s="192">
        <v>12</v>
      </c>
      <c r="AE517" s="290">
        <v>1000</v>
      </c>
      <c r="AF517" s="194">
        <v>11567.32</v>
      </c>
    </row>
    <row r="518" spans="1:34" x14ac:dyDescent="0.3">
      <c r="A518" s="192">
        <v>5832</v>
      </c>
      <c r="B518" s="192">
        <v>81</v>
      </c>
      <c r="C518" s="192">
        <v>7810</v>
      </c>
      <c r="D518" s="192" t="s">
        <v>1390</v>
      </c>
      <c r="E518" s="192">
        <v>5789992</v>
      </c>
      <c r="F518" s="192" t="s">
        <v>1577</v>
      </c>
      <c r="G518" s="290">
        <v>0.76</v>
      </c>
      <c r="H518" s="192">
        <v>4327.8900000000003</v>
      </c>
      <c r="I518" s="192">
        <v>270.26</v>
      </c>
      <c r="J518" s="192">
        <v>176.7</v>
      </c>
      <c r="K518" s="192">
        <v>0</v>
      </c>
      <c r="L518" s="192">
        <v>0</v>
      </c>
      <c r="M518" s="192">
        <v>0</v>
      </c>
      <c r="N518" s="192">
        <v>0</v>
      </c>
      <c r="O518" s="192">
        <v>4774.8500000000004</v>
      </c>
      <c r="P518" s="192">
        <v>175</v>
      </c>
      <c r="Q518" s="192">
        <v>369.36</v>
      </c>
      <c r="R518" s="192">
        <v>0</v>
      </c>
      <c r="S518" s="285">
        <v>0.76000000000000012</v>
      </c>
      <c r="T518" s="192">
        <v>993.39</v>
      </c>
      <c r="U518" s="291">
        <v>6312.6</v>
      </c>
      <c r="V518" s="291">
        <v>6312.6</v>
      </c>
      <c r="W518" s="292">
        <v>59048.160000000003</v>
      </c>
      <c r="X518" s="292">
        <v>75751.200000000012</v>
      </c>
      <c r="Y518" s="292">
        <v>662.16</v>
      </c>
      <c r="Z518" s="292">
        <v>77263.53</v>
      </c>
      <c r="AA518" s="290">
        <v>79124.262359999993</v>
      </c>
      <c r="AB518" s="285">
        <v>78505.499800000005</v>
      </c>
      <c r="AC518" s="290">
        <v>4920.68</v>
      </c>
      <c r="AD518" s="192">
        <v>12</v>
      </c>
      <c r="AE518" s="290">
        <v>5000</v>
      </c>
      <c r="AF518" s="194">
        <v>64048.160000000003</v>
      </c>
    </row>
    <row r="519" spans="1:34" x14ac:dyDescent="0.3">
      <c r="A519" s="192">
        <v>5832</v>
      </c>
      <c r="B519" s="192">
        <v>81</v>
      </c>
      <c r="C519" s="192">
        <v>7810</v>
      </c>
      <c r="D519" s="192" t="s">
        <v>1390</v>
      </c>
      <c r="E519" s="192">
        <v>5904611</v>
      </c>
      <c r="F519" s="192" t="s">
        <v>1368</v>
      </c>
      <c r="G519" s="290">
        <v>0.24</v>
      </c>
      <c r="H519" s="192">
        <v>1408.36</v>
      </c>
      <c r="I519" s="192">
        <v>88.81</v>
      </c>
      <c r="J519" s="192">
        <v>11.66</v>
      </c>
      <c r="K519" s="192">
        <v>0</v>
      </c>
      <c r="L519" s="192">
        <v>0</v>
      </c>
      <c r="M519" s="192">
        <v>0</v>
      </c>
      <c r="N519" s="192">
        <v>0</v>
      </c>
      <c r="O519" s="192">
        <v>1508.83</v>
      </c>
      <c r="P519" s="192">
        <v>0</v>
      </c>
      <c r="Q519" s="192">
        <v>0</v>
      </c>
      <c r="R519" s="192">
        <v>0</v>
      </c>
      <c r="S519" s="285">
        <v>0.24</v>
      </c>
      <c r="T519" s="192">
        <v>0</v>
      </c>
      <c r="U519" s="291">
        <v>1508.83</v>
      </c>
      <c r="V519" s="291">
        <v>1508.83</v>
      </c>
      <c r="W519" s="292">
        <v>43416.959999999999</v>
      </c>
      <c r="X519" s="292">
        <v>18105.96</v>
      </c>
      <c r="Y519" s="292">
        <v>43799.6</v>
      </c>
      <c r="Z519" s="292">
        <v>9080.24</v>
      </c>
      <c r="AA519" s="290">
        <v>0</v>
      </c>
      <c r="AB519" s="285">
        <v>9216.4435999999987</v>
      </c>
      <c r="AC519" s="290">
        <v>6679.61</v>
      </c>
      <c r="AD519" s="192">
        <v>12</v>
      </c>
      <c r="AE519" s="290">
        <v>5000</v>
      </c>
      <c r="AF519" s="194">
        <v>85155.319999999992</v>
      </c>
    </row>
    <row r="520" spans="1:34" s="203" customFormat="1" x14ac:dyDescent="0.3">
      <c r="A520" s="203">
        <v>5832</v>
      </c>
      <c r="B520" s="203">
        <v>81</v>
      </c>
      <c r="C520" s="203">
        <v>7810</v>
      </c>
      <c r="D520" s="203" t="s">
        <v>1390</v>
      </c>
      <c r="E520" s="203">
        <v>30509461</v>
      </c>
      <c r="F520" s="203" t="s">
        <v>1578</v>
      </c>
      <c r="G520" s="298">
        <v>0.73899999999999999</v>
      </c>
      <c r="H520" s="203">
        <v>4258.01</v>
      </c>
      <c r="I520" s="203">
        <v>263.60000000000002</v>
      </c>
      <c r="J520" s="203">
        <v>175.94</v>
      </c>
      <c r="K520" s="203">
        <v>0</v>
      </c>
      <c r="L520" s="203">
        <v>0</v>
      </c>
      <c r="M520" s="203">
        <v>0</v>
      </c>
      <c r="N520" s="203">
        <v>36.5</v>
      </c>
      <c r="O520" s="203">
        <v>4734.05</v>
      </c>
      <c r="P520" s="203">
        <v>173</v>
      </c>
      <c r="Q520" s="203">
        <v>366.3</v>
      </c>
      <c r="R520" s="203">
        <v>0</v>
      </c>
      <c r="S520" s="285">
        <v>0.24633333333333332</v>
      </c>
      <c r="T520" s="203">
        <v>638.44000000000005</v>
      </c>
      <c r="U520" s="299">
        <v>5911.79</v>
      </c>
      <c r="V520" s="299">
        <v>5911.79</v>
      </c>
      <c r="W520" s="300">
        <v>69582.36</v>
      </c>
      <c r="X520" s="300">
        <v>23647.16</v>
      </c>
      <c r="Y520" s="300">
        <v>70283.759999999995</v>
      </c>
      <c r="Z520" s="300">
        <v>2977.77</v>
      </c>
      <c r="AA520" s="298">
        <v>0</v>
      </c>
      <c r="AB520" s="298">
        <v>0</v>
      </c>
      <c r="AC520" s="298">
        <v>5798.53</v>
      </c>
      <c r="AD520" s="203">
        <v>4</v>
      </c>
      <c r="AE520" s="298">
        <v>5000</v>
      </c>
      <c r="AF520" s="204">
        <v>28194.12</v>
      </c>
      <c r="AG520" s="203" t="s">
        <v>1579</v>
      </c>
    </row>
    <row r="521" spans="1:34" x14ac:dyDescent="0.3">
      <c r="A521" s="192">
        <v>5832</v>
      </c>
      <c r="B521" s="192">
        <v>81</v>
      </c>
      <c r="C521" s="192">
        <v>7810</v>
      </c>
      <c r="D521" s="192" t="s">
        <v>1390</v>
      </c>
      <c r="E521" s="192">
        <v>30571765</v>
      </c>
      <c r="F521" s="192" t="s">
        <v>1580</v>
      </c>
      <c r="G521" s="290">
        <v>1</v>
      </c>
      <c r="H521" s="192">
        <v>5491.79</v>
      </c>
      <c r="I521" s="192">
        <v>347.83</v>
      </c>
      <c r="J521" s="192">
        <v>185.45</v>
      </c>
      <c r="K521" s="192">
        <v>0</v>
      </c>
      <c r="L521" s="192">
        <v>0</v>
      </c>
      <c r="M521" s="192">
        <v>0</v>
      </c>
      <c r="N521" s="192">
        <v>531</v>
      </c>
      <c r="O521" s="192">
        <v>6556.07</v>
      </c>
      <c r="P521" s="192">
        <v>253</v>
      </c>
      <c r="Q521" s="192">
        <v>502.96</v>
      </c>
      <c r="R521" s="192">
        <v>0</v>
      </c>
      <c r="S521" s="285">
        <v>1</v>
      </c>
      <c r="T521" s="192">
        <v>815.25</v>
      </c>
      <c r="U521" s="291">
        <v>8127.28</v>
      </c>
      <c r="V521" s="291">
        <v>8127.28</v>
      </c>
      <c r="W521" s="292">
        <v>7620</v>
      </c>
      <c r="X521" s="292">
        <v>97527.360000000001</v>
      </c>
      <c r="Y521" s="292">
        <v>2540</v>
      </c>
      <c r="Z521" s="292">
        <v>1620.4</v>
      </c>
      <c r="AA521" s="290">
        <v>0</v>
      </c>
      <c r="AB521" s="285">
        <v>1644.7059999999999</v>
      </c>
      <c r="AC521" s="290">
        <v>8628.25</v>
      </c>
      <c r="AD521" s="192">
        <v>12</v>
      </c>
      <c r="AE521" s="290">
        <v>5000</v>
      </c>
      <c r="AF521" s="194">
        <v>108539</v>
      </c>
    </row>
    <row r="522" spans="1:34" x14ac:dyDescent="0.3">
      <c r="A522" s="192">
        <v>5832</v>
      </c>
      <c r="B522" s="192">
        <v>81</v>
      </c>
      <c r="C522" s="192">
        <v>7810</v>
      </c>
      <c r="D522" s="192" t="s">
        <v>1390</v>
      </c>
      <c r="E522" s="192">
        <v>31264782</v>
      </c>
      <c r="F522" s="192" t="s">
        <v>1581</v>
      </c>
      <c r="G522" s="290">
        <v>0.73089999999999999</v>
      </c>
      <c r="H522" s="192">
        <v>4155.5200000000004</v>
      </c>
      <c r="I522" s="192">
        <v>258.82</v>
      </c>
      <c r="J522" s="192">
        <v>175.64</v>
      </c>
      <c r="K522" s="192">
        <v>0</v>
      </c>
      <c r="L522" s="192">
        <v>0</v>
      </c>
      <c r="M522" s="192">
        <v>0</v>
      </c>
      <c r="N522" s="192">
        <v>0</v>
      </c>
      <c r="O522" s="192">
        <v>4589.9799999999996</v>
      </c>
      <c r="P522" s="192">
        <v>168</v>
      </c>
      <c r="Q522" s="192">
        <v>355.5</v>
      </c>
      <c r="R522" s="192">
        <v>0</v>
      </c>
      <c r="S522" s="285">
        <v>0.73089999999999999</v>
      </c>
      <c r="T522" s="192">
        <v>595.94000000000005</v>
      </c>
      <c r="U522" s="291">
        <v>5709.42</v>
      </c>
      <c r="V522" s="291">
        <v>5709.42</v>
      </c>
      <c r="W522" s="292">
        <v>41172.840000000004</v>
      </c>
      <c r="X522" s="292">
        <v>68513.040000000008</v>
      </c>
      <c r="Y522" s="292">
        <v>59197.72</v>
      </c>
      <c r="Z522" s="292">
        <v>0</v>
      </c>
      <c r="AA522" s="290">
        <v>0</v>
      </c>
      <c r="AB522" s="285">
        <v>0</v>
      </c>
      <c r="AC522" s="290">
        <v>3431.07</v>
      </c>
      <c r="AD522" s="192">
        <v>12</v>
      </c>
      <c r="AE522" s="290">
        <v>5000</v>
      </c>
      <c r="AF522" s="194">
        <v>46172.840000000004</v>
      </c>
    </row>
    <row r="523" spans="1:34" x14ac:dyDescent="0.3">
      <c r="A523" s="192">
        <v>5832</v>
      </c>
      <c r="B523" s="192">
        <v>81</v>
      </c>
      <c r="C523" s="192">
        <v>7810</v>
      </c>
      <c r="D523" s="192" t="s">
        <v>1390</v>
      </c>
      <c r="E523" s="192">
        <v>32055616</v>
      </c>
      <c r="F523" s="192" t="s">
        <v>1582</v>
      </c>
      <c r="G523" s="290">
        <v>0.95</v>
      </c>
      <c r="H523" s="192">
        <v>4955.74</v>
      </c>
      <c r="I523" s="192">
        <v>339.85</v>
      </c>
      <c r="J523" s="192">
        <v>189.4</v>
      </c>
      <c r="K523" s="192">
        <v>0</v>
      </c>
      <c r="L523" s="192">
        <v>0</v>
      </c>
      <c r="M523" s="192">
        <v>0</v>
      </c>
      <c r="N523" s="192">
        <v>301.14999999999998</v>
      </c>
      <c r="O523" s="192">
        <v>5786.14</v>
      </c>
      <c r="P523" s="192">
        <v>211</v>
      </c>
      <c r="Q523" s="192">
        <v>445.21</v>
      </c>
      <c r="R523" s="192">
        <v>0</v>
      </c>
      <c r="S523" s="285">
        <v>0.94999999999999984</v>
      </c>
      <c r="T523" s="192">
        <v>25.94</v>
      </c>
      <c r="U523" s="291">
        <v>6468.29</v>
      </c>
      <c r="V523" s="291">
        <v>6468.29</v>
      </c>
      <c r="W523" s="292">
        <v>85069.799999999988</v>
      </c>
      <c r="X523" s="292">
        <v>77619.48</v>
      </c>
      <c r="Y523" s="292">
        <v>81890.48</v>
      </c>
      <c r="Z523" s="292">
        <v>2022.14</v>
      </c>
      <c r="AA523" s="290">
        <v>26781.618269999995</v>
      </c>
      <c r="AB523" s="285">
        <v>26572.182349999995</v>
      </c>
      <c r="AC523" s="290">
        <v>7089.15</v>
      </c>
      <c r="AD523" s="192">
        <v>12</v>
      </c>
      <c r="AE523" s="290">
        <v>5000</v>
      </c>
      <c r="AF523" s="194">
        <v>90069.799999999988</v>
      </c>
    </row>
    <row r="524" spans="1:34" s="196" customFormat="1" ht="17.25" customHeight="1" x14ac:dyDescent="0.3">
      <c r="G524" s="288">
        <f>SUM(G504:G523)</f>
        <v>12.9049</v>
      </c>
      <c r="H524" s="288">
        <f t="shared" ref="H524:AF524" si="50">SUM(H504:H523)</f>
        <v>72226.430000000008</v>
      </c>
      <c r="I524" s="288">
        <f t="shared" si="50"/>
        <v>4715</v>
      </c>
      <c r="J524" s="288">
        <f t="shared" si="50"/>
        <v>2919.6299999999992</v>
      </c>
      <c r="K524" s="288">
        <f t="shared" si="50"/>
        <v>0</v>
      </c>
      <c r="L524" s="288">
        <f t="shared" si="50"/>
        <v>0</v>
      </c>
      <c r="M524" s="288">
        <f t="shared" si="50"/>
        <v>0</v>
      </c>
      <c r="N524" s="288">
        <f t="shared" si="50"/>
        <v>1404.98</v>
      </c>
      <c r="O524" s="288">
        <f t="shared" si="50"/>
        <v>81266.039999999994</v>
      </c>
      <c r="P524" s="288">
        <f t="shared" si="50"/>
        <v>2846.1</v>
      </c>
      <c r="Q524" s="288">
        <f t="shared" si="50"/>
        <v>6150.79</v>
      </c>
      <c r="R524" s="288">
        <f t="shared" si="50"/>
        <v>0</v>
      </c>
      <c r="S524" s="288">
        <f t="shared" si="50"/>
        <v>12.412233333333333</v>
      </c>
      <c r="T524" s="288">
        <f t="shared" si="50"/>
        <v>12452.820000000002</v>
      </c>
      <c r="U524" s="288">
        <f t="shared" si="50"/>
        <v>102715.74999999999</v>
      </c>
      <c r="V524" s="288">
        <f t="shared" si="50"/>
        <v>102715.74999999999</v>
      </c>
      <c r="W524" s="288">
        <f t="shared" si="50"/>
        <v>1059623.8799999999</v>
      </c>
      <c r="X524" s="288">
        <f t="shared" si="50"/>
        <v>1185294.68</v>
      </c>
      <c r="Y524" s="288">
        <f t="shared" si="50"/>
        <v>1046406.8399999999</v>
      </c>
      <c r="Z524" s="288">
        <f t="shared" si="50"/>
        <v>474270.28</v>
      </c>
      <c r="AA524" s="288">
        <f t="shared" si="50"/>
        <v>563837.66207999992</v>
      </c>
      <c r="AB524" s="288">
        <f t="shared" si="50"/>
        <v>652911.38675000006</v>
      </c>
      <c r="AC524" s="288">
        <f t="shared" si="50"/>
        <v>104577.54</v>
      </c>
      <c r="AD524" s="288">
        <f t="shared" si="50"/>
        <v>232</v>
      </c>
      <c r="AE524" s="288">
        <f t="shared" si="50"/>
        <v>90000</v>
      </c>
      <c r="AF524" s="288">
        <f t="shared" si="50"/>
        <v>1298542.2400000002</v>
      </c>
      <c r="AH524" s="288"/>
    </row>
    <row r="525" spans="1:34" s="193" customFormat="1" ht="17.25" customHeight="1" x14ac:dyDescent="0.3"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  <c r="AB525" s="285"/>
      <c r="AC525" s="285"/>
      <c r="AD525" s="285"/>
      <c r="AE525" s="285"/>
      <c r="AF525" s="301"/>
      <c r="AH525" s="285"/>
    </row>
    <row r="526" spans="1:34" x14ac:dyDescent="0.3">
      <c r="A526" s="192">
        <v>5832</v>
      </c>
      <c r="B526" s="192">
        <v>81</v>
      </c>
      <c r="C526" s="192">
        <v>7820</v>
      </c>
      <c r="D526" s="192" t="s">
        <v>505</v>
      </c>
      <c r="E526" s="192">
        <v>2273751</v>
      </c>
      <c r="F526" s="192" t="s">
        <v>1583</v>
      </c>
      <c r="G526" s="290">
        <v>0.88</v>
      </c>
      <c r="H526" s="192">
        <v>4885.07</v>
      </c>
      <c r="I526" s="192">
        <v>329.8</v>
      </c>
      <c r="J526" s="192">
        <v>191.77</v>
      </c>
      <c r="K526" s="192">
        <v>0</v>
      </c>
      <c r="L526" s="192">
        <v>0</v>
      </c>
      <c r="M526" s="192">
        <v>0</v>
      </c>
      <c r="N526" s="192">
        <v>36.5</v>
      </c>
      <c r="O526" s="192">
        <v>5443.14</v>
      </c>
      <c r="P526" s="192">
        <v>193</v>
      </c>
      <c r="Q526" s="192">
        <v>408.24</v>
      </c>
      <c r="R526" s="192">
        <v>0</v>
      </c>
      <c r="S526" s="285">
        <v>0.88</v>
      </c>
      <c r="T526" s="192">
        <v>1122.5999999999999</v>
      </c>
      <c r="U526" s="291">
        <v>7166.98</v>
      </c>
      <c r="V526" s="291">
        <v>7166.98</v>
      </c>
      <c r="W526" s="292">
        <v>70261.799999999988</v>
      </c>
      <c r="X526" s="292">
        <v>86003.76</v>
      </c>
      <c r="Y526" s="292">
        <v>82663.320000000007</v>
      </c>
      <c r="Z526" s="292">
        <v>550.02</v>
      </c>
      <c r="AA526" s="290">
        <v>1688.0113799999997</v>
      </c>
      <c r="AB526" s="285">
        <v>1674.8108999999997</v>
      </c>
      <c r="AC526" s="290">
        <v>5855.15</v>
      </c>
      <c r="AD526" s="192">
        <v>12</v>
      </c>
      <c r="AE526" s="290">
        <v>5000</v>
      </c>
      <c r="AF526" s="194">
        <v>75261.799999999988</v>
      </c>
    </row>
    <row r="527" spans="1:34" x14ac:dyDescent="0.3">
      <c r="A527" s="192">
        <v>5832</v>
      </c>
      <c r="B527" s="192">
        <v>81</v>
      </c>
      <c r="C527" s="192">
        <v>7820</v>
      </c>
      <c r="D527" s="192" t="s">
        <v>505</v>
      </c>
      <c r="E527" s="192">
        <v>2458074</v>
      </c>
      <c r="F527" s="192" t="s">
        <v>1584</v>
      </c>
      <c r="G527" s="290">
        <v>1</v>
      </c>
      <c r="H527" s="192">
        <v>5796.77</v>
      </c>
      <c r="I527" s="192">
        <v>360.62</v>
      </c>
      <c r="J527" s="192">
        <v>191.53</v>
      </c>
      <c r="K527" s="192">
        <v>0</v>
      </c>
      <c r="L527" s="192">
        <v>0</v>
      </c>
      <c r="M527" s="192">
        <v>0</v>
      </c>
      <c r="N527" s="192">
        <v>0</v>
      </c>
      <c r="O527" s="192">
        <v>6348.92</v>
      </c>
      <c r="P527" s="192">
        <v>226</v>
      </c>
      <c r="Q527" s="192">
        <v>476.17</v>
      </c>
      <c r="R527" s="192">
        <v>0</v>
      </c>
      <c r="S527" s="285">
        <v>1</v>
      </c>
      <c r="T527" s="192">
        <v>859.22</v>
      </c>
      <c r="U527" s="291">
        <v>7910.31</v>
      </c>
      <c r="V527" s="291">
        <v>7910.31</v>
      </c>
      <c r="W527" s="292">
        <v>93179.28</v>
      </c>
      <c r="X527" s="292">
        <v>94923.72</v>
      </c>
      <c r="Y527" s="292">
        <v>93027.32</v>
      </c>
      <c r="Z527" s="292">
        <v>7812.84</v>
      </c>
      <c r="AA527" s="290">
        <v>0</v>
      </c>
      <c r="AB527" s="285">
        <v>7930.0325999999995</v>
      </c>
      <c r="AC527" s="290">
        <v>7764.94</v>
      </c>
      <c r="AD527" s="192">
        <v>12</v>
      </c>
      <c r="AE527" s="290">
        <v>5000</v>
      </c>
      <c r="AF527" s="194">
        <v>98179.28</v>
      </c>
    </row>
    <row r="528" spans="1:34" x14ac:dyDescent="0.3">
      <c r="A528" s="192">
        <v>5832</v>
      </c>
      <c r="B528" s="192">
        <v>81</v>
      </c>
      <c r="C528" s="192">
        <v>7820</v>
      </c>
      <c r="D528" s="192" t="s">
        <v>505</v>
      </c>
      <c r="E528" s="192">
        <v>2572252</v>
      </c>
      <c r="F528" s="192" t="s">
        <v>1585</v>
      </c>
      <c r="G528" s="290">
        <v>0.65500000000000003</v>
      </c>
      <c r="H528" s="192">
        <v>3796.22</v>
      </c>
      <c r="I528" s="192">
        <v>236.22</v>
      </c>
      <c r="J528" s="192">
        <v>176.85</v>
      </c>
      <c r="K528" s="192">
        <v>0</v>
      </c>
      <c r="L528" s="192">
        <v>0</v>
      </c>
      <c r="M528" s="192">
        <v>0</v>
      </c>
      <c r="N528" s="192">
        <v>36.5</v>
      </c>
      <c r="O528" s="192">
        <v>4245.79</v>
      </c>
      <c r="P528" s="192">
        <v>151</v>
      </c>
      <c r="Q528" s="192">
        <v>318.43</v>
      </c>
      <c r="R528" s="192">
        <v>0</v>
      </c>
      <c r="S528" s="285">
        <v>0.65500000000000003</v>
      </c>
      <c r="T528" s="192">
        <v>874.98</v>
      </c>
      <c r="U528" s="291">
        <v>5590.2</v>
      </c>
      <c r="V528" s="291">
        <v>5590.2</v>
      </c>
      <c r="W528" s="292">
        <v>80215.92</v>
      </c>
      <c r="X528" s="292">
        <v>67082.399999999994</v>
      </c>
      <c r="Y528" s="292">
        <v>71327.520000000004</v>
      </c>
      <c r="Z528" s="292">
        <v>40028.07</v>
      </c>
      <c r="AA528" s="290">
        <v>0</v>
      </c>
      <c r="AB528" s="285">
        <v>40628.491049999997</v>
      </c>
      <c r="AC528" s="290">
        <v>6684.66</v>
      </c>
      <c r="AD528" s="192">
        <v>12</v>
      </c>
      <c r="AE528" s="290">
        <v>5000</v>
      </c>
      <c r="AF528" s="194">
        <v>85215.92</v>
      </c>
    </row>
    <row r="529" spans="1:32" x14ac:dyDescent="0.3">
      <c r="A529" s="192">
        <v>5832</v>
      </c>
      <c r="B529" s="192">
        <v>81</v>
      </c>
      <c r="C529" s="192">
        <v>7820</v>
      </c>
      <c r="D529" s="192" t="s">
        <v>505</v>
      </c>
      <c r="E529" s="192">
        <v>2733084</v>
      </c>
      <c r="F529" s="192" t="s">
        <v>1586</v>
      </c>
      <c r="G529" s="290">
        <v>1</v>
      </c>
      <c r="H529" s="192">
        <v>5964.92</v>
      </c>
      <c r="I529" s="192">
        <v>379.01</v>
      </c>
      <c r="J529" s="192">
        <v>183.6</v>
      </c>
      <c r="K529" s="192">
        <v>0</v>
      </c>
      <c r="L529" s="192">
        <v>0</v>
      </c>
      <c r="M529" s="192">
        <v>0</v>
      </c>
      <c r="N529" s="192">
        <v>36.5</v>
      </c>
      <c r="O529" s="192">
        <v>6564.03</v>
      </c>
      <c r="P529" s="192">
        <v>242</v>
      </c>
      <c r="Q529" s="192">
        <v>492.3</v>
      </c>
      <c r="R529" s="192">
        <v>0</v>
      </c>
      <c r="S529" s="285">
        <v>1</v>
      </c>
      <c r="T529" s="192">
        <v>1372.17</v>
      </c>
      <c r="U529" s="291">
        <v>8670.5</v>
      </c>
      <c r="V529" s="291">
        <v>8670.5</v>
      </c>
      <c r="W529" s="292">
        <v>12434.28</v>
      </c>
      <c r="X529" s="292">
        <v>104046</v>
      </c>
      <c r="Y529" s="292">
        <v>4144.76</v>
      </c>
      <c r="Z529" s="292">
        <v>77242.91</v>
      </c>
      <c r="AA529" s="290">
        <v>0</v>
      </c>
      <c r="AB529" s="285">
        <v>78401.553650000002</v>
      </c>
      <c r="AC529" s="290">
        <v>9831.2099999999991</v>
      </c>
      <c r="AD529" s="192">
        <v>12</v>
      </c>
      <c r="AE529" s="290">
        <v>5000</v>
      </c>
      <c r="AF529" s="194">
        <v>122974.51999999999</v>
      </c>
    </row>
    <row r="530" spans="1:32" x14ac:dyDescent="0.3">
      <c r="A530" s="192">
        <v>5832</v>
      </c>
      <c r="B530" s="192">
        <v>81</v>
      </c>
      <c r="C530" s="192">
        <v>7820</v>
      </c>
      <c r="D530" s="192" t="s">
        <v>505</v>
      </c>
      <c r="E530" s="192">
        <v>2887850</v>
      </c>
      <c r="F530" s="192" t="s">
        <v>1282</v>
      </c>
      <c r="G530" s="290">
        <v>0</v>
      </c>
      <c r="H530" s="192">
        <v>0</v>
      </c>
      <c r="I530" s="192">
        <v>0</v>
      </c>
      <c r="J530" s="192">
        <v>0</v>
      </c>
      <c r="K530" s="192">
        <v>0</v>
      </c>
      <c r="L530" s="192">
        <v>0</v>
      </c>
      <c r="M530" s="192">
        <v>0</v>
      </c>
      <c r="N530" s="192">
        <v>0</v>
      </c>
      <c r="O530" s="192">
        <v>0</v>
      </c>
      <c r="P530" s="192">
        <v>0.13</v>
      </c>
      <c r="Q530" s="192">
        <v>0</v>
      </c>
      <c r="R530" s="192">
        <v>0</v>
      </c>
      <c r="S530" s="285">
        <v>0</v>
      </c>
      <c r="T530" s="192">
        <v>0</v>
      </c>
      <c r="U530" s="291">
        <v>0.13</v>
      </c>
      <c r="V530" s="291">
        <v>0.13</v>
      </c>
      <c r="W530" s="292">
        <v>0</v>
      </c>
      <c r="X530" s="292">
        <v>1.56</v>
      </c>
      <c r="Y530" s="292">
        <v>13192.8</v>
      </c>
      <c r="Z530" s="292">
        <v>0</v>
      </c>
      <c r="AA530" s="290">
        <v>0</v>
      </c>
      <c r="AB530" s="285">
        <v>0</v>
      </c>
      <c r="AC530" s="290">
        <v>4190.4799999999996</v>
      </c>
      <c r="AD530" s="192">
        <v>12</v>
      </c>
      <c r="AE530" s="290">
        <v>5000</v>
      </c>
      <c r="AF530" s="194">
        <v>55285.759999999995</v>
      </c>
    </row>
    <row r="531" spans="1:32" x14ac:dyDescent="0.3">
      <c r="A531" s="192">
        <v>5832</v>
      </c>
      <c r="B531" s="192">
        <v>81</v>
      </c>
      <c r="C531" s="192">
        <v>7820</v>
      </c>
      <c r="D531" s="192" t="s">
        <v>505</v>
      </c>
      <c r="E531" s="192">
        <v>2887901</v>
      </c>
      <c r="F531" s="192" t="s">
        <v>1587</v>
      </c>
      <c r="G531" s="290">
        <v>0.73899999999999999</v>
      </c>
      <c r="H531" s="192">
        <v>1858.53</v>
      </c>
      <c r="I531" s="192">
        <v>262.95999999999998</v>
      </c>
      <c r="J531" s="192">
        <v>175.94</v>
      </c>
      <c r="K531" s="192">
        <v>0</v>
      </c>
      <c r="L531" s="192">
        <v>0</v>
      </c>
      <c r="M531" s="192">
        <v>0</v>
      </c>
      <c r="N531" s="192">
        <v>0</v>
      </c>
      <c r="O531" s="192">
        <v>2297.4299999999998</v>
      </c>
      <c r="P531" s="192">
        <v>81</v>
      </c>
      <c r="Q531" s="192">
        <v>172.31</v>
      </c>
      <c r="R531" s="192">
        <v>0</v>
      </c>
      <c r="S531" s="285">
        <v>0.73899999999999999</v>
      </c>
      <c r="T531" s="192">
        <v>463.9</v>
      </c>
      <c r="U531" s="291">
        <v>3014.64</v>
      </c>
      <c r="V531" s="291">
        <v>3014.64</v>
      </c>
      <c r="W531" s="292">
        <v>53237.88</v>
      </c>
      <c r="X531" s="292">
        <v>36175.68</v>
      </c>
      <c r="Y531" s="292">
        <v>56396.12000000001</v>
      </c>
      <c r="Z531" s="292">
        <v>55062.86</v>
      </c>
      <c r="AA531" s="290">
        <v>0</v>
      </c>
      <c r="AB531" s="285">
        <v>55888.802899999995</v>
      </c>
      <c r="AC531" s="290">
        <v>4436.49</v>
      </c>
      <c r="AD531" s="192">
        <v>12</v>
      </c>
      <c r="AE531" s="290">
        <v>5000</v>
      </c>
      <c r="AF531" s="194">
        <v>58237.88</v>
      </c>
    </row>
    <row r="532" spans="1:32" x14ac:dyDescent="0.3">
      <c r="A532" s="192">
        <v>5832</v>
      </c>
      <c r="B532" s="192">
        <v>81</v>
      </c>
      <c r="C532" s="192">
        <v>7820</v>
      </c>
      <c r="D532" s="192" t="s">
        <v>505</v>
      </c>
      <c r="E532" s="192">
        <v>2889012</v>
      </c>
      <c r="F532" s="192" t="s">
        <v>1588</v>
      </c>
      <c r="G532" s="290">
        <v>0.92</v>
      </c>
      <c r="H532" s="192">
        <v>5300.91</v>
      </c>
      <c r="I532" s="192">
        <v>328.15</v>
      </c>
      <c r="J532" s="192">
        <v>182.53</v>
      </c>
      <c r="K532" s="192">
        <v>0</v>
      </c>
      <c r="L532" s="192">
        <v>0</v>
      </c>
      <c r="M532" s="192">
        <v>0</v>
      </c>
      <c r="N532" s="192">
        <v>36.5</v>
      </c>
      <c r="O532" s="192">
        <v>5848.09</v>
      </c>
      <c r="P532" s="192">
        <v>208</v>
      </c>
      <c r="Q532" s="192">
        <v>438.61</v>
      </c>
      <c r="R532" s="192">
        <v>0</v>
      </c>
      <c r="S532" s="285">
        <v>0.92</v>
      </c>
      <c r="T532" s="192">
        <v>1210.1199999999999</v>
      </c>
      <c r="U532" s="291">
        <v>7704.82</v>
      </c>
      <c r="V532" s="291">
        <v>7704.82</v>
      </c>
      <c r="W532" s="292">
        <v>70548.72</v>
      </c>
      <c r="X532" s="292">
        <v>92457.84</v>
      </c>
      <c r="Y532" s="292">
        <v>83733.48</v>
      </c>
      <c r="Z532" s="292">
        <v>70557.149999999994</v>
      </c>
      <c r="AA532" s="290">
        <v>0</v>
      </c>
      <c r="AB532" s="285">
        <v>71615.507249999981</v>
      </c>
      <c r="AC532" s="290">
        <v>5879.06</v>
      </c>
      <c r="AD532" s="192">
        <v>12</v>
      </c>
      <c r="AE532" s="290">
        <v>5000</v>
      </c>
      <c r="AF532" s="194">
        <v>75548.72</v>
      </c>
    </row>
    <row r="533" spans="1:32" x14ac:dyDescent="0.3">
      <c r="A533" s="192">
        <v>5832</v>
      </c>
      <c r="B533" s="192">
        <v>81</v>
      </c>
      <c r="C533" s="192">
        <v>7820</v>
      </c>
      <c r="D533" s="192" t="s">
        <v>505</v>
      </c>
      <c r="E533" s="192">
        <v>3330903</v>
      </c>
      <c r="F533" s="192" t="s">
        <v>1589</v>
      </c>
      <c r="G533" s="290">
        <v>1</v>
      </c>
      <c r="H533" s="192">
        <v>6102.82</v>
      </c>
      <c r="I533" s="192">
        <v>379.3</v>
      </c>
      <c r="J533" s="192">
        <v>197.6</v>
      </c>
      <c r="K533" s="192">
        <v>0</v>
      </c>
      <c r="L533" s="192">
        <v>0</v>
      </c>
      <c r="M533" s="192">
        <v>0</v>
      </c>
      <c r="N533" s="192">
        <v>36.5</v>
      </c>
      <c r="O533" s="192">
        <v>6716.22</v>
      </c>
      <c r="P533" s="192">
        <v>254</v>
      </c>
      <c r="Q533" s="192">
        <v>503.72</v>
      </c>
      <c r="R533" s="192">
        <v>0</v>
      </c>
      <c r="S533" s="285">
        <v>1</v>
      </c>
      <c r="T533" s="192">
        <v>1402.43</v>
      </c>
      <c r="U533" s="291">
        <v>8876.3700000000008</v>
      </c>
      <c r="V533" s="291">
        <v>8876.3700000000008</v>
      </c>
      <c r="W533" s="292">
        <v>99088.200000000012</v>
      </c>
      <c r="X533" s="292">
        <v>106516.44</v>
      </c>
      <c r="Y533" s="292">
        <v>102936.16</v>
      </c>
      <c r="Z533" s="292">
        <v>1480.73</v>
      </c>
      <c r="AA533" s="290">
        <v>0</v>
      </c>
      <c r="AB533" s="285">
        <v>1502.9409499999999</v>
      </c>
      <c r="AC533" s="290">
        <v>8257.35</v>
      </c>
      <c r="AD533" s="192">
        <v>12</v>
      </c>
      <c r="AE533" s="290">
        <v>5000</v>
      </c>
      <c r="AF533" s="194">
        <v>104088.20000000001</v>
      </c>
    </row>
    <row r="534" spans="1:32" x14ac:dyDescent="0.3">
      <c r="A534" s="192">
        <v>5832</v>
      </c>
      <c r="B534" s="192">
        <v>81</v>
      </c>
      <c r="C534" s="192">
        <v>7820</v>
      </c>
      <c r="D534" s="192" t="s">
        <v>505</v>
      </c>
      <c r="E534" s="192">
        <v>3369325</v>
      </c>
      <c r="F534" s="192" t="s">
        <v>1590</v>
      </c>
      <c r="G534" s="290">
        <v>0.83299999999999996</v>
      </c>
      <c r="H534" s="192">
        <v>4812.49</v>
      </c>
      <c r="I534" s="192">
        <v>297.67</v>
      </c>
      <c r="J534" s="192">
        <v>179.36</v>
      </c>
      <c r="K534" s="192">
        <v>0</v>
      </c>
      <c r="L534" s="192">
        <v>0</v>
      </c>
      <c r="M534" s="192">
        <v>0</v>
      </c>
      <c r="N534" s="192">
        <v>36.5</v>
      </c>
      <c r="O534" s="192">
        <v>5326.02</v>
      </c>
      <c r="P534" s="192">
        <v>189</v>
      </c>
      <c r="Q534" s="192">
        <v>399.45</v>
      </c>
      <c r="R534" s="192">
        <v>0</v>
      </c>
      <c r="S534" s="285">
        <v>0.83299999999999985</v>
      </c>
      <c r="T534" s="192">
        <v>1112</v>
      </c>
      <c r="U534" s="291">
        <v>7026.47</v>
      </c>
      <c r="V534" s="291">
        <v>7026.47</v>
      </c>
      <c r="W534" s="292">
        <v>80192.399999999994</v>
      </c>
      <c r="X534" s="292">
        <v>84317.64</v>
      </c>
      <c r="Y534" s="292">
        <v>81624.320000000007</v>
      </c>
      <c r="Z534" s="292">
        <v>45968.41</v>
      </c>
      <c r="AA534" s="290">
        <v>0</v>
      </c>
      <c r="AB534" s="285">
        <v>46657.936150000001</v>
      </c>
      <c r="AC534" s="290">
        <v>6682.7</v>
      </c>
      <c r="AD534" s="192">
        <v>12</v>
      </c>
      <c r="AE534" s="290">
        <v>5000</v>
      </c>
      <c r="AF534" s="194">
        <v>85192.4</v>
      </c>
    </row>
    <row r="535" spans="1:32" x14ac:dyDescent="0.3">
      <c r="A535" s="192">
        <v>5832</v>
      </c>
      <c r="B535" s="192">
        <v>81</v>
      </c>
      <c r="C535" s="192">
        <v>7820</v>
      </c>
      <c r="D535" s="192" t="s">
        <v>505</v>
      </c>
      <c r="E535" s="192">
        <v>3466679</v>
      </c>
      <c r="F535" s="192" t="s">
        <v>1591</v>
      </c>
      <c r="G535" s="290">
        <v>0.73899999999999999</v>
      </c>
      <c r="H535" s="192">
        <v>4219.25</v>
      </c>
      <c r="I535" s="192">
        <v>266.18</v>
      </c>
      <c r="J535" s="192">
        <v>180.43</v>
      </c>
      <c r="K535" s="192">
        <v>0</v>
      </c>
      <c r="L535" s="192">
        <v>0</v>
      </c>
      <c r="M535" s="192">
        <v>0</v>
      </c>
      <c r="N535" s="192">
        <v>270.76</v>
      </c>
      <c r="O535" s="192">
        <v>4936.62</v>
      </c>
      <c r="P535" s="192">
        <v>181</v>
      </c>
      <c r="Q535" s="192">
        <v>381.5</v>
      </c>
      <c r="R535" s="192">
        <v>0</v>
      </c>
      <c r="S535" s="285">
        <v>0.73899999999999999</v>
      </c>
      <c r="T535" s="192">
        <v>633.44000000000005</v>
      </c>
      <c r="U535" s="291">
        <v>6132.56</v>
      </c>
      <c r="V535" s="291">
        <v>6132.56</v>
      </c>
      <c r="W535" s="292">
        <v>67945.319999999992</v>
      </c>
      <c r="X535" s="292">
        <v>73590.720000000001</v>
      </c>
      <c r="Y535" s="292">
        <v>71837.84</v>
      </c>
      <c r="Z535" s="292">
        <v>2254.8000000000002</v>
      </c>
      <c r="AA535" s="290">
        <v>15504.894899999999</v>
      </c>
      <c r="AB535" s="285">
        <v>15383.6445</v>
      </c>
      <c r="AC535" s="290">
        <v>5662.11</v>
      </c>
      <c r="AD535" s="192">
        <v>12</v>
      </c>
      <c r="AE535" s="290">
        <v>5000</v>
      </c>
      <c r="AF535" s="194">
        <v>72945.319999999992</v>
      </c>
    </row>
    <row r="536" spans="1:32" x14ac:dyDescent="0.3">
      <c r="A536" s="192">
        <v>5832</v>
      </c>
      <c r="B536" s="192">
        <v>81</v>
      </c>
      <c r="C536" s="192">
        <v>7820</v>
      </c>
      <c r="D536" s="192" t="s">
        <v>505</v>
      </c>
      <c r="E536" s="192">
        <v>3655857</v>
      </c>
      <c r="F536" s="192" t="s">
        <v>1592</v>
      </c>
      <c r="G536" s="290">
        <v>1</v>
      </c>
      <c r="H536" s="192">
        <v>5762.18</v>
      </c>
      <c r="I536" s="192">
        <v>359.51</v>
      </c>
      <c r="J536" s="192">
        <v>191.53</v>
      </c>
      <c r="K536" s="192">
        <v>0</v>
      </c>
      <c r="L536" s="192">
        <v>0</v>
      </c>
      <c r="M536" s="192">
        <v>0</v>
      </c>
      <c r="N536" s="192">
        <v>353.5</v>
      </c>
      <c r="O536" s="192">
        <v>6666.72</v>
      </c>
      <c r="P536" s="192">
        <v>262</v>
      </c>
      <c r="Q536" s="192">
        <v>511.25</v>
      </c>
      <c r="R536" s="192">
        <v>0</v>
      </c>
      <c r="S536" s="285">
        <v>1</v>
      </c>
      <c r="T536" s="192">
        <v>854.46</v>
      </c>
      <c r="U536" s="291">
        <v>8294.43</v>
      </c>
      <c r="V536" s="291">
        <v>8294.43</v>
      </c>
      <c r="W536" s="292">
        <v>75131.28</v>
      </c>
      <c r="X536" s="292">
        <v>99533.16</v>
      </c>
      <c r="Y536" s="292">
        <v>91109.88</v>
      </c>
      <c r="Z536" s="292">
        <v>23005.79</v>
      </c>
      <c r="AA536" s="290">
        <v>21482.109990000001</v>
      </c>
      <c r="AB536" s="285">
        <v>21314.11695</v>
      </c>
      <c r="AC536" s="290">
        <v>6260.94</v>
      </c>
      <c r="AD536" s="192">
        <v>12</v>
      </c>
      <c r="AE536" s="290">
        <v>5000</v>
      </c>
      <c r="AF536" s="194">
        <v>80131.28</v>
      </c>
    </row>
    <row r="537" spans="1:32" x14ac:dyDescent="0.3">
      <c r="A537" s="192">
        <v>5832</v>
      </c>
      <c r="B537" s="192">
        <v>81</v>
      </c>
      <c r="C537" s="192">
        <v>7820</v>
      </c>
      <c r="D537" s="192" t="s">
        <v>505</v>
      </c>
      <c r="E537" s="192">
        <v>3826193</v>
      </c>
      <c r="F537" s="192" t="s">
        <v>1593</v>
      </c>
      <c r="G537" s="290">
        <v>0.83</v>
      </c>
      <c r="H537" s="192">
        <v>4947.2</v>
      </c>
      <c r="I537" s="192">
        <v>317.43</v>
      </c>
      <c r="J537" s="192">
        <v>189.34</v>
      </c>
      <c r="K537" s="192">
        <v>0</v>
      </c>
      <c r="L537" s="192">
        <v>0</v>
      </c>
      <c r="M537" s="192">
        <v>0</v>
      </c>
      <c r="N537" s="192">
        <v>36.5</v>
      </c>
      <c r="O537" s="192">
        <v>5490.47</v>
      </c>
      <c r="P537" s="192">
        <v>203</v>
      </c>
      <c r="Q537" s="192">
        <v>430.54</v>
      </c>
      <c r="R537" s="192">
        <v>0</v>
      </c>
      <c r="S537" s="285">
        <v>0.83</v>
      </c>
      <c r="T537" s="192">
        <v>1145.96</v>
      </c>
      <c r="U537" s="291">
        <v>7269.97</v>
      </c>
      <c r="V537" s="291">
        <v>7269.97</v>
      </c>
      <c r="W537" s="292">
        <v>12391.560000000001</v>
      </c>
      <c r="X537" s="292">
        <v>87239.64</v>
      </c>
      <c r="Y537" s="292">
        <v>4130.5200000000004</v>
      </c>
      <c r="Z537" s="292">
        <v>69735.56</v>
      </c>
      <c r="AA537" s="290">
        <v>0</v>
      </c>
      <c r="AB537" s="285">
        <v>70781.593399999998</v>
      </c>
      <c r="AC537" s="290">
        <v>8455.68</v>
      </c>
      <c r="AD537" s="192">
        <v>12</v>
      </c>
      <c r="AE537" s="290">
        <v>5000</v>
      </c>
      <c r="AF537" s="194">
        <v>106468.16</v>
      </c>
    </row>
    <row r="538" spans="1:32" x14ac:dyDescent="0.3">
      <c r="A538" s="192">
        <v>5832</v>
      </c>
      <c r="B538" s="192">
        <v>81</v>
      </c>
      <c r="C538" s="192">
        <v>7820</v>
      </c>
      <c r="D538" s="192" t="s">
        <v>505</v>
      </c>
      <c r="E538" s="192">
        <v>4324687</v>
      </c>
      <c r="F538" s="192" t="s">
        <v>1594</v>
      </c>
      <c r="G538" s="290">
        <v>0.88</v>
      </c>
      <c r="H538" s="192">
        <v>3792.17</v>
      </c>
      <c r="I538" s="192">
        <v>312.93</v>
      </c>
      <c r="J538" s="192">
        <v>181.08</v>
      </c>
      <c r="K538" s="192">
        <v>0</v>
      </c>
      <c r="L538" s="192">
        <v>0</v>
      </c>
      <c r="M538" s="192">
        <v>0</v>
      </c>
      <c r="N538" s="192">
        <v>36.5</v>
      </c>
      <c r="O538" s="192">
        <v>4322.68</v>
      </c>
      <c r="P538" s="192">
        <v>153</v>
      </c>
      <c r="Q538" s="192">
        <v>324.2</v>
      </c>
      <c r="R538" s="192">
        <v>0</v>
      </c>
      <c r="S538" s="285">
        <v>0.88</v>
      </c>
      <c r="T538" s="192">
        <v>884.95</v>
      </c>
      <c r="U538" s="291">
        <v>5684.83</v>
      </c>
      <c r="V538" s="291">
        <v>5684.83</v>
      </c>
      <c r="W538" s="292">
        <v>66259.799999999988</v>
      </c>
      <c r="X538" s="292">
        <v>68217.959999999992</v>
      </c>
      <c r="Y538" s="292">
        <v>75831.88</v>
      </c>
      <c r="Z538" s="292">
        <v>53092.69</v>
      </c>
      <c r="AA538" s="290">
        <v>0</v>
      </c>
      <c r="AB538" s="285">
        <v>53889.080349999997</v>
      </c>
      <c r="AC538" s="290">
        <v>5521.65</v>
      </c>
      <c r="AD538" s="192">
        <v>12</v>
      </c>
      <c r="AE538" s="290">
        <v>5000</v>
      </c>
      <c r="AF538" s="194">
        <v>71259.799999999988</v>
      </c>
    </row>
    <row r="539" spans="1:32" x14ac:dyDescent="0.3">
      <c r="A539" s="192">
        <v>5832</v>
      </c>
      <c r="B539" s="192">
        <v>81</v>
      </c>
      <c r="C539" s="192">
        <v>7820</v>
      </c>
      <c r="D539" s="192" t="s">
        <v>505</v>
      </c>
      <c r="E539" s="192">
        <v>4917220</v>
      </c>
      <c r="F539" s="192" t="s">
        <v>1595</v>
      </c>
      <c r="G539" s="290">
        <v>1</v>
      </c>
      <c r="H539" s="192">
        <v>4637.74</v>
      </c>
      <c r="I539" s="192">
        <v>359.74</v>
      </c>
      <c r="J539" s="192">
        <v>191.53</v>
      </c>
      <c r="K539" s="192">
        <v>0</v>
      </c>
      <c r="L539" s="192">
        <v>0</v>
      </c>
      <c r="M539" s="192">
        <v>0</v>
      </c>
      <c r="N539" s="192">
        <v>36.5</v>
      </c>
      <c r="O539" s="192">
        <v>5225.51</v>
      </c>
      <c r="P539" s="192">
        <v>161</v>
      </c>
      <c r="Q539" s="192">
        <v>391.91</v>
      </c>
      <c r="R539" s="192">
        <v>0</v>
      </c>
      <c r="S539" s="285">
        <v>1</v>
      </c>
      <c r="T539" s="192">
        <v>1073.02</v>
      </c>
      <c r="U539" s="291">
        <v>6851.44</v>
      </c>
      <c r="V539" s="291">
        <v>6851.44</v>
      </c>
      <c r="W539" s="292">
        <v>93397.680000000008</v>
      </c>
      <c r="X539" s="292">
        <v>82217.279999999999</v>
      </c>
      <c r="Y539" s="292">
        <v>95324.52</v>
      </c>
      <c r="Z539" s="292">
        <v>62558.22</v>
      </c>
      <c r="AA539" s="290">
        <v>0</v>
      </c>
      <c r="AB539" s="285">
        <v>63496.593299999993</v>
      </c>
      <c r="AC539" s="290">
        <v>7783.14</v>
      </c>
      <c r="AD539" s="192">
        <v>12</v>
      </c>
      <c r="AE539" s="290">
        <v>5000</v>
      </c>
      <c r="AF539" s="194">
        <v>98397.680000000008</v>
      </c>
    </row>
    <row r="540" spans="1:32" x14ac:dyDescent="0.3">
      <c r="A540" s="192">
        <v>5832</v>
      </c>
      <c r="B540" s="192">
        <v>81</v>
      </c>
      <c r="C540" s="192">
        <v>7820</v>
      </c>
      <c r="D540" s="192" t="s">
        <v>505</v>
      </c>
      <c r="E540" s="192">
        <v>5905645</v>
      </c>
      <c r="F540" s="192" t="s">
        <v>1596</v>
      </c>
      <c r="G540" s="290">
        <v>0.95</v>
      </c>
      <c r="H540" s="192">
        <v>5162.09</v>
      </c>
      <c r="I540" s="192">
        <v>324.66000000000003</v>
      </c>
      <c r="J540" s="192">
        <v>187.27</v>
      </c>
      <c r="K540" s="192">
        <v>0</v>
      </c>
      <c r="L540" s="192">
        <v>0</v>
      </c>
      <c r="M540" s="192">
        <v>0</v>
      </c>
      <c r="N540" s="192">
        <v>36.5</v>
      </c>
      <c r="O540" s="192">
        <v>5710.52</v>
      </c>
      <c r="P540" s="192">
        <v>203</v>
      </c>
      <c r="Q540" s="192">
        <v>428.29</v>
      </c>
      <c r="R540" s="192">
        <v>0</v>
      </c>
      <c r="S540" s="285">
        <v>0.94999999999999984</v>
      </c>
      <c r="T540" s="192">
        <v>1180.1400000000001</v>
      </c>
      <c r="U540" s="291">
        <v>7521.95</v>
      </c>
      <c r="V540" s="291">
        <v>7521.95</v>
      </c>
      <c r="W540" s="292">
        <v>0</v>
      </c>
      <c r="X540" s="292">
        <v>90263.4</v>
      </c>
      <c r="Y540" s="292">
        <v>4204.6400000000003</v>
      </c>
      <c r="Z540" s="292">
        <v>64481.96</v>
      </c>
      <c r="AA540" s="290">
        <v>82382.149079999988</v>
      </c>
      <c r="AB540" s="285">
        <v>0</v>
      </c>
      <c r="AC540" s="290">
        <v>9329.48</v>
      </c>
      <c r="AD540" s="192">
        <v>12</v>
      </c>
      <c r="AE540" s="290">
        <v>5000</v>
      </c>
      <c r="AF540" s="194">
        <v>116953.76</v>
      </c>
    </row>
    <row r="541" spans="1:32" x14ac:dyDescent="0.3">
      <c r="A541" s="192">
        <v>5832</v>
      </c>
      <c r="B541" s="192">
        <v>81</v>
      </c>
      <c r="C541" s="192">
        <v>7820</v>
      </c>
      <c r="D541" s="192" t="s">
        <v>505</v>
      </c>
      <c r="E541" s="192">
        <v>5905876</v>
      </c>
      <c r="F541" s="192" t="s">
        <v>1597</v>
      </c>
      <c r="G541" s="290">
        <v>0.9</v>
      </c>
      <c r="H541" s="192">
        <v>6472.93</v>
      </c>
      <c r="I541" s="192">
        <v>373.11</v>
      </c>
      <c r="J541" s="192">
        <v>192.74</v>
      </c>
      <c r="K541" s="192">
        <v>0</v>
      </c>
      <c r="L541" s="192">
        <v>0</v>
      </c>
      <c r="M541" s="192">
        <v>0</v>
      </c>
      <c r="N541" s="192">
        <v>288.5</v>
      </c>
      <c r="O541" s="192">
        <v>7327.28</v>
      </c>
      <c r="P541" s="192">
        <v>301</v>
      </c>
      <c r="Q541" s="192">
        <v>550.33000000000004</v>
      </c>
      <c r="R541" s="192">
        <v>0</v>
      </c>
      <c r="S541" s="285">
        <v>0.9</v>
      </c>
      <c r="T541" s="192">
        <v>692.51</v>
      </c>
      <c r="U541" s="291">
        <v>8871.1200000000008</v>
      </c>
      <c r="V541" s="291">
        <v>8871.1200000000008</v>
      </c>
      <c r="W541" s="292">
        <v>104846.40000000001</v>
      </c>
      <c r="X541" s="292">
        <v>106453.44</v>
      </c>
      <c r="Y541" s="292">
        <v>104172.51999999999</v>
      </c>
      <c r="Z541" s="292">
        <v>84915.42</v>
      </c>
      <c r="AA541" s="290">
        <v>0</v>
      </c>
      <c r="AB541" s="285">
        <v>86189.151299999983</v>
      </c>
      <c r="AC541" s="290">
        <v>8737.2000000000007</v>
      </c>
      <c r="AD541" s="192">
        <v>12</v>
      </c>
      <c r="AE541" s="290">
        <v>5000</v>
      </c>
      <c r="AF541" s="194">
        <v>109846.40000000001</v>
      </c>
    </row>
    <row r="542" spans="1:32" x14ac:dyDescent="0.3">
      <c r="A542" s="192">
        <v>5832</v>
      </c>
      <c r="B542" s="192">
        <v>81</v>
      </c>
      <c r="C542" s="192">
        <v>7820</v>
      </c>
      <c r="D542" s="192" t="s">
        <v>505</v>
      </c>
      <c r="E542" s="192">
        <v>6778560</v>
      </c>
      <c r="F542" s="192" t="s">
        <v>1598</v>
      </c>
      <c r="G542" s="290">
        <v>1</v>
      </c>
      <c r="H542" s="192">
        <v>6081.07</v>
      </c>
      <c r="I542" s="192">
        <v>380.47</v>
      </c>
      <c r="J542" s="192">
        <v>197.6</v>
      </c>
      <c r="K542" s="192">
        <v>0</v>
      </c>
      <c r="L542" s="192">
        <v>0</v>
      </c>
      <c r="M542" s="192">
        <v>0</v>
      </c>
      <c r="N542" s="192">
        <v>36.5</v>
      </c>
      <c r="O542" s="192">
        <v>6695.64</v>
      </c>
      <c r="P542" s="192">
        <v>231</v>
      </c>
      <c r="Q542" s="192">
        <v>502.17</v>
      </c>
      <c r="R542" s="192">
        <v>0</v>
      </c>
      <c r="S542" s="285">
        <v>1</v>
      </c>
      <c r="T542" s="192">
        <v>1398.04</v>
      </c>
      <c r="U542" s="291">
        <v>8826.85</v>
      </c>
      <c r="V542" s="291">
        <v>8826.85</v>
      </c>
      <c r="W542" s="292">
        <v>95588.76</v>
      </c>
      <c r="X542" s="292">
        <v>105922.20000000001</v>
      </c>
      <c r="Y542" s="292">
        <v>101391.67999999999</v>
      </c>
      <c r="Z542" s="292">
        <v>72759.88</v>
      </c>
      <c r="AA542" s="290">
        <v>0</v>
      </c>
      <c r="AB542" s="285">
        <v>73851.278200000001</v>
      </c>
      <c r="AC542" s="290">
        <v>7965.73</v>
      </c>
      <c r="AD542" s="192">
        <v>12</v>
      </c>
      <c r="AE542" s="290">
        <v>5000</v>
      </c>
      <c r="AF542" s="194">
        <v>100588.76</v>
      </c>
    </row>
    <row r="543" spans="1:32" x14ac:dyDescent="0.3">
      <c r="A543" s="192">
        <v>5832</v>
      </c>
      <c r="B543" s="192">
        <v>81</v>
      </c>
      <c r="C543" s="192">
        <v>7820</v>
      </c>
      <c r="D543" s="192" t="s">
        <v>505</v>
      </c>
      <c r="E543" s="192">
        <v>6815187</v>
      </c>
      <c r="F543" s="192" t="s">
        <v>1599</v>
      </c>
      <c r="G543" s="290">
        <v>0.98</v>
      </c>
      <c r="H543" s="192">
        <v>6334.81</v>
      </c>
      <c r="I543" s="192">
        <v>381.65</v>
      </c>
      <c r="J543" s="192">
        <v>196.63</v>
      </c>
      <c r="K543" s="192">
        <v>0</v>
      </c>
      <c r="L543" s="192">
        <v>0</v>
      </c>
      <c r="M543" s="192">
        <v>0</v>
      </c>
      <c r="N543" s="192">
        <v>36.5</v>
      </c>
      <c r="O543" s="192">
        <v>6949.59</v>
      </c>
      <c r="P543" s="192">
        <v>273</v>
      </c>
      <c r="Q543" s="192">
        <v>522.02</v>
      </c>
      <c r="R543" s="192">
        <v>0</v>
      </c>
      <c r="S543" s="285">
        <v>0.98</v>
      </c>
      <c r="T543" s="192">
        <v>1452.67</v>
      </c>
      <c r="U543" s="291">
        <v>9197.2800000000007</v>
      </c>
      <c r="V543" s="291">
        <v>9197.2800000000007</v>
      </c>
      <c r="W543" s="292">
        <v>108545.51999999999</v>
      </c>
      <c r="X543" s="292">
        <v>110367.36000000002</v>
      </c>
      <c r="Y543" s="292">
        <v>109545.36000000002</v>
      </c>
      <c r="Z543" s="292">
        <v>56618.99</v>
      </c>
      <c r="AA543" s="290">
        <v>0</v>
      </c>
      <c r="AB543" s="285">
        <v>57468.274849999994</v>
      </c>
      <c r="AC543" s="290">
        <v>9045.4599999999991</v>
      </c>
      <c r="AD543" s="192">
        <v>12</v>
      </c>
      <c r="AE543" s="290">
        <v>5000</v>
      </c>
      <c r="AF543" s="194">
        <v>113545.51999999999</v>
      </c>
    </row>
    <row r="544" spans="1:32" x14ac:dyDescent="0.3">
      <c r="A544" s="192">
        <v>5832</v>
      </c>
      <c r="B544" s="192">
        <v>81</v>
      </c>
      <c r="C544" s="192">
        <v>7820</v>
      </c>
      <c r="D544" s="192" t="s">
        <v>505</v>
      </c>
      <c r="E544" s="192">
        <v>30548827</v>
      </c>
      <c r="F544" s="192" t="s">
        <v>1600</v>
      </c>
      <c r="G544" s="290">
        <v>0.47299999999999998</v>
      </c>
      <c r="H544" s="192">
        <v>2731.51</v>
      </c>
      <c r="I544" s="192">
        <v>168.92</v>
      </c>
      <c r="J544" s="192">
        <v>149</v>
      </c>
      <c r="K544" s="192">
        <v>0</v>
      </c>
      <c r="L544" s="192">
        <v>0</v>
      </c>
      <c r="M544" s="192">
        <v>0</v>
      </c>
      <c r="N544" s="192">
        <v>36.5</v>
      </c>
      <c r="O544" s="192">
        <v>3085.93</v>
      </c>
      <c r="P544" s="192">
        <v>115</v>
      </c>
      <c r="Q544" s="192">
        <v>242.69</v>
      </c>
      <c r="R544" s="192">
        <v>0</v>
      </c>
      <c r="S544" s="285">
        <v>0.47300000000000003</v>
      </c>
      <c r="T544" s="192">
        <v>391.56</v>
      </c>
      <c r="U544" s="291">
        <v>3835.18</v>
      </c>
      <c r="V544" s="291">
        <v>3835.18</v>
      </c>
      <c r="W544" s="292">
        <v>45083.64</v>
      </c>
      <c r="X544" s="292">
        <v>46022.159999999996</v>
      </c>
      <c r="Y544" s="292">
        <v>45553.760000000002</v>
      </c>
      <c r="Z544" s="292">
        <v>139.77000000000001</v>
      </c>
      <c r="AA544" s="290">
        <v>0</v>
      </c>
      <c r="AB544" s="285">
        <v>141.86654999999999</v>
      </c>
      <c r="AC544" s="290">
        <v>3756.97</v>
      </c>
      <c r="AD544" s="192">
        <v>12</v>
      </c>
      <c r="AE544" s="290">
        <v>5000</v>
      </c>
      <c r="AF544" s="194">
        <v>50083.64</v>
      </c>
    </row>
    <row r="545" spans="1:34" s="196" customFormat="1" ht="17.25" customHeight="1" x14ac:dyDescent="0.3">
      <c r="G545" s="288">
        <f>SUM(G526:G544)</f>
        <v>15.779000000000002</v>
      </c>
      <c r="H545" s="288">
        <f t="shared" ref="H545:AF545" si="51">SUM(H526:H544)</f>
        <v>88658.679999999978</v>
      </c>
      <c r="I545" s="288">
        <f t="shared" si="51"/>
        <v>5818.329999999999</v>
      </c>
      <c r="J545" s="288">
        <f t="shared" si="51"/>
        <v>3336.3300000000004</v>
      </c>
      <c r="K545" s="288">
        <f t="shared" si="51"/>
        <v>0</v>
      </c>
      <c r="L545" s="288">
        <f t="shared" si="51"/>
        <v>0</v>
      </c>
      <c r="M545" s="288">
        <f t="shared" si="51"/>
        <v>0</v>
      </c>
      <c r="N545" s="288">
        <f t="shared" si="51"/>
        <v>1387.26</v>
      </c>
      <c r="O545" s="288">
        <f t="shared" si="51"/>
        <v>99200.599999999991</v>
      </c>
      <c r="P545" s="288">
        <f t="shared" si="51"/>
        <v>3627.13</v>
      </c>
      <c r="Q545" s="288">
        <f t="shared" si="51"/>
        <v>7494.1299999999983</v>
      </c>
      <c r="R545" s="288">
        <f t="shared" si="51"/>
        <v>0</v>
      </c>
      <c r="S545" s="288">
        <f t="shared" si="51"/>
        <v>15.779000000000002</v>
      </c>
      <c r="T545" s="288">
        <f t="shared" si="51"/>
        <v>18124.170000000002</v>
      </c>
      <c r="U545" s="288">
        <f t="shared" si="51"/>
        <v>128446.03</v>
      </c>
      <c r="V545" s="288">
        <f t="shared" si="51"/>
        <v>128446.03</v>
      </c>
      <c r="W545" s="288">
        <f t="shared" si="51"/>
        <v>1228348.44</v>
      </c>
      <c r="X545" s="288">
        <f t="shared" si="51"/>
        <v>1541352.3599999996</v>
      </c>
      <c r="Y545" s="288">
        <f t="shared" si="51"/>
        <v>1292148.4000000001</v>
      </c>
      <c r="Z545" s="288">
        <f t="shared" si="51"/>
        <v>788266.07</v>
      </c>
      <c r="AA545" s="288">
        <f t="shared" si="51"/>
        <v>121057.16535</v>
      </c>
      <c r="AB545" s="288">
        <f t="shared" si="51"/>
        <v>746815.67485000007</v>
      </c>
      <c r="AC545" s="288">
        <f t="shared" si="51"/>
        <v>132100.39999999997</v>
      </c>
      <c r="AD545" s="288">
        <f t="shared" si="51"/>
        <v>228</v>
      </c>
      <c r="AE545" s="288">
        <f t="shared" si="51"/>
        <v>95000</v>
      </c>
      <c r="AF545" s="288">
        <f t="shared" si="51"/>
        <v>1680204.7999999998</v>
      </c>
      <c r="AG545" s="196" t="s">
        <v>1601</v>
      </c>
      <c r="AH545" s="288"/>
    </row>
    <row r="546" spans="1:34" x14ac:dyDescent="0.3">
      <c r="W546" s="292"/>
      <c r="X546" s="292"/>
      <c r="Y546" s="292"/>
      <c r="Z546" s="292"/>
      <c r="AA546" s="290"/>
      <c r="AB546" s="285"/>
      <c r="AC546" s="290"/>
      <c r="AE546" s="290"/>
      <c r="AF546" s="194"/>
    </row>
    <row r="547" spans="1:34" x14ac:dyDescent="0.3">
      <c r="A547" s="192">
        <v>5832</v>
      </c>
      <c r="B547" s="192">
        <v>82</v>
      </c>
      <c r="C547" s="192">
        <v>4000</v>
      </c>
      <c r="D547" s="192" t="s">
        <v>1602</v>
      </c>
      <c r="E547" s="192">
        <v>5728552</v>
      </c>
      <c r="F547" s="192" t="s">
        <v>1410</v>
      </c>
      <c r="G547" s="290">
        <v>0.21</v>
      </c>
      <c r="H547" s="192">
        <v>1302.92</v>
      </c>
      <c r="I547" s="192">
        <v>79.73</v>
      </c>
      <c r="J547" s="192">
        <v>10.210000000000001</v>
      </c>
      <c r="K547" s="192">
        <v>0</v>
      </c>
      <c r="L547" s="192">
        <v>0</v>
      </c>
      <c r="M547" s="192">
        <v>0</v>
      </c>
      <c r="N547" s="192">
        <v>0</v>
      </c>
      <c r="O547" s="192">
        <v>1392.86</v>
      </c>
      <c r="P547" s="192">
        <v>0</v>
      </c>
      <c r="Q547" s="192">
        <v>0</v>
      </c>
      <c r="R547" s="192">
        <v>0</v>
      </c>
      <c r="S547" s="285">
        <v>0.21</v>
      </c>
      <c r="T547" s="192">
        <v>0</v>
      </c>
      <c r="U547" s="291">
        <v>1392.86</v>
      </c>
      <c r="V547" s="291">
        <v>1392.86</v>
      </c>
      <c r="W547" s="292">
        <v>15112.32</v>
      </c>
      <c r="X547" s="292">
        <v>16714.32</v>
      </c>
      <c r="Y547" s="292">
        <v>15251.560000000001</v>
      </c>
      <c r="Z547" s="292">
        <v>20193.09</v>
      </c>
      <c r="AA547" s="290">
        <v>20662.707449999998</v>
      </c>
      <c r="AB547" s="285">
        <v>20501.12225</v>
      </c>
      <c r="AC547" s="290">
        <v>2700</v>
      </c>
      <c r="AD547" s="192">
        <v>12</v>
      </c>
      <c r="AE547" s="290">
        <v>2000</v>
      </c>
      <c r="AF547" s="194">
        <v>34400</v>
      </c>
    </row>
    <row r="548" spans="1:34" x14ac:dyDescent="0.3">
      <c r="A548" s="192">
        <v>5830</v>
      </c>
      <c r="B548" s="192">
        <v>82</v>
      </c>
      <c r="C548" s="192">
        <v>4000</v>
      </c>
      <c r="D548" s="192" t="s">
        <v>1602</v>
      </c>
      <c r="E548" s="192">
        <v>5716959</v>
      </c>
      <c r="F548" s="192" t="s">
        <v>1603</v>
      </c>
      <c r="G548" s="290">
        <v>1</v>
      </c>
      <c r="H548" s="192">
        <v>7045.22</v>
      </c>
      <c r="I548" s="192">
        <v>1914.35</v>
      </c>
      <c r="J548" s="192">
        <v>197.6</v>
      </c>
      <c r="K548" s="192">
        <v>1759.45</v>
      </c>
      <c r="L548" s="192">
        <v>0</v>
      </c>
      <c r="M548" s="192">
        <v>0</v>
      </c>
      <c r="N548" s="192">
        <v>316.5</v>
      </c>
      <c r="O548" s="192">
        <v>11233.12</v>
      </c>
      <c r="P548" s="192">
        <v>620</v>
      </c>
      <c r="Q548" s="192">
        <v>864.79</v>
      </c>
      <c r="R548" s="192">
        <v>0</v>
      </c>
      <c r="S548" s="285">
        <v>1</v>
      </c>
      <c r="T548" s="192">
        <v>1023.67</v>
      </c>
      <c r="U548" s="291">
        <v>13741.58</v>
      </c>
      <c r="V548" s="291">
        <v>13741.58</v>
      </c>
      <c r="W548" s="292">
        <v>165765.12</v>
      </c>
      <c r="X548" s="292">
        <v>164898.96</v>
      </c>
      <c r="Y548" s="292">
        <v>168592.68</v>
      </c>
      <c r="Z548" s="292">
        <v>186505.9</v>
      </c>
      <c r="AA548" s="290">
        <v>190775.82248999999</v>
      </c>
      <c r="AB548" s="285">
        <v>189283.92945</v>
      </c>
      <c r="AC548" s="290">
        <v>14500</v>
      </c>
      <c r="AD548" s="192">
        <v>12</v>
      </c>
      <c r="AE548" s="290">
        <v>10000</v>
      </c>
      <c r="AF548" s="194">
        <v>184000</v>
      </c>
    </row>
    <row r="549" spans="1:34" x14ac:dyDescent="0.3">
      <c r="A549" s="192">
        <v>5830</v>
      </c>
      <c r="B549" s="192">
        <v>82</v>
      </c>
      <c r="C549" s="192">
        <v>4000</v>
      </c>
      <c r="D549" s="192" t="s">
        <v>1602</v>
      </c>
      <c r="E549" s="192">
        <v>30033518</v>
      </c>
      <c r="F549" s="192" t="s">
        <v>1604</v>
      </c>
      <c r="G549" s="290">
        <v>1</v>
      </c>
      <c r="H549" s="192">
        <v>7435.67</v>
      </c>
      <c r="I549" s="192">
        <v>574.41999999999996</v>
      </c>
      <c r="J549" s="192">
        <v>173.3</v>
      </c>
      <c r="K549" s="192">
        <v>2083.88</v>
      </c>
      <c r="L549" s="192">
        <v>0</v>
      </c>
      <c r="M549" s="192">
        <v>0</v>
      </c>
      <c r="N549" s="192">
        <v>36.5</v>
      </c>
      <c r="O549" s="192">
        <v>10303.77</v>
      </c>
      <c r="P549" s="192">
        <v>544</v>
      </c>
      <c r="Q549" s="192">
        <v>791.53</v>
      </c>
      <c r="R549" s="192">
        <v>0</v>
      </c>
      <c r="S549" s="285">
        <v>1</v>
      </c>
      <c r="T549" s="192">
        <v>1713.49</v>
      </c>
      <c r="U549" s="291">
        <v>13352.79</v>
      </c>
      <c r="V549" s="291">
        <v>13352.79</v>
      </c>
      <c r="W549" s="292">
        <v>155060.16</v>
      </c>
      <c r="X549" s="292">
        <v>160233.48000000001</v>
      </c>
      <c r="Y549" s="292">
        <v>163070</v>
      </c>
      <c r="Z549" s="292">
        <v>184803.47</v>
      </c>
      <c r="AA549" s="290">
        <v>192671.21643</v>
      </c>
      <c r="AB549" s="285">
        <v>191164.50115</v>
      </c>
      <c r="AC549" s="290">
        <v>14500</v>
      </c>
      <c r="AD549" s="192">
        <v>12</v>
      </c>
      <c r="AE549" s="290">
        <v>10000</v>
      </c>
      <c r="AF549" s="194">
        <v>184000</v>
      </c>
    </row>
    <row r="550" spans="1:34" s="196" customFormat="1" ht="17.25" customHeight="1" x14ac:dyDescent="0.3">
      <c r="G550" s="288">
        <f>SUM(G547:G549)</f>
        <v>2.21</v>
      </c>
      <c r="H550" s="288">
        <f t="shared" ref="H550:AF550" si="52">SUM(H547:H549)</f>
        <v>15783.81</v>
      </c>
      <c r="I550" s="288">
        <f t="shared" si="52"/>
        <v>2568.5</v>
      </c>
      <c r="J550" s="288">
        <f t="shared" si="52"/>
        <v>381.11</v>
      </c>
      <c r="K550" s="288">
        <f t="shared" si="52"/>
        <v>3843.33</v>
      </c>
      <c r="L550" s="288">
        <f t="shared" si="52"/>
        <v>0</v>
      </c>
      <c r="M550" s="288">
        <f t="shared" si="52"/>
        <v>0</v>
      </c>
      <c r="N550" s="288">
        <f t="shared" si="52"/>
        <v>353</v>
      </c>
      <c r="O550" s="288">
        <f t="shared" si="52"/>
        <v>22929.75</v>
      </c>
      <c r="P550" s="288">
        <f t="shared" si="52"/>
        <v>1164</v>
      </c>
      <c r="Q550" s="288">
        <f t="shared" si="52"/>
        <v>1656.32</v>
      </c>
      <c r="R550" s="288">
        <f t="shared" si="52"/>
        <v>0</v>
      </c>
      <c r="S550" s="288">
        <f t="shared" si="52"/>
        <v>2.21</v>
      </c>
      <c r="T550" s="288">
        <f t="shared" si="52"/>
        <v>2737.16</v>
      </c>
      <c r="U550" s="288">
        <f t="shared" si="52"/>
        <v>28487.230000000003</v>
      </c>
      <c r="V550" s="288">
        <f t="shared" si="52"/>
        <v>28487.230000000003</v>
      </c>
      <c r="W550" s="288">
        <f t="shared" si="52"/>
        <v>335937.6</v>
      </c>
      <c r="X550" s="288">
        <f t="shared" si="52"/>
        <v>341846.76</v>
      </c>
      <c r="Y550" s="288">
        <f t="shared" si="52"/>
        <v>346914.24</v>
      </c>
      <c r="Z550" s="288">
        <f t="shared" si="52"/>
        <v>391502.45999999996</v>
      </c>
      <c r="AA550" s="288">
        <f t="shared" si="52"/>
        <v>404109.74636999995</v>
      </c>
      <c r="AB550" s="288">
        <f t="shared" si="52"/>
        <v>400949.55284999998</v>
      </c>
      <c r="AC550" s="288">
        <f t="shared" si="52"/>
        <v>31700</v>
      </c>
      <c r="AD550" s="288">
        <f t="shared" si="52"/>
        <v>36</v>
      </c>
      <c r="AE550" s="288">
        <f t="shared" si="52"/>
        <v>22000</v>
      </c>
      <c r="AF550" s="288">
        <f t="shared" si="52"/>
        <v>402400</v>
      </c>
      <c r="AH550" s="288"/>
    </row>
    <row r="551" spans="1:34" x14ac:dyDescent="0.3">
      <c r="W551" s="292"/>
      <c r="X551" s="292"/>
      <c r="Y551" s="292"/>
      <c r="Z551" s="292"/>
      <c r="AA551" s="290"/>
      <c r="AB551" s="285"/>
      <c r="AC551" s="290"/>
      <c r="AE551" s="290"/>
      <c r="AF551" s="194"/>
    </row>
    <row r="552" spans="1:34" x14ac:dyDescent="0.3">
      <c r="A552" s="192">
        <v>5830</v>
      </c>
      <c r="B552" s="192">
        <v>82</v>
      </c>
      <c r="C552" s="192">
        <v>8100</v>
      </c>
      <c r="D552" s="192" t="s">
        <v>132</v>
      </c>
      <c r="E552" s="192">
        <v>1202381</v>
      </c>
      <c r="F552" s="192" t="s">
        <v>1605</v>
      </c>
      <c r="G552" s="290">
        <v>0</v>
      </c>
      <c r="H552" s="192">
        <v>1451.61</v>
      </c>
      <c r="I552" s="192">
        <v>0</v>
      </c>
      <c r="J552" s="192">
        <v>72.099999999999994</v>
      </c>
      <c r="K552" s="192">
        <v>0</v>
      </c>
      <c r="L552" s="192">
        <v>0</v>
      </c>
      <c r="M552" s="192">
        <v>0</v>
      </c>
      <c r="N552" s="192">
        <v>0</v>
      </c>
      <c r="O552" s="192">
        <v>1523.71</v>
      </c>
      <c r="P552" s="192">
        <v>59</v>
      </c>
      <c r="Q552" s="192">
        <v>125.53</v>
      </c>
      <c r="R552" s="192">
        <v>0</v>
      </c>
      <c r="S552" s="285">
        <v>0</v>
      </c>
      <c r="T552" s="192">
        <v>195.97</v>
      </c>
      <c r="U552" s="291">
        <v>1904.21</v>
      </c>
      <c r="V552" s="291">
        <v>1904.21</v>
      </c>
      <c r="W552" s="292">
        <v>46826.159999999996</v>
      </c>
      <c r="X552" s="292">
        <v>22850.52</v>
      </c>
      <c r="Y552" s="292">
        <v>38834.28</v>
      </c>
      <c r="Z552" s="292">
        <v>23266.63</v>
      </c>
      <c r="AA552" s="290">
        <v>24882.541529999995</v>
      </c>
      <c r="AB552" s="285">
        <v>40374.945599999992</v>
      </c>
      <c r="AC552" s="290"/>
      <c r="AD552" s="192">
        <v>12</v>
      </c>
      <c r="AE552" s="290"/>
      <c r="AF552" s="194">
        <v>0</v>
      </c>
    </row>
    <row r="553" spans="1:34" x14ac:dyDescent="0.3">
      <c r="A553" s="192">
        <v>5830</v>
      </c>
      <c r="B553" s="192">
        <v>82</v>
      </c>
      <c r="C553" s="192">
        <v>8100</v>
      </c>
      <c r="D553" s="192" t="s">
        <v>132</v>
      </c>
      <c r="E553" s="192">
        <v>2154634</v>
      </c>
      <c r="F553" s="192" t="s">
        <v>1606</v>
      </c>
      <c r="G553" s="290">
        <v>0</v>
      </c>
      <c r="H553" s="192">
        <v>1181.6099999999999</v>
      </c>
      <c r="I553" s="192">
        <v>0</v>
      </c>
      <c r="J553" s="192">
        <v>72.099999999999994</v>
      </c>
      <c r="K553" s="192">
        <v>0</v>
      </c>
      <c r="L553" s="192">
        <v>0</v>
      </c>
      <c r="M553" s="192">
        <v>0</v>
      </c>
      <c r="N553" s="192">
        <v>0</v>
      </c>
      <c r="O553" s="192">
        <v>1253.71</v>
      </c>
      <c r="P553" s="192">
        <v>49</v>
      </c>
      <c r="Q553" s="192">
        <v>105.28</v>
      </c>
      <c r="R553" s="192">
        <v>0</v>
      </c>
      <c r="S553" s="285">
        <v>0</v>
      </c>
      <c r="T553" s="192">
        <v>159.52000000000001</v>
      </c>
      <c r="U553" s="291">
        <v>1567.51</v>
      </c>
      <c r="V553" s="291">
        <v>1567.51</v>
      </c>
      <c r="W553" s="292">
        <v>46826.159999999996</v>
      </c>
      <c r="X553" s="292">
        <v>18810.12</v>
      </c>
      <c r="Y553" s="292">
        <v>38160.879999999997</v>
      </c>
      <c r="Z553" s="292">
        <v>13616.23</v>
      </c>
      <c r="AA553" s="290">
        <v>14324.06646</v>
      </c>
      <c r="AB553" s="285">
        <v>43690.425599999995</v>
      </c>
      <c r="AC553" s="290"/>
      <c r="AD553" s="192">
        <v>12</v>
      </c>
      <c r="AE553" s="290"/>
      <c r="AF553" s="194">
        <v>0</v>
      </c>
    </row>
    <row r="554" spans="1:34" x14ac:dyDescent="0.3">
      <c r="A554" s="192">
        <v>5830</v>
      </c>
      <c r="B554" s="192">
        <v>82</v>
      </c>
      <c r="C554" s="192">
        <v>8100</v>
      </c>
      <c r="D554" s="192" t="s">
        <v>132</v>
      </c>
      <c r="E554" s="192">
        <v>2154799</v>
      </c>
      <c r="F554" s="192" t="s">
        <v>1607</v>
      </c>
      <c r="G554" s="290">
        <v>0.71</v>
      </c>
      <c r="H554" s="192">
        <v>3918.77</v>
      </c>
      <c r="I554" s="192">
        <v>253.79</v>
      </c>
      <c r="J554" s="192">
        <v>149</v>
      </c>
      <c r="K554" s="192">
        <v>0</v>
      </c>
      <c r="L554" s="192">
        <v>0</v>
      </c>
      <c r="M554" s="192">
        <v>0</v>
      </c>
      <c r="N554" s="192">
        <v>36.5</v>
      </c>
      <c r="O554" s="192">
        <v>4358.0600000000004</v>
      </c>
      <c r="P554" s="192">
        <v>160</v>
      </c>
      <c r="Q554" s="192">
        <v>338.1</v>
      </c>
      <c r="R554" s="192">
        <v>0</v>
      </c>
      <c r="S554" s="285">
        <v>0.71</v>
      </c>
      <c r="T554" s="192">
        <v>903.28</v>
      </c>
      <c r="U554" s="291">
        <v>5759.44</v>
      </c>
      <c r="V554" s="291">
        <v>5759.44</v>
      </c>
      <c r="W554" s="292">
        <v>59836.08</v>
      </c>
      <c r="X554" s="292">
        <v>69113.279999999999</v>
      </c>
      <c r="Y554" s="292">
        <v>65813.320000000007</v>
      </c>
      <c r="Z554" s="292">
        <v>34577.1</v>
      </c>
      <c r="AA554" s="290">
        <v>35372.373299999992</v>
      </c>
      <c r="AB554" s="285">
        <v>68846.140439999988</v>
      </c>
      <c r="AC554" s="290"/>
      <c r="AD554" s="192">
        <v>12</v>
      </c>
      <c r="AE554" s="290"/>
      <c r="AF554" s="194">
        <v>0</v>
      </c>
    </row>
    <row r="555" spans="1:34" x14ac:dyDescent="0.3">
      <c r="A555" s="192">
        <v>5830</v>
      </c>
      <c r="B555" s="192">
        <v>82</v>
      </c>
      <c r="C555" s="192">
        <v>8100</v>
      </c>
      <c r="D555" s="192" t="s">
        <v>132</v>
      </c>
      <c r="E555" s="192">
        <v>2887562</v>
      </c>
      <c r="F555" s="192" t="s">
        <v>1391</v>
      </c>
      <c r="G555" s="290">
        <v>0.67200000000000004</v>
      </c>
      <c r="H555" s="192">
        <v>3642.3</v>
      </c>
      <c r="I555" s="192">
        <v>237.52</v>
      </c>
      <c r="J555" s="192">
        <v>28.58</v>
      </c>
      <c r="K555" s="192">
        <v>0</v>
      </c>
      <c r="L555" s="192">
        <v>0</v>
      </c>
      <c r="M555" s="192">
        <v>0</v>
      </c>
      <c r="N555" s="192">
        <v>0</v>
      </c>
      <c r="O555" s="192">
        <v>3908.4</v>
      </c>
      <c r="P555" s="192">
        <v>0</v>
      </c>
      <c r="Q555" s="192">
        <v>0</v>
      </c>
      <c r="R555" s="192">
        <v>0</v>
      </c>
      <c r="S555" s="285">
        <v>0.67200000000000004</v>
      </c>
      <c r="T555" s="192">
        <v>0</v>
      </c>
      <c r="U555" s="291">
        <v>3908.4</v>
      </c>
      <c r="V555" s="291">
        <v>3908.4</v>
      </c>
      <c r="W555" s="292">
        <v>10140.119999999999</v>
      </c>
      <c r="X555" s="292">
        <v>46900.800000000003</v>
      </c>
      <c r="Y555" s="292">
        <v>10643</v>
      </c>
      <c r="Z555" s="292">
        <v>1031.1500000000001</v>
      </c>
      <c r="AA555" s="290">
        <v>66555.561600000001</v>
      </c>
      <c r="AB555" s="285">
        <v>62447.643719999993</v>
      </c>
      <c r="AC555" s="290"/>
      <c r="AD555" s="192">
        <v>12</v>
      </c>
      <c r="AE555" s="290"/>
      <c r="AF555" s="194">
        <v>0</v>
      </c>
    </row>
    <row r="556" spans="1:34" x14ac:dyDescent="0.3">
      <c r="A556" s="192">
        <v>5830</v>
      </c>
      <c r="B556" s="192">
        <v>82</v>
      </c>
      <c r="C556" s="192">
        <v>8100</v>
      </c>
      <c r="D556" s="192" t="s">
        <v>132</v>
      </c>
      <c r="E556" s="192">
        <v>3196478</v>
      </c>
      <c r="F556" s="192" t="s">
        <v>1608</v>
      </c>
      <c r="G556" s="290">
        <v>0</v>
      </c>
      <c r="H556" s="192">
        <v>3000</v>
      </c>
      <c r="I556" s="192">
        <v>0</v>
      </c>
      <c r="J556" s="192">
        <v>149</v>
      </c>
      <c r="K556" s="192">
        <v>0</v>
      </c>
      <c r="L556" s="192">
        <v>0</v>
      </c>
      <c r="M556" s="192">
        <v>0</v>
      </c>
      <c r="N556" s="192">
        <v>0</v>
      </c>
      <c r="O556" s="192">
        <v>3149</v>
      </c>
      <c r="P556" s="192">
        <v>117</v>
      </c>
      <c r="Q556" s="192">
        <v>247.43</v>
      </c>
      <c r="R556" s="192">
        <v>0</v>
      </c>
      <c r="S556" s="285">
        <v>0</v>
      </c>
      <c r="T556" s="192">
        <v>405</v>
      </c>
      <c r="U556" s="291">
        <v>3918.43</v>
      </c>
      <c r="V556" s="291">
        <v>3918.43</v>
      </c>
      <c r="W556" s="292">
        <v>46826.159999999996</v>
      </c>
      <c r="X556" s="292">
        <v>47021.159999999996</v>
      </c>
      <c r="Y556" s="292">
        <v>46891.16</v>
      </c>
      <c r="Z556" s="292">
        <v>747.3</v>
      </c>
      <c r="AA556" s="290">
        <v>1146.7318499999997</v>
      </c>
      <c r="AB556" s="285">
        <v>0</v>
      </c>
      <c r="AC556" s="290"/>
      <c r="AD556" s="192">
        <v>12</v>
      </c>
      <c r="AE556" s="290"/>
      <c r="AF556" s="194">
        <v>0</v>
      </c>
    </row>
    <row r="557" spans="1:34" x14ac:dyDescent="0.3">
      <c r="A557" s="192">
        <v>5830</v>
      </c>
      <c r="B557" s="192">
        <v>82</v>
      </c>
      <c r="C557" s="192">
        <v>8100</v>
      </c>
      <c r="D557" s="192" t="s">
        <v>132</v>
      </c>
      <c r="E557" s="192">
        <v>3237149</v>
      </c>
      <c r="F557" s="192" t="s">
        <v>1609</v>
      </c>
      <c r="G557" s="290">
        <v>1</v>
      </c>
      <c r="H557" s="192">
        <v>8400.81</v>
      </c>
      <c r="I557" s="192">
        <v>4627.7299999999996</v>
      </c>
      <c r="J557" s="192">
        <v>820.57</v>
      </c>
      <c r="K557" s="192">
        <v>2259.4499999999998</v>
      </c>
      <c r="L557" s="192">
        <v>0</v>
      </c>
      <c r="M557" s="192">
        <v>0</v>
      </c>
      <c r="N557" s="192">
        <v>36.5</v>
      </c>
      <c r="O557" s="192">
        <v>16145.06</v>
      </c>
      <c r="P557" s="192">
        <v>971</v>
      </c>
      <c r="Q557" s="192">
        <v>1210.8699999999999</v>
      </c>
      <c r="R557" s="192">
        <v>0</v>
      </c>
      <c r="S557" s="285">
        <v>1</v>
      </c>
      <c r="T557" s="192">
        <v>1432.26</v>
      </c>
      <c r="U557" s="291">
        <v>19759.189999999999</v>
      </c>
      <c r="V557" s="291">
        <v>19759.189999999999</v>
      </c>
      <c r="W557" s="292">
        <v>234224.27999999997</v>
      </c>
      <c r="X557" s="292">
        <v>237110.27999999997</v>
      </c>
      <c r="Y557" s="292">
        <v>234118.72</v>
      </c>
      <c r="Z557" s="292">
        <v>122172.42</v>
      </c>
      <c r="AA557" s="290">
        <v>201846.02261999997</v>
      </c>
      <c r="AB557" s="285">
        <v>250000</v>
      </c>
      <c r="AC557" s="290"/>
      <c r="AD557" s="192">
        <v>12</v>
      </c>
      <c r="AE557" s="290"/>
      <c r="AF557" s="194">
        <v>0</v>
      </c>
    </row>
    <row r="558" spans="1:34" x14ac:dyDescent="0.3">
      <c r="A558" s="192">
        <v>5830</v>
      </c>
      <c r="B558" s="192">
        <v>82</v>
      </c>
      <c r="C558" s="192">
        <v>8100</v>
      </c>
      <c r="D558" s="192" t="s">
        <v>132</v>
      </c>
      <c r="E558" s="192">
        <v>3367996</v>
      </c>
      <c r="F558" s="192" t="s">
        <v>1610</v>
      </c>
      <c r="G558" s="290">
        <v>0.62</v>
      </c>
      <c r="H558" s="192">
        <v>3471.12</v>
      </c>
      <c r="I558" s="192">
        <v>223.27</v>
      </c>
      <c r="J558" s="192">
        <v>179.13</v>
      </c>
      <c r="K558" s="192">
        <v>0</v>
      </c>
      <c r="L558" s="192">
        <v>0</v>
      </c>
      <c r="M558" s="192">
        <v>0</v>
      </c>
      <c r="N558" s="192">
        <v>36.5</v>
      </c>
      <c r="O558" s="192">
        <v>3910.02</v>
      </c>
      <c r="P558" s="192">
        <v>139</v>
      </c>
      <c r="Q558" s="192">
        <v>293.25</v>
      </c>
      <c r="R558" s="192">
        <v>0</v>
      </c>
      <c r="S558" s="285">
        <v>0.62</v>
      </c>
      <c r="T558" s="192">
        <v>304.45999999999998</v>
      </c>
      <c r="U558" s="291">
        <v>4646.7299999999996</v>
      </c>
      <c r="V558" s="291">
        <v>4646.7299999999996</v>
      </c>
      <c r="W558" s="292">
        <v>52384.319999999992</v>
      </c>
      <c r="X558" s="292">
        <v>55760.759999999995</v>
      </c>
      <c r="Y558" s="292">
        <v>54522.32</v>
      </c>
      <c r="Z558" s="292">
        <v>3552.83</v>
      </c>
      <c r="AA558" s="290">
        <v>0</v>
      </c>
      <c r="AB558" s="285">
        <v>0</v>
      </c>
      <c r="AC558" s="290"/>
      <c r="AD558" s="192">
        <v>12</v>
      </c>
      <c r="AE558" s="290"/>
      <c r="AF558" s="194">
        <v>0</v>
      </c>
    </row>
    <row r="559" spans="1:34" x14ac:dyDescent="0.3">
      <c r="A559" s="192">
        <v>5830</v>
      </c>
      <c r="B559" s="192">
        <v>82</v>
      </c>
      <c r="C559" s="192">
        <v>8100</v>
      </c>
      <c r="D559" s="192" t="s">
        <v>132</v>
      </c>
      <c r="E559" s="192">
        <v>3633833</v>
      </c>
      <c r="F559" s="192" t="s">
        <v>1611</v>
      </c>
      <c r="G559" s="290">
        <v>0.75</v>
      </c>
      <c r="H559" s="192">
        <v>4124.99</v>
      </c>
      <c r="I559" s="192">
        <v>267.58999999999997</v>
      </c>
      <c r="J559" s="192">
        <v>185.45</v>
      </c>
      <c r="K559" s="192">
        <v>0</v>
      </c>
      <c r="L559" s="192">
        <v>0</v>
      </c>
      <c r="M559" s="192">
        <v>0</v>
      </c>
      <c r="N559" s="192">
        <v>36.5</v>
      </c>
      <c r="O559" s="192">
        <v>4614.53</v>
      </c>
      <c r="P559" s="192">
        <v>164</v>
      </c>
      <c r="Q559" s="192">
        <v>346.09</v>
      </c>
      <c r="R559" s="192">
        <v>0</v>
      </c>
      <c r="S559" s="285">
        <v>0.75</v>
      </c>
      <c r="T559" s="192">
        <v>949.4</v>
      </c>
      <c r="U559" s="291">
        <v>6074.02</v>
      </c>
      <c r="V559" s="291">
        <v>6074.02</v>
      </c>
      <c r="W559" s="292">
        <v>58932.36</v>
      </c>
      <c r="X559" s="292">
        <v>72888.240000000005</v>
      </c>
      <c r="Y559" s="292">
        <v>68086.240000000005</v>
      </c>
      <c r="Z559" s="292">
        <v>37389.65</v>
      </c>
      <c r="AA559" s="290">
        <v>37993.002629999995</v>
      </c>
      <c r="AB559" s="285">
        <v>71540.599679999999</v>
      </c>
      <c r="AC559" s="290"/>
      <c r="AD559" s="192">
        <v>12</v>
      </c>
      <c r="AE559" s="290"/>
      <c r="AF559" s="194">
        <v>0</v>
      </c>
    </row>
    <row r="560" spans="1:34" x14ac:dyDescent="0.3">
      <c r="A560" s="192">
        <v>5830</v>
      </c>
      <c r="B560" s="192">
        <v>82</v>
      </c>
      <c r="C560" s="192">
        <v>8100</v>
      </c>
      <c r="D560" s="192" t="s">
        <v>132</v>
      </c>
      <c r="E560" s="192">
        <v>3673846</v>
      </c>
      <c r="F560" s="192" t="s">
        <v>1612</v>
      </c>
      <c r="G560" s="290">
        <v>0.25</v>
      </c>
      <c r="H560" s="192">
        <v>1548.48</v>
      </c>
      <c r="I560" s="192">
        <v>116.43</v>
      </c>
      <c r="J560" s="192">
        <v>9.11</v>
      </c>
      <c r="K560" s="192">
        <v>0</v>
      </c>
      <c r="L560" s="192">
        <v>0</v>
      </c>
      <c r="M560" s="192">
        <v>0</v>
      </c>
      <c r="N560" s="192">
        <v>132.75</v>
      </c>
      <c r="O560" s="192">
        <v>1806.77</v>
      </c>
      <c r="P560" s="192">
        <v>0</v>
      </c>
      <c r="Q560" s="192">
        <v>0</v>
      </c>
      <c r="R560" s="192">
        <v>0</v>
      </c>
      <c r="S560" s="285">
        <v>0.25</v>
      </c>
      <c r="T560" s="192">
        <v>0</v>
      </c>
      <c r="U560" s="291">
        <v>1806.77</v>
      </c>
      <c r="V560" s="291">
        <v>1806.77</v>
      </c>
      <c r="W560" s="292">
        <v>19723.199999999997</v>
      </c>
      <c r="X560" s="292">
        <v>21681.239999999998</v>
      </c>
      <c r="Y560" s="292">
        <v>21379.8</v>
      </c>
      <c r="Z560" s="292">
        <v>11801.51</v>
      </c>
      <c r="AA560" s="290">
        <v>11975.851799999997</v>
      </c>
      <c r="AB560" s="285">
        <v>34968.008599999994</v>
      </c>
      <c r="AC560" s="290"/>
      <c r="AD560" s="192">
        <v>12</v>
      </c>
      <c r="AE560" s="290"/>
      <c r="AF560" s="194">
        <v>0</v>
      </c>
    </row>
    <row r="561" spans="1:34" x14ac:dyDescent="0.3">
      <c r="A561" s="192">
        <v>5830</v>
      </c>
      <c r="B561" s="192">
        <v>82</v>
      </c>
      <c r="C561" s="192">
        <v>8100</v>
      </c>
      <c r="D561" s="192" t="s">
        <v>132</v>
      </c>
      <c r="E561" s="192">
        <v>4004901</v>
      </c>
      <c r="F561" s="192" t="s">
        <v>1613</v>
      </c>
      <c r="G561" s="290">
        <v>0.7</v>
      </c>
      <c r="H561" s="192">
        <v>3679.5</v>
      </c>
      <c r="I561" s="192">
        <v>249.75</v>
      </c>
      <c r="J561" s="192">
        <v>183.02</v>
      </c>
      <c r="K561" s="192">
        <v>0</v>
      </c>
      <c r="L561" s="192">
        <v>0</v>
      </c>
      <c r="M561" s="192">
        <v>0</v>
      </c>
      <c r="N561" s="192">
        <v>36.5</v>
      </c>
      <c r="O561" s="192">
        <v>4148.7700000000004</v>
      </c>
      <c r="P561" s="192">
        <v>153</v>
      </c>
      <c r="Q561" s="192">
        <v>322.41000000000003</v>
      </c>
      <c r="R561" s="192">
        <v>0</v>
      </c>
      <c r="S561" s="285">
        <v>0.69999999999999984</v>
      </c>
      <c r="T561" s="192">
        <v>26.29</v>
      </c>
      <c r="U561" s="291">
        <v>4650.47</v>
      </c>
      <c r="V561" s="291">
        <v>4650.47</v>
      </c>
      <c r="W561" s="292">
        <v>56903.759999999995</v>
      </c>
      <c r="X561" s="292">
        <v>55805.64</v>
      </c>
      <c r="Y561" s="292">
        <v>55749.87999999999</v>
      </c>
      <c r="Z561" s="292">
        <v>16687.16</v>
      </c>
      <c r="AA561" s="290">
        <v>17070.964679999997</v>
      </c>
      <c r="AB561" s="285">
        <v>70000</v>
      </c>
      <c r="AC561" s="290"/>
      <c r="AD561" s="192">
        <v>12</v>
      </c>
      <c r="AE561" s="290"/>
      <c r="AF561" s="194">
        <v>0</v>
      </c>
    </row>
    <row r="562" spans="1:34" x14ac:dyDescent="0.3">
      <c r="A562" s="192">
        <v>5830</v>
      </c>
      <c r="B562" s="192">
        <v>82</v>
      </c>
      <c r="C562" s="192">
        <v>8100</v>
      </c>
      <c r="D562" s="192" t="s">
        <v>132</v>
      </c>
      <c r="E562" s="192">
        <v>20348246</v>
      </c>
      <c r="F562" s="192" t="s">
        <v>1614</v>
      </c>
      <c r="G562" s="290">
        <v>0</v>
      </c>
      <c r="H562" s="192">
        <v>1451.61</v>
      </c>
      <c r="I562" s="192">
        <v>0</v>
      </c>
      <c r="J562" s="192">
        <v>72.099999999999994</v>
      </c>
      <c r="K562" s="192">
        <v>0</v>
      </c>
      <c r="L562" s="192">
        <v>0</v>
      </c>
      <c r="M562" s="192">
        <v>0</v>
      </c>
      <c r="N562" s="192">
        <v>0</v>
      </c>
      <c r="O562" s="192">
        <v>1523.71</v>
      </c>
      <c r="P562" s="192">
        <v>59</v>
      </c>
      <c r="Q562" s="192">
        <v>125.53</v>
      </c>
      <c r="R562" s="192">
        <v>0</v>
      </c>
      <c r="S562" s="285">
        <v>0</v>
      </c>
      <c r="T562" s="192">
        <v>195.97</v>
      </c>
      <c r="U562" s="291">
        <v>1904.21</v>
      </c>
      <c r="V562" s="291">
        <v>1904.21</v>
      </c>
      <c r="W562" s="292">
        <v>46826.159999999996</v>
      </c>
      <c r="X562" s="292">
        <v>22850.52</v>
      </c>
      <c r="Y562" s="292">
        <v>38834.28</v>
      </c>
      <c r="Z562" s="292">
        <v>14536.38</v>
      </c>
      <c r="AA562" s="290">
        <v>15966.943079999997</v>
      </c>
      <c r="AB562" s="285">
        <v>39917.357699999993</v>
      </c>
      <c r="AC562" s="290"/>
      <c r="AD562" s="192">
        <v>12</v>
      </c>
      <c r="AE562" s="290"/>
      <c r="AF562" s="194">
        <v>0</v>
      </c>
    </row>
    <row r="563" spans="1:34" x14ac:dyDescent="0.3">
      <c r="A563" s="192">
        <v>5832</v>
      </c>
      <c r="B563" s="192">
        <v>82</v>
      </c>
      <c r="C563" s="192">
        <v>8100</v>
      </c>
      <c r="D563" s="192" t="s">
        <v>132</v>
      </c>
      <c r="E563" s="192">
        <v>4060829</v>
      </c>
      <c r="F563" s="192" t="s">
        <v>1573</v>
      </c>
      <c r="G563" s="290">
        <v>0.63</v>
      </c>
      <c r="H563" s="192">
        <v>3669.28</v>
      </c>
      <c r="I563" s="192">
        <v>232.31</v>
      </c>
      <c r="J563" s="192">
        <v>105.2</v>
      </c>
      <c r="K563" s="192">
        <v>0</v>
      </c>
      <c r="L563" s="192">
        <v>0</v>
      </c>
      <c r="M563" s="192">
        <v>0</v>
      </c>
      <c r="N563" s="192">
        <v>23</v>
      </c>
      <c r="O563" s="192">
        <v>4029.79</v>
      </c>
      <c r="P563" s="192">
        <v>144.9</v>
      </c>
      <c r="Q563" s="192">
        <v>302.23</v>
      </c>
      <c r="R563" s="192">
        <v>0</v>
      </c>
      <c r="S563" s="285">
        <v>0.63</v>
      </c>
      <c r="T563" s="192">
        <v>837.17</v>
      </c>
      <c r="U563" s="291">
        <v>5314.09</v>
      </c>
      <c r="V563" s="291">
        <v>5314.09</v>
      </c>
      <c r="W563" s="292">
        <v>28847.159999999996</v>
      </c>
      <c r="X563" s="292">
        <v>63769.08</v>
      </c>
      <c r="Y563" s="292">
        <v>34173.440000000002</v>
      </c>
      <c r="Z563" s="292">
        <v>54989.83</v>
      </c>
      <c r="AA563" s="290">
        <v>56254.596089999999</v>
      </c>
      <c r="AB563" s="285">
        <v>55814.677449999996</v>
      </c>
      <c r="AC563" s="290"/>
      <c r="AD563" s="192">
        <v>12</v>
      </c>
      <c r="AE563" s="290"/>
      <c r="AF563" s="194">
        <v>0</v>
      </c>
    </row>
    <row r="564" spans="1:34" x14ac:dyDescent="0.3">
      <c r="A564" s="192">
        <v>5830</v>
      </c>
      <c r="B564" s="192">
        <v>82</v>
      </c>
      <c r="C564" s="192">
        <v>8100</v>
      </c>
      <c r="D564" s="192" t="s">
        <v>132</v>
      </c>
      <c r="E564" s="192">
        <v>30316097</v>
      </c>
      <c r="F564" s="192" t="s">
        <v>1615</v>
      </c>
      <c r="G564" s="290">
        <v>0</v>
      </c>
      <c r="H564" s="192">
        <v>1451.61</v>
      </c>
      <c r="I564" s="192">
        <v>0</v>
      </c>
      <c r="J564" s="192">
        <v>72.099999999999994</v>
      </c>
      <c r="K564" s="192">
        <v>0</v>
      </c>
      <c r="L564" s="192">
        <v>0</v>
      </c>
      <c r="M564" s="192">
        <v>0</v>
      </c>
      <c r="N564" s="192">
        <v>0</v>
      </c>
      <c r="O564" s="192">
        <v>1523.71</v>
      </c>
      <c r="P564" s="192">
        <v>59</v>
      </c>
      <c r="Q564" s="192">
        <v>125.53</v>
      </c>
      <c r="R564" s="192">
        <v>0</v>
      </c>
      <c r="S564" s="285">
        <v>0</v>
      </c>
      <c r="T564" s="192">
        <v>195.97</v>
      </c>
      <c r="U564" s="291">
        <v>1904.21</v>
      </c>
      <c r="V564" s="291">
        <v>1904.21</v>
      </c>
      <c r="W564" s="292">
        <v>46826.159999999996</v>
      </c>
      <c r="X564" s="292">
        <v>22850.52</v>
      </c>
      <c r="Y564" s="292">
        <v>38834.28</v>
      </c>
      <c r="Z564" s="292">
        <v>15167.88</v>
      </c>
      <c r="AA564" s="290">
        <v>16795.573079999998</v>
      </c>
      <c r="AB564" s="285">
        <v>44060.507699999987</v>
      </c>
      <c r="AC564" s="290"/>
      <c r="AD564" s="192">
        <v>12</v>
      </c>
      <c r="AE564" s="290"/>
      <c r="AF564" s="194">
        <v>0</v>
      </c>
    </row>
    <row r="565" spans="1:34" s="196" customFormat="1" ht="17.25" customHeight="1" x14ac:dyDescent="0.3">
      <c r="G565" s="288">
        <f>SUM(G552:G564)</f>
        <v>5.3320000000000007</v>
      </c>
      <c r="H565" s="288">
        <f t="shared" ref="H565:AE565" si="53">SUM(H552:H564)</f>
        <v>40991.69</v>
      </c>
      <c r="I565" s="288">
        <f t="shared" si="53"/>
        <v>6208.3900000000012</v>
      </c>
      <c r="J565" s="288">
        <f t="shared" si="53"/>
        <v>2097.46</v>
      </c>
      <c r="K565" s="288">
        <f t="shared" si="53"/>
        <v>2259.4499999999998</v>
      </c>
      <c r="L565" s="288">
        <f t="shared" si="53"/>
        <v>0</v>
      </c>
      <c r="M565" s="288">
        <f t="shared" si="53"/>
        <v>0</v>
      </c>
      <c r="N565" s="288">
        <f t="shared" si="53"/>
        <v>338.25</v>
      </c>
      <c r="O565" s="288">
        <f t="shared" si="53"/>
        <v>51895.24</v>
      </c>
      <c r="P565" s="288">
        <f t="shared" si="53"/>
        <v>2074.9</v>
      </c>
      <c r="Q565" s="288">
        <f t="shared" si="53"/>
        <v>3542.2500000000005</v>
      </c>
      <c r="R565" s="288">
        <f t="shared" si="53"/>
        <v>0</v>
      </c>
      <c r="S565" s="288">
        <f t="shared" si="53"/>
        <v>5.3320000000000007</v>
      </c>
      <c r="T565" s="288">
        <f t="shared" si="53"/>
        <v>5605.29</v>
      </c>
      <c r="U565" s="288">
        <f t="shared" si="53"/>
        <v>63117.679999999986</v>
      </c>
      <c r="V565" s="288">
        <f t="shared" si="53"/>
        <v>63117.679999999986</v>
      </c>
      <c r="W565" s="288">
        <f t="shared" si="53"/>
        <v>755122.08000000007</v>
      </c>
      <c r="X565" s="288">
        <f t="shared" si="53"/>
        <v>757412.16</v>
      </c>
      <c r="Y565" s="288">
        <f t="shared" si="53"/>
        <v>746041.60000000009</v>
      </c>
      <c r="Z565" s="288">
        <f t="shared" si="53"/>
        <v>349536.07</v>
      </c>
      <c r="AA565" s="288">
        <f t="shared" si="53"/>
        <v>500184.22871999996</v>
      </c>
      <c r="AB565" s="288">
        <f t="shared" si="53"/>
        <v>781660.30648999976</v>
      </c>
      <c r="AC565" s="288">
        <f t="shared" si="53"/>
        <v>0</v>
      </c>
      <c r="AD565" s="288">
        <f t="shared" si="53"/>
        <v>156</v>
      </c>
      <c r="AE565" s="288">
        <f t="shared" si="53"/>
        <v>0</v>
      </c>
      <c r="AF565" s="288">
        <v>751660</v>
      </c>
      <c r="AG565" s="196" t="s">
        <v>1616</v>
      </c>
      <c r="AH565" s="288"/>
    </row>
    <row r="566" spans="1:34" x14ac:dyDescent="0.3">
      <c r="W566" s="292"/>
      <c r="X566" s="292"/>
      <c r="Y566" s="292"/>
      <c r="Z566" s="292"/>
      <c r="AA566" s="290"/>
      <c r="AB566" s="285"/>
      <c r="AC566" s="290"/>
      <c r="AE566" s="290"/>
      <c r="AF566" s="194"/>
    </row>
    <row r="567" spans="1:34" x14ac:dyDescent="0.3">
      <c r="F567" s="192" t="s">
        <v>1168</v>
      </c>
      <c r="G567" s="290">
        <v>1.5</v>
      </c>
      <c r="S567" s="285">
        <f>G567*AD567/$AG$1</f>
        <v>0</v>
      </c>
      <c r="W567" s="292"/>
      <c r="X567" s="292"/>
      <c r="Y567" s="292"/>
      <c r="Z567" s="292"/>
      <c r="AA567" s="290"/>
      <c r="AB567" s="285"/>
      <c r="AC567" s="290"/>
      <c r="AE567" s="290">
        <v>266000</v>
      </c>
      <c r="AF567" s="194">
        <v>266000</v>
      </c>
    </row>
    <row r="568" spans="1:34" x14ac:dyDescent="0.3">
      <c r="A568" s="192">
        <v>5830</v>
      </c>
      <c r="B568" s="192">
        <v>82</v>
      </c>
      <c r="C568" s="192">
        <v>8200</v>
      </c>
      <c r="D568" s="192" t="s">
        <v>1617</v>
      </c>
      <c r="E568" s="192">
        <v>5542369</v>
      </c>
      <c r="F568" s="192" t="s">
        <v>1618</v>
      </c>
      <c r="G568" s="290">
        <v>1</v>
      </c>
      <c r="H568" s="192">
        <v>6858.39</v>
      </c>
      <c r="I568" s="192">
        <v>1586.12</v>
      </c>
      <c r="J568" s="192">
        <v>197.6</v>
      </c>
      <c r="K568" s="192">
        <v>1396.72</v>
      </c>
      <c r="L568" s="192">
        <v>0</v>
      </c>
      <c r="M568" s="192">
        <v>0</v>
      </c>
      <c r="N568" s="192">
        <v>36.5</v>
      </c>
      <c r="O568" s="192">
        <v>10075.33</v>
      </c>
      <c r="P568" s="192">
        <v>509</v>
      </c>
      <c r="Q568" s="192">
        <v>755.65</v>
      </c>
      <c r="R568" s="192">
        <v>0</v>
      </c>
      <c r="S568" s="285">
        <v>1</v>
      </c>
      <c r="T568" s="192">
        <v>1794.03</v>
      </c>
      <c r="U568" s="291">
        <v>13134.01</v>
      </c>
      <c r="V568" s="291">
        <v>13134.01</v>
      </c>
      <c r="W568" s="292">
        <v>178393.8</v>
      </c>
      <c r="X568" s="292">
        <v>157608.12</v>
      </c>
      <c r="Y568" s="292">
        <v>164968.92000000001</v>
      </c>
      <c r="Z568" s="292">
        <v>164768.9</v>
      </c>
      <c r="AA568" s="290">
        <v>168759.67581000002</v>
      </c>
      <c r="AB568" s="285">
        <v>167439.95205000002</v>
      </c>
      <c r="AC568" s="290">
        <v>13800</v>
      </c>
      <c r="AD568" s="192">
        <v>12</v>
      </c>
      <c r="AE568" s="290">
        <v>10000</v>
      </c>
      <c r="AF568" s="194">
        <v>175600</v>
      </c>
    </row>
    <row r="569" spans="1:34" x14ac:dyDescent="0.3">
      <c r="A569" s="192">
        <v>5830</v>
      </c>
      <c r="B569" s="192">
        <v>82</v>
      </c>
      <c r="C569" s="192">
        <v>8200</v>
      </c>
      <c r="D569" s="192" t="s">
        <v>1617</v>
      </c>
      <c r="E569" s="192">
        <v>20103592</v>
      </c>
      <c r="F569" s="192" t="s">
        <v>1619</v>
      </c>
      <c r="G569" s="290">
        <v>1</v>
      </c>
      <c r="H569" s="192">
        <v>5379.9</v>
      </c>
      <c r="I569" s="192">
        <v>361.31</v>
      </c>
      <c r="J569" s="192">
        <v>197.6</v>
      </c>
      <c r="K569" s="192">
        <v>1202.51</v>
      </c>
      <c r="L569" s="192">
        <v>0</v>
      </c>
      <c r="M569" s="192">
        <v>0</v>
      </c>
      <c r="N569" s="192">
        <v>36.5</v>
      </c>
      <c r="O569" s="192">
        <v>7177.82</v>
      </c>
      <c r="P569" s="192">
        <v>289</v>
      </c>
      <c r="Q569" s="192">
        <v>538.34</v>
      </c>
      <c r="R569" s="192">
        <v>0</v>
      </c>
      <c r="S569" s="285">
        <v>1</v>
      </c>
      <c r="T569" s="192">
        <v>1323.31</v>
      </c>
      <c r="U569" s="291">
        <v>9328.4699999999993</v>
      </c>
      <c r="V569" s="291">
        <v>9328.4699999999993</v>
      </c>
      <c r="W569" s="292">
        <v>113386.20000000001</v>
      </c>
      <c r="X569" s="292">
        <v>111941.63999999998</v>
      </c>
      <c r="Y569" s="292">
        <v>113229.03999999998</v>
      </c>
      <c r="Z569" s="292">
        <v>116628.86</v>
      </c>
      <c r="AA569" s="290">
        <v>121950.46940999999</v>
      </c>
      <c r="AB569" s="285">
        <v>120996.80004999999</v>
      </c>
      <c r="AC569" s="290">
        <v>9448.85</v>
      </c>
      <c r="AD569" s="192">
        <v>12</v>
      </c>
      <c r="AE569" s="290">
        <v>9000</v>
      </c>
      <c r="AF569" s="194">
        <v>122386.20000000001</v>
      </c>
    </row>
    <row r="570" spans="1:34" s="196" customFormat="1" ht="17.25" customHeight="1" x14ac:dyDescent="0.3">
      <c r="G570" s="288">
        <f>SUM(G567:G569)</f>
        <v>3.5</v>
      </c>
      <c r="H570" s="288">
        <f t="shared" ref="H570:AF570" si="54">SUM(H567:H569)</f>
        <v>12238.29</v>
      </c>
      <c r="I570" s="288">
        <f t="shared" si="54"/>
        <v>1947.4299999999998</v>
      </c>
      <c r="J570" s="288">
        <f t="shared" si="54"/>
        <v>395.2</v>
      </c>
      <c r="K570" s="288">
        <f t="shared" si="54"/>
        <v>2599.23</v>
      </c>
      <c r="L570" s="288">
        <f t="shared" si="54"/>
        <v>0</v>
      </c>
      <c r="M570" s="288">
        <f t="shared" si="54"/>
        <v>0</v>
      </c>
      <c r="N570" s="288">
        <f t="shared" si="54"/>
        <v>73</v>
      </c>
      <c r="O570" s="288">
        <f t="shared" si="54"/>
        <v>17253.150000000001</v>
      </c>
      <c r="P570" s="288">
        <f t="shared" si="54"/>
        <v>798</v>
      </c>
      <c r="Q570" s="288">
        <f t="shared" si="54"/>
        <v>1293.99</v>
      </c>
      <c r="R570" s="288">
        <f t="shared" si="54"/>
        <v>0</v>
      </c>
      <c r="S570" s="288">
        <f t="shared" si="54"/>
        <v>2</v>
      </c>
      <c r="T570" s="288">
        <f t="shared" si="54"/>
        <v>3117.34</v>
      </c>
      <c r="U570" s="288">
        <f t="shared" si="54"/>
        <v>22462.48</v>
      </c>
      <c r="V570" s="288">
        <f t="shared" si="54"/>
        <v>22462.48</v>
      </c>
      <c r="W570" s="288">
        <f t="shared" si="54"/>
        <v>291780</v>
      </c>
      <c r="X570" s="288">
        <f t="shared" si="54"/>
        <v>269549.76</v>
      </c>
      <c r="Y570" s="288">
        <f t="shared" si="54"/>
        <v>278197.95999999996</v>
      </c>
      <c r="Z570" s="288">
        <f t="shared" si="54"/>
        <v>281397.76000000001</v>
      </c>
      <c r="AA570" s="288">
        <f t="shared" si="54"/>
        <v>290710.14522000001</v>
      </c>
      <c r="AB570" s="288">
        <f t="shared" si="54"/>
        <v>288436.75210000004</v>
      </c>
      <c r="AC570" s="288">
        <f t="shared" si="54"/>
        <v>23248.85</v>
      </c>
      <c r="AD570" s="288">
        <f t="shared" si="54"/>
        <v>24</v>
      </c>
      <c r="AE570" s="288">
        <f t="shared" si="54"/>
        <v>285000</v>
      </c>
      <c r="AF570" s="288">
        <f t="shared" si="54"/>
        <v>563986.19999999995</v>
      </c>
      <c r="AH570" s="288"/>
    </row>
    <row r="571" spans="1:34" x14ac:dyDescent="0.3">
      <c r="W571" s="292"/>
      <c r="X571" s="292"/>
      <c r="Y571" s="292"/>
      <c r="Z571" s="292"/>
      <c r="AA571" s="290"/>
      <c r="AB571" s="285"/>
      <c r="AC571" s="290"/>
      <c r="AE571" s="290"/>
      <c r="AF571" s="194"/>
    </row>
    <row r="572" spans="1:34" x14ac:dyDescent="0.3">
      <c r="F572" s="192" t="s">
        <v>1620</v>
      </c>
      <c r="G572" s="290">
        <v>2</v>
      </c>
      <c r="S572" s="285">
        <f t="shared" ref="S572:S577" si="55">G572*AD572/$AG$1</f>
        <v>1</v>
      </c>
      <c r="W572" s="292"/>
      <c r="X572" s="292"/>
      <c r="Y572" s="292"/>
      <c r="Z572" s="292"/>
      <c r="AA572" s="290"/>
      <c r="AB572" s="285"/>
      <c r="AC572" s="290"/>
      <c r="AD572" s="192">
        <v>6</v>
      </c>
      <c r="AE572" s="290">
        <v>130000</v>
      </c>
      <c r="AF572" s="194">
        <v>130000</v>
      </c>
    </row>
    <row r="573" spans="1:34" x14ac:dyDescent="0.3">
      <c r="A573" s="192">
        <v>5830</v>
      </c>
      <c r="B573" s="192">
        <v>82</v>
      </c>
      <c r="C573" s="192">
        <v>9200</v>
      </c>
      <c r="D573" s="192" t="s">
        <v>1621</v>
      </c>
      <c r="E573" s="192">
        <v>2458579</v>
      </c>
      <c r="F573" s="192" t="s">
        <v>1096</v>
      </c>
      <c r="G573" s="290">
        <v>0.5</v>
      </c>
      <c r="H573" s="192">
        <v>2881.61</v>
      </c>
      <c r="I573" s="192">
        <v>176.31</v>
      </c>
      <c r="J573" s="192">
        <v>170.26</v>
      </c>
      <c r="K573" s="192">
        <v>0</v>
      </c>
      <c r="L573" s="192">
        <v>0</v>
      </c>
      <c r="M573" s="192">
        <v>0</v>
      </c>
      <c r="N573" s="192">
        <v>176.5</v>
      </c>
      <c r="O573" s="192">
        <v>3404.68</v>
      </c>
      <c r="P573" s="192">
        <v>120.82</v>
      </c>
      <c r="Q573" s="192">
        <v>255.35</v>
      </c>
      <c r="R573" s="192">
        <v>0</v>
      </c>
      <c r="S573" s="285">
        <f t="shared" si="55"/>
        <v>0.5</v>
      </c>
      <c r="T573" s="192">
        <v>669.34</v>
      </c>
      <c r="U573" s="291">
        <v>4450.1899999999996</v>
      </c>
      <c r="V573" s="291">
        <v>4450.1899999999996</v>
      </c>
      <c r="W573" s="292">
        <v>11685.48</v>
      </c>
      <c r="X573" s="292">
        <v>53402.28</v>
      </c>
      <c r="Y573" s="292">
        <v>8980</v>
      </c>
      <c r="Z573" s="292">
        <v>8336.7999999999993</v>
      </c>
      <c r="AA573" s="290">
        <v>8152.6757399999988</v>
      </c>
      <c r="AB573" s="285">
        <v>0</v>
      </c>
      <c r="AC573" s="290">
        <v>5205.82</v>
      </c>
      <c r="AD573" s="192">
        <v>12</v>
      </c>
      <c r="AE573" s="290">
        <v>5000</v>
      </c>
      <c r="AF573" s="194">
        <v>67469.84</v>
      </c>
    </row>
    <row r="574" spans="1:34" x14ac:dyDescent="0.3">
      <c r="A574" s="192">
        <v>5830</v>
      </c>
      <c r="B574" s="192">
        <v>82</v>
      </c>
      <c r="C574" s="192">
        <v>9200</v>
      </c>
      <c r="D574" s="192" t="s">
        <v>1621</v>
      </c>
      <c r="E574" s="192">
        <v>3195921</v>
      </c>
      <c r="F574" s="192" t="s">
        <v>1622</v>
      </c>
      <c r="G574" s="290">
        <v>1</v>
      </c>
      <c r="H574" s="192">
        <v>8984.4500000000007</v>
      </c>
      <c r="I574" s="192">
        <v>654.23</v>
      </c>
      <c r="J574" s="192">
        <v>173.3</v>
      </c>
      <c r="K574" s="192">
        <v>1461.6</v>
      </c>
      <c r="L574" s="192">
        <v>0</v>
      </c>
      <c r="M574" s="192">
        <v>0</v>
      </c>
      <c r="N574" s="192">
        <v>223.5</v>
      </c>
      <c r="O574" s="192">
        <v>11497.08</v>
      </c>
      <c r="P574" s="192">
        <v>639</v>
      </c>
      <c r="Q574" s="192">
        <v>883.77</v>
      </c>
      <c r="R574" s="192">
        <v>0</v>
      </c>
      <c r="S574" s="285">
        <f t="shared" si="55"/>
        <v>1</v>
      </c>
      <c r="T574" s="192">
        <v>847.43</v>
      </c>
      <c r="U574" s="291">
        <v>13867.28</v>
      </c>
      <c r="V574" s="291">
        <v>13867.28</v>
      </c>
      <c r="W574" s="292">
        <v>172171.91999999998</v>
      </c>
      <c r="X574" s="292">
        <v>166407.36000000002</v>
      </c>
      <c r="Y574" s="292">
        <v>172052.28</v>
      </c>
      <c r="Z574" s="292">
        <v>183103.17</v>
      </c>
      <c r="AA574" s="290">
        <v>189104.35301999998</v>
      </c>
      <c r="AB574" s="285">
        <v>217625.53109999996</v>
      </c>
      <c r="AC574" s="290">
        <v>14347.66</v>
      </c>
      <c r="AD574" s="192">
        <v>12</v>
      </c>
      <c r="AE574" s="290">
        <v>17000</v>
      </c>
      <c r="AF574" s="194">
        <v>189171.91999999998</v>
      </c>
      <c r="AG574" s="192" t="s">
        <v>1623</v>
      </c>
    </row>
    <row r="575" spans="1:34" s="203" customFormat="1" x14ac:dyDescent="0.3">
      <c r="A575" s="203">
        <v>5830</v>
      </c>
      <c r="B575" s="203">
        <v>82</v>
      </c>
      <c r="C575" s="203">
        <v>9200</v>
      </c>
      <c r="D575" s="203" t="s">
        <v>1621</v>
      </c>
      <c r="E575" s="203">
        <v>5323084</v>
      </c>
      <c r="F575" s="203" t="s">
        <v>1624</v>
      </c>
      <c r="G575" s="298">
        <v>1</v>
      </c>
      <c r="H575" s="203">
        <v>9115.43</v>
      </c>
      <c r="I575" s="203">
        <v>2633.65</v>
      </c>
      <c r="J575" s="203">
        <v>525.29999999999995</v>
      </c>
      <c r="K575" s="203">
        <v>1100.81</v>
      </c>
      <c r="L575" s="203">
        <v>0</v>
      </c>
      <c r="M575" s="203">
        <v>0</v>
      </c>
      <c r="N575" s="203">
        <v>316.5</v>
      </c>
      <c r="O575" s="203">
        <v>13691.69</v>
      </c>
      <c r="P575" s="203">
        <v>784</v>
      </c>
      <c r="Q575" s="203">
        <v>1026.8800000000001</v>
      </c>
      <c r="R575" s="203">
        <v>0</v>
      </c>
      <c r="S575" s="285">
        <f t="shared" si="55"/>
        <v>0.33333333333333331</v>
      </c>
      <c r="T575" s="203">
        <v>1304.1300000000001</v>
      </c>
      <c r="U575" s="299">
        <v>16806.7</v>
      </c>
      <c r="V575" s="299">
        <v>16806.7</v>
      </c>
      <c r="W575" s="300">
        <v>189571.91999999998</v>
      </c>
      <c r="X575" s="300">
        <v>67226.8</v>
      </c>
      <c r="Y575" s="300">
        <v>200341.39999999997</v>
      </c>
      <c r="Z575" s="300">
        <v>210489.32</v>
      </c>
      <c r="AA575" s="298">
        <v>215310.10412999999</v>
      </c>
      <c r="AB575" s="298">
        <v>52617.327499999999</v>
      </c>
      <c r="AC575" s="298">
        <v>15797.66</v>
      </c>
      <c r="AD575" s="203">
        <v>4</v>
      </c>
      <c r="AE575" s="298">
        <v>10000</v>
      </c>
      <c r="AF575" s="204">
        <v>73190.64</v>
      </c>
      <c r="AG575" s="203" t="s">
        <v>1625</v>
      </c>
    </row>
    <row r="576" spans="1:34" s="203" customFormat="1" x14ac:dyDescent="0.3">
      <c r="A576" s="203">
        <v>5830</v>
      </c>
      <c r="B576" s="203">
        <v>82</v>
      </c>
      <c r="C576" s="203">
        <v>9200</v>
      </c>
      <c r="D576" s="203" t="s">
        <v>1621</v>
      </c>
      <c r="E576" s="203">
        <v>5716515</v>
      </c>
      <c r="F576" s="203" t="s">
        <v>1626</v>
      </c>
      <c r="G576" s="298">
        <v>1</v>
      </c>
      <c r="H576" s="203">
        <v>7982.6</v>
      </c>
      <c r="I576" s="203">
        <v>4178.47</v>
      </c>
      <c r="J576" s="203">
        <v>197.6</v>
      </c>
      <c r="K576" s="203">
        <v>1062.18</v>
      </c>
      <c r="L576" s="203">
        <v>0</v>
      </c>
      <c r="M576" s="203">
        <v>0</v>
      </c>
      <c r="N576" s="203">
        <v>36.5</v>
      </c>
      <c r="O576" s="203">
        <v>13457.35</v>
      </c>
      <c r="P576" s="203">
        <v>781.17</v>
      </c>
      <c r="Q576" s="203">
        <v>1013.07</v>
      </c>
      <c r="R576" s="203">
        <v>0</v>
      </c>
      <c r="S576" s="285">
        <f t="shared" si="55"/>
        <v>0.33333333333333331</v>
      </c>
      <c r="T576" s="203">
        <v>1383.26</v>
      </c>
      <c r="U576" s="299">
        <v>16634.849999999999</v>
      </c>
      <c r="V576" s="299">
        <v>16634.849999999999</v>
      </c>
      <c r="W576" s="300">
        <v>186104.52</v>
      </c>
      <c r="X576" s="300">
        <v>66539.399999999994</v>
      </c>
      <c r="Y576" s="300">
        <v>186607.48</v>
      </c>
      <c r="Z576" s="300">
        <v>196045.33</v>
      </c>
      <c r="AA576" s="298">
        <v>198597.03599999999</v>
      </c>
      <c r="AB576" s="298">
        <v>48533</v>
      </c>
      <c r="AC576" s="298">
        <v>16224.23</v>
      </c>
      <c r="AD576" s="203">
        <v>4</v>
      </c>
      <c r="AE576" s="298">
        <v>10000</v>
      </c>
      <c r="AF576" s="204">
        <v>74896.92</v>
      </c>
      <c r="AG576" s="203" t="s">
        <v>1625</v>
      </c>
    </row>
    <row r="577" spans="1:34" x14ac:dyDescent="0.3">
      <c r="A577" s="192">
        <v>5830</v>
      </c>
      <c r="B577" s="192">
        <v>82</v>
      </c>
      <c r="C577" s="192">
        <v>9200</v>
      </c>
      <c r="D577" s="192" t="s">
        <v>1621</v>
      </c>
      <c r="E577" s="192">
        <v>6374816</v>
      </c>
      <c r="F577" s="192" t="s">
        <v>1627</v>
      </c>
      <c r="G577" s="290">
        <v>0.65</v>
      </c>
      <c r="H577" s="192">
        <v>4180.18</v>
      </c>
      <c r="I577" s="192">
        <v>246.42</v>
      </c>
      <c r="J577" s="192">
        <v>180.59</v>
      </c>
      <c r="K577" s="192">
        <v>0</v>
      </c>
      <c r="L577" s="192">
        <v>0</v>
      </c>
      <c r="M577" s="192">
        <v>0</v>
      </c>
      <c r="N577" s="192">
        <v>36.5</v>
      </c>
      <c r="O577" s="192">
        <v>4643.6899999999996</v>
      </c>
      <c r="P577" s="192">
        <v>22</v>
      </c>
      <c r="Q577" s="192">
        <v>349.02</v>
      </c>
      <c r="R577" s="192">
        <v>0</v>
      </c>
      <c r="S577" s="285">
        <f t="shared" si="55"/>
        <v>0.65</v>
      </c>
      <c r="T577" s="192">
        <v>370.94</v>
      </c>
      <c r="U577" s="291">
        <v>5385.65</v>
      </c>
      <c r="V577" s="291">
        <v>5385.65</v>
      </c>
      <c r="W577" s="292">
        <v>63632.28</v>
      </c>
      <c r="X577" s="292">
        <v>64627.799999999996</v>
      </c>
      <c r="Y577" s="292">
        <v>63360.36</v>
      </c>
      <c r="Z577" s="292">
        <v>66772.81</v>
      </c>
      <c r="AA577" s="290">
        <v>68237.567969999989</v>
      </c>
      <c r="AB577" s="285">
        <v>33851.970425</v>
      </c>
      <c r="AC577" s="290">
        <v>5302.69</v>
      </c>
      <c r="AD577" s="192">
        <v>12</v>
      </c>
      <c r="AE577" s="290">
        <v>5000</v>
      </c>
      <c r="AF577" s="194">
        <v>68632.28</v>
      </c>
    </row>
    <row r="578" spans="1:34" s="196" customFormat="1" ht="17.25" customHeight="1" x14ac:dyDescent="0.3">
      <c r="G578" s="288">
        <f>SUM(G572:G577)</f>
        <v>6.15</v>
      </c>
      <c r="H578" s="288">
        <f t="shared" ref="H578:AF578" si="56">SUM(H572:H577)</f>
        <v>33144.270000000004</v>
      </c>
      <c r="I578" s="288">
        <f t="shared" si="56"/>
        <v>7889.08</v>
      </c>
      <c r="J578" s="288">
        <f t="shared" si="56"/>
        <v>1247.0499999999997</v>
      </c>
      <c r="K578" s="288">
        <f t="shared" si="56"/>
        <v>3624.59</v>
      </c>
      <c r="L578" s="288">
        <f t="shared" si="56"/>
        <v>0</v>
      </c>
      <c r="M578" s="288">
        <f t="shared" si="56"/>
        <v>0</v>
      </c>
      <c r="N578" s="288">
        <f t="shared" si="56"/>
        <v>789.5</v>
      </c>
      <c r="O578" s="288">
        <f t="shared" si="56"/>
        <v>46694.490000000005</v>
      </c>
      <c r="P578" s="288">
        <f t="shared" si="56"/>
        <v>2346.9899999999998</v>
      </c>
      <c r="Q578" s="288">
        <f t="shared" si="56"/>
        <v>3528.09</v>
      </c>
      <c r="R578" s="288">
        <f t="shared" si="56"/>
        <v>0</v>
      </c>
      <c r="S578" s="288">
        <f>SUM(S572:S577)</f>
        <v>3.8166666666666669</v>
      </c>
      <c r="T578" s="288">
        <f t="shared" si="56"/>
        <v>4575.0999999999995</v>
      </c>
      <c r="U578" s="288">
        <f t="shared" si="56"/>
        <v>57144.67</v>
      </c>
      <c r="V578" s="288">
        <f t="shared" si="56"/>
        <v>57144.67</v>
      </c>
      <c r="W578" s="288">
        <f t="shared" si="56"/>
        <v>623166.12</v>
      </c>
      <c r="X578" s="288">
        <f t="shared" si="56"/>
        <v>418203.63999999996</v>
      </c>
      <c r="Y578" s="288">
        <f t="shared" si="56"/>
        <v>631341.5199999999</v>
      </c>
      <c r="Z578" s="288">
        <f t="shared" si="56"/>
        <v>664747.42999999993</v>
      </c>
      <c r="AA578" s="288">
        <f t="shared" si="56"/>
        <v>679401.73685999995</v>
      </c>
      <c r="AB578" s="288">
        <f t="shared" si="56"/>
        <v>352627.82902499998</v>
      </c>
      <c r="AC578" s="288">
        <f t="shared" si="56"/>
        <v>56878.06</v>
      </c>
      <c r="AD578" s="288">
        <f t="shared" si="56"/>
        <v>50</v>
      </c>
      <c r="AE578" s="288">
        <f t="shared" si="56"/>
        <v>177000</v>
      </c>
      <c r="AF578" s="288">
        <f t="shared" si="56"/>
        <v>603361.60000000009</v>
      </c>
      <c r="AG578" s="196">
        <v>684000</v>
      </c>
      <c r="AH578" s="288" t="s">
        <v>1628</v>
      </c>
    </row>
    <row r="579" spans="1:34" x14ac:dyDescent="0.3">
      <c r="W579" s="292"/>
      <c r="X579" s="292"/>
      <c r="Y579" s="292"/>
      <c r="Z579" s="292"/>
      <c r="AA579" s="290"/>
      <c r="AB579" s="285"/>
      <c r="AC579" s="290"/>
      <c r="AE579" s="290"/>
      <c r="AF579" s="194"/>
    </row>
    <row r="580" spans="1:34" x14ac:dyDescent="0.3">
      <c r="A580" s="192">
        <v>5830</v>
      </c>
      <c r="B580" s="192">
        <v>84</v>
      </c>
      <c r="C580" s="192">
        <v>1000</v>
      </c>
      <c r="D580" s="192" t="s">
        <v>1629</v>
      </c>
      <c r="E580" s="192">
        <v>1601262</v>
      </c>
      <c r="F580" s="192" t="s">
        <v>1630</v>
      </c>
      <c r="G580" s="290">
        <v>1</v>
      </c>
      <c r="H580" s="192">
        <v>8475.4</v>
      </c>
      <c r="I580" s="192">
        <v>497.41</v>
      </c>
      <c r="J580" s="192">
        <v>197.6</v>
      </c>
      <c r="K580" s="192">
        <v>875</v>
      </c>
      <c r="L580" s="192">
        <v>0</v>
      </c>
      <c r="M580" s="192">
        <v>0</v>
      </c>
      <c r="N580" s="192">
        <v>695.84</v>
      </c>
      <c r="O580" s="192">
        <v>10741.25</v>
      </c>
      <c r="P580" s="192">
        <v>563</v>
      </c>
      <c r="Q580" s="192">
        <v>819.46</v>
      </c>
      <c r="R580" s="192">
        <v>0</v>
      </c>
      <c r="S580" s="285">
        <v>1</v>
      </c>
      <c r="T580" s="192">
        <v>2166.41</v>
      </c>
      <c r="U580" s="291">
        <v>14290.12</v>
      </c>
      <c r="V580" s="291">
        <v>14290.12</v>
      </c>
      <c r="W580" s="292">
        <v>160396.20000000001</v>
      </c>
      <c r="X580" s="292">
        <v>171481.44</v>
      </c>
      <c r="Y580" s="292">
        <v>166058.20000000001</v>
      </c>
      <c r="Z580" s="292">
        <v>149132.85</v>
      </c>
      <c r="AA580" s="290">
        <v>148490.13794999997</v>
      </c>
      <c r="AB580" s="285">
        <v>147328.92474999998</v>
      </c>
      <c r="AC580" s="290">
        <v>12500</v>
      </c>
      <c r="AD580" s="192">
        <v>12</v>
      </c>
      <c r="AE580" s="290">
        <v>8000</v>
      </c>
      <c r="AF580" s="194">
        <v>158000</v>
      </c>
    </row>
    <row r="581" spans="1:34" x14ac:dyDescent="0.3">
      <c r="A581" s="192">
        <v>5830</v>
      </c>
      <c r="B581" s="192">
        <v>84</v>
      </c>
      <c r="C581" s="192">
        <v>1000</v>
      </c>
      <c r="D581" s="192" t="s">
        <v>1629</v>
      </c>
      <c r="E581" s="192">
        <v>2271695</v>
      </c>
      <c r="F581" s="192" t="s">
        <v>1631</v>
      </c>
      <c r="G581" s="290">
        <v>0.75</v>
      </c>
      <c r="H581" s="192">
        <v>6594.98</v>
      </c>
      <c r="I581" s="192">
        <v>2214.36</v>
      </c>
      <c r="J581" s="192">
        <v>567.45000000000005</v>
      </c>
      <c r="K581" s="192">
        <v>2376.35</v>
      </c>
      <c r="L581" s="192">
        <v>0</v>
      </c>
      <c r="M581" s="192">
        <v>0</v>
      </c>
      <c r="N581" s="192">
        <v>36.5</v>
      </c>
      <c r="O581" s="192">
        <v>11789.64</v>
      </c>
      <c r="P581" s="192">
        <v>0</v>
      </c>
      <c r="Q581" s="192">
        <v>0</v>
      </c>
      <c r="R581" s="192">
        <v>0</v>
      </c>
      <c r="S581" s="285">
        <v>0.75</v>
      </c>
      <c r="T581" s="192">
        <v>46.06</v>
      </c>
      <c r="U581" s="291">
        <v>11835.7</v>
      </c>
      <c r="V581" s="291">
        <v>11835.7</v>
      </c>
      <c r="W581" s="292">
        <v>145669.79999999999</v>
      </c>
      <c r="X581" s="292">
        <v>142028.40000000002</v>
      </c>
      <c r="Y581" s="292">
        <v>151045.76000000001</v>
      </c>
      <c r="Z581" s="292">
        <v>238760.37</v>
      </c>
      <c r="AA581" s="290">
        <v>237275.53047</v>
      </c>
      <c r="AB581" s="285">
        <v>235420.00334999998</v>
      </c>
      <c r="AC581" s="290">
        <v>19000</v>
      </c>
      <c r="AD581" s="192">
        <v>12</v>
      </c>
      <c r="AE581" s="290">
        <v>8000</v>
      </c>
      <c r="AF581" s="194">
        <v>236000</v>
      </c>
    </row>
    <row r="582" spans="1:34" x14ac:dyDescent="0.3">
      <c r="A582" s="192">
        <v>5830</v>
      </c>
      <c r="B582" s="192">
        <v>84</v>
      </c>
      <c r="C582" s="192">
        <v>1000</v>
      </c>
      <c r="D582" s="192" t="s">
        <v>1629</v>
      </c>
      <c r="E582" s="192">
        <v>2391214</v>
      </c>
      <c r="F582" s="192" t="s">
        <v>1632</v>
      </c>
      <c r="G582" s="290">
        <v>1</v>
      </c>
      <c r="H582" s="192">
        <v>9919.65</v>
      </c>
      <c r="I582" s="192">
        <v>6176.18</v>
      </c>
      <c r="J582" s="192">
        <v>197.6</v>
      </c>
      <c r="K582" s="192">
        <v>1937.18</v>
      </c>
      <c r="L582" s="192">
        <v>0</v>
      </c>
      <c r="M582" s="192">
        <v>0</v>
      </c>
      <c r="N582" s="192">
        <v>719.84</v>
      </c>
      <c r="O582" s="192">
        <v>18950.45</v>
      </c>
      <c r="P582" s="192">
        <v>1182</v>
      </c>
      <c r="Q582" s="192">
        <v>1437.31</v>
      </c>
      <c r="R582" s="192">
        <v>0</v>
      </c>
      <c r="S582" s="285">
        <v>1</v>
      </c>
      <c r="T582" s="192">
        <v>2130.61</v>
      </c>
      <c r="U582" s="291">
        <v>23700.37</v>
      </c>
      <c r="V582" s="291">
        <v>23700.37</v>
      </c>
      <c r="W582" s="292">
        <v>258236.88</v>
      </c>
      <c r="X582" s="292">
        <v>284404.44</v>
      </c>
      <c r="Y582" s="292">
        <v>268456.84000000003</v>
      </c>
      <c r="Z582" s="292">
        <v>258191.58</v>
      </c>
      <c r="AA582" s="290">
        <v>262012.56047999999</v>
      </c>
      <c r="AB582" s="285">
        <v>259963.58639999997</v>
      </c>
      <c r="AC582" s="290">
        <v>20000</v>
      </c>
      <c r="AD582" s="192">
        <v>12</v>
      </c>
      <c r="AE582" s="290">
        <v>8000</v>
      </c>
      <c r="AF582" s="194">
        <v>248000</v>
      </c>
    </row>
    <row r="583" spans="1:34" x14ac:dyDescent="0.3">
      <c r="A583" s="192">
        <v>5830</v>
      </c>
      <c r="B583" s="192">
        <v>84</v>
      </c>
      <c r="C583" s="192">
        <v>1000</v>
      </c>
      <c r="D583" s="192" t="s">
        <v>1629</v>
      </c>
      <c r="E583" s="192">
        <v>2395951</v>
      </c>
      <c r="F583" s="192" t="s">
        <v>1633</v>
      </c>
      <c r="G583" s="290">
        <v>1</v>
      </c>
      <c r="H583" s="192">
        <v>13075.05</v>
      </c>
      <c r="I583" s="192">
        <v>6370.89</v>
      </c>
      <c r="J583" s="192">
        <v>197.6</v>
      </c>
      <c r="K583" s="192">
        <v>1759.45</v>
      </c>
      <c r="L583" s="192">
        <v>0</v>
      </c>
      <c r="M583" s="192">
        <v>0</v>
      </c>
      <c r="N583" s="192">
        <v>36.5</v>
      </c>
      <c r="O583" s="192">
        <v>21439.49</v>
      </c>
      <c r="P583" s="192">
        <v>1411</v>
      </c>
      <c r="Q583" s="192">
        <v>1645.38</v>
      </c>
      <c r="R583" s="192">
        <v>0</v>
      </c>
      <c r="S583" s="285">
        <v>1</v>
      </c>
      <c r="T583" s="192">
        <v>4142.09</v>
      </c>
      <c r="U583" s="291">
        <v>28637.96</v>
      </c>
      <c r="V583" s="291">
        <v>28637.96</v>
      </c>
      <c r="W583" s="292">
        <v>376829.27999999997</v>
      </c>
      <c r="X583" s="292">
        <v>343655.52</v>
      </c>
      <c r="Y583" s="292">
        <v>349741.36</v>
      </c>
      <c r="Z583" s="292">
        <v>342489.7</v>
      </c>
      <c r="AA583" s="290">
        <v>330360.38738999999</v>
      </c>
      <c r="AB583" s="285">
        <v>327776.92394999997</v>
      </c>
      <c r="AC583" s="290">
        <v>29000</v>
      </c>
      <c r="AD583" s="192">
        <v>12</v>
      </c>
      <c r="AE583" s="290">
        <v>8000</v>
      </c>
      <c r="AF583" s="194">
        <v>356000</v>
      </c>
    </row>
    <row r="584" spans="1:34" x14ac:dyDescent="0.3">
      <c r="A584" s="192">
        <v>5830</v>
      </c>
      <c r="B584" s="192">
        <v>84</v>
      </c>
      <c r="C584" s="192">
        <v>1000</v>
      </c>
      <c r="D584" s="192" t="s">
        <v>1629</v>
      </c>
      <c r="E584" s="192">
        <v>2468272</v>
      </c>
      <c r="F584" s="192" t="s">
        <v>1634</v>
      </c>
      <c r="G584" s="290">
        <v>1</v>
      </c>
      <c r="H584" s="192">
        <v>9554.6200000000008</v>
      </c>
      <c r="I584" s="192">
        <v>560.13</v>
      </c>
      <c r="J584" s="192">
        <v>197.6</v>
      </c>
      <c r="K584" s="192">
        <v>875</v>
      </c>
      <c r="L584" s="192">
        <v>0</v>
      </c>
      <c r="M584" s="192">
        <v>0</v>
      </c>
      <c r="N584" s="192">
        <v>36.5</v>
      </c>
      <c r="O584" s="192">
        <v>11223.85</v>
      </c>
      <c r="P584" s="192">
        <v>629</v>
      </c>
      <c r="Q584" s="192">
        <v>874.64</v>
      </c>
      <c r="R584" s="192">
        <v>0</v>
      </c>
      <c r="S584" s="285">
        <v>1</v>
      </c>
      <c r="T584" s="192">
        <v>1252.5</v>
      </c>
      <c r="U584" s="291">
        <v>13979.99</v>
      </c>
      <c r="V584" s="291">
        <v>13979.99</v>
      </c>
      <c r="W584" s="292">
        <v>160770</v>
      </c>
      <c r="X584" s="292">
        <v>167759.88</v>
      </c>
      <c r="Y584" s="292">
        <v>169229.4</v>
      </c>
      <c r="Z584" s="292">
        <v>171746.8</v>
      </c>
      <c r="AA584" s="290">
        <v>173511.35735999997</v>
      </c>
      <c r="AB584" s="285">
        <v>172154.47479999997</v>
      </c>
      <c r="AC584" s="290">
        <v>13397.5</v>
      </c>
      <c r="AD584" s="192">
        <v>12</v>
      </c>
      <c r="AE584" s="290">
        <v>8000</v>
      </c>
      <c r="AF584" s="194">
        <v>168770</v>
      </c>
    </row>
    <row r="585" spans="1:34" x14ac:dyDescent="0.3">
      <c r="A585" s="192">
        <v>5830</v>
      </c>
      <c r="B585" s="192">
        <v>84</v>
      </c>
      <c r="C585" s="192">
        <v>1000</v>
      </c>
      <c r="D585" s="192" t="s">
        <v>1629</v>
      </c>
      <c r="E585" s="192">
        <v>2541409</v>
      </c>
      <c r="F585" s="192" t="s">
        <v>1635</v>
      </c>
      <c r="G585" s="290">
        <v>1</v>
      </c>
      <c r="H585" s="192">
        <v>8375.07</v>
      </c>
      <c r="I585" s="192">
        <v>509.52</v>
      </c>
      <c r="J585" s="192">
        <v>197.6</v>
      </c>
      <c r="K585" s="192">
        <v>875</v>
      </c>
      <c r="L585" s="192">
        <v>0</v>
      </c>
      <c r="M585" s="192">
        <v>0</v>
      </c>
      <c r="N585" s="192">
        <v>576.5</v>
      </c>
      <c r="O585" s="192">
        <v>10533.69</v>
      </c>
      <c r="P585" s="192">
        <v>550</v>
      </c>
      <c r="Q585" s="192">
        <v>814.07</v>
      </c>
      <c r="R585" s="192">
        <v>0</v>
      </c>
      <c r="S585" s="285">
        <v>1</v>
      </c>
      <c r="T585" s="192">
        <v>2139.14</v>
      </c>
      <c r="U585" s="291">
        <v>14036.9</v>
      </c>
      <c r="V585" s="291">
        <v>14036.9</v>
      </c>
      <c r="W585" s="292">
        <v>157298.04</v>
      </c>
      <c r="X585" s="292">
        <v>168442.8</v>
      </c>
      <c r="Y585" s="292">
        <v>167120.44</v>
      </c>
      <c r="Z585" s="292">
        <v>27101.279999999999</v>
      </c>
      <c r="AA585" s="290">
        <v>0</v>
      </c>
      <c r="AB585" s="285">
        <v>0</v>
      </c>
      <c r="AC585" s="290">
        <v>13108.17</v>
      </c>
      <c r="AD585" s="192">
        <v>12</v>
      </c>
      <c r="AE585" s="290">
        <v>8000</v>
      </c>
      <c r="AF585" s="194">
        <v>165298.04</v>
      </c>
    </row>
    <row r="586" spans="1:34" x14ac:dyDescent="0.3">
      <c r="A586" s="192">
        <v>5830</v>
      </c>
      <c r="B586" s="192">
        <v>84</v>
      </c>
      <c r="C586" s="192">
        <v>1000</v>
      </c>
      <c r="D586" s="192" t="s">
        <v>1629</v>
      </c>
      <c r="E586" s="192">
        <v>2577862</v>
      </c>
      <c r="F586" s="192" t="s">
        <v>1636</v>
      </c>
      <c r="G586" s="290">
        <v>0.5</v>
      </c>
      <c r="H586" s="192">
        <v>4215.92</v>
      </c>
      <c r="I586" s="192">
        <v>393.91</v>
      </c>
      <c r="J586" s="192">
        <v>281.10000000000002</v>
      </c>
      <c r="K586" s="192">
        <v>875</v>
      </c>
      <c r="L586" s="192">
        <v>0</v>
      </c>
      <c r="M586" s="192">
        <v>0</v>
      </c>
      <c r="N586" s="192">
        <v>1678.67</v>
      </c>
      <c r="O586" s="192">
        <v>7444.6</v>
      </c>
      <c r="P586" s="192">
        <v>0</v>
      </c>
      <c r="Q586" s="192">
        <v>0</v>
      </c>
      <c r="R586" s="192">
        <v>0</v>
      </c>
      <c r="S586" s="285">
        <v>0.5</v>
      </c>
      <c r="T586" s="192">
        <v>35.89</v>
      </c>
      <c r="U586" s="291">
        <v>7480.49</v>
      </c>
      <c r="V586" s="291">
        <v>7480.49</v>
      </c>
      <c r="W586" s="292">
        <v>63000.72</v>
      </c>
      <c r="X586" s="292">
        <v>89765.88</v>
      </c>
      <c r="Y586" s="292">
        <v>77033</v>
      </c>
      <c r="Z586" s="292">
        <v>192740.12</v>
      </c>
      <c r="AA586" s="290">
        <v>189620.05755</v>
      </c>
      <c r="AB586" s="285">
        <v>188137.20275</v>
      </c>
      <c r="AC586" s="290">
        <v>14515.77</v>
      </c>
      <c r="AD586" s="192">
        <v>12</v>
      </c>
      <c r="AE586" s="290">
        <v>8000</v>
      </c>
      <c r="AF586" s="194">
        <v>182189.24</v>
      </c>
    </row>
    <row r="587" spans="1:34" x14ac:dyDescent="0.3">
      <c r="A587" s="192">
        <v>5830</v>
      </c>
      <c r="B587" s="192">
        <v>84</v>
      </c>
      <c r="C587" s="192">
        <v>1000</v>
      </c>
      <c r="D587" s="192" t="s">
        <v>1629</v>
      </c>
      <c r="E587" s="192">
        <v>2659417</v>
      </c>
      <c r="F587" s="192" t="s">
        <v>1637</v>
      </c>
      <c r="G587" s="290">
        <v>1</v>
      </c>
      <c r="H587" s="192">
        <v>8524.6200000000008</v>
      </c>
      <c r="I587" s="192">
        <v>507.53</v>
      </c>
      <c r="J587" s="192">
        <v>197.6</v>
      </c>
      <c r="K587" s="192">
        <v>1132.32</v>
      </c>
      <c r="L587" s="192">
        <v>0</v>
      </c>
      <c r="M587" s="192">
        <v>0</v>
      </c>
      <c r="N587" s="192">
        <v>0</v>
      </c>
      <c r="O587" s="192">
        <v>10362.07</v>
      </c>
      <c r="P587" s="192">
        <v>545</v>
      </c>
      <c r="Q587" s="192">
        <v>790.94</v>
      </c>
      <c r="R587" s="192">
        <v>0</v>
      </c>
      <c r="S587" s="285">
        <v>1</v>
      </c>
      <c r="T587" s="192">
        <v>951.59</v>
      </c>
      <c r="U587" s="291">
        <v>12649.6</v>
      </c>
      <c r="V587" s="291">
        <v>12649.6</v>
      </c>
      <c r="W587" s="292">
        <v>0</v>
      </c>
      <c r="X587" s="292">
        <v>151795.20000000001</v>
      </c>
      <c r="Y587" s="292">
        <v>50598.400000000009</v>
      </c>
      <c r="Z587" s="292">
        <v>0</v>
      </c>
      <c r="AA587" s="290">
        <v>0</v>
      </c>
      <c r="AB587" s="285">
        <v>0</v>
      </c>
      <c r="AC587" s="290">
        <v>12649.6</v>
      </c>
      <c r="AD587" s="192">
        <v>12</v>
      </c>
      <c r="AE587" s="290">
        <v>8000</v>
      </c>
      <c r="AF587" s="194">
        <v>159795.20000000001</v>
      </c>
    </row>
    <row r="588" spans="1:34" x14ac:dyDescent="0.3">
      <c r="A588" s="192">
        <v>5830</v>
      </c>
      <c r="B588" s="192">
        <v>84</v>
      </c>
      <c r="C588" s="192">
        <v>1000</v>
      </c>
      <c r="D588" s="192" t="s">
        <v>1629</v>
      </c>
      <c r="E588" s="192">
        <v>2813447</v>
      </c>
      <c r="F588" s="192" t="s">
        <v>1638</v>
      </c>
      <c r="G588" s="290">
        <v>0.8</v>
      </c>
      <c r="H588" s="192">
        <v>4698.75</v>
      </c>
      <c r="I588" s="192">
        <v>1457.06</v>
      </c>
      <c r="J588" s="192">
        <v>173.3</v>
      </c>
      <c r="K588" s="192">
        <v>700</v>
      </c>
      <c r="L588" s="192">
        <v>0</v>
      </c>
      <c r="M588" s="192">
        <v>0</v>
      </c>
      <c r="N588" s="192">
        <v>58.97</v>
      </c>
      <c r="O588" s="192">
        <v>7088.08</v>
      </c>
      <c r="P588" s="192">
        <v>0</v>
      </c>
      <c r="Q588" s="192">
        <v>0</v>
      </c>
      <c r="R588" s="192">
        <v>0</v>
      </c>
      <c r="S588" s="285">
        <v>0.80000000000000016</v>
      </c>
      <c r="T588" s="192">
        <v>46.17</v>
      </c>
      <c r="U588" s="291">
        <v>7134.25</v>
      </c>
      <c r="V588" s="291">
        <v>7134.25</v>
      </c>
      <c r="W588" s="292">
        <v>85611</v>
      </c>
      <c r="X588" s="292">
        <v>85611</v>
      </c>
      <c r="Y588" s="292">
        <v>84522.76</v>
      </c>
      <c r="Z588" s="292">
        <v>165920.1</v>
      </c>
      <c r="AA588" s="290">
        <v>168928.59356999997</v>
      </c>
      <c r="AB588" s="285">
        <v>167607.54884999999</v>
      </c>
      <c r="AC588" s="290">
        <v>12898.07</v>
      </c>
      <c r="AD588" s="192">
        <v>12</v>
      </c>
      <c r="AE588" s="290">
        <v>8000</v>
      </c>
      <c r="AF588" s="194">
        <v>162776.84</v>
      </c>
    </row>
    <row r="589" spans="1:34" x14ac:dyDescent="0.3">
      <c r="A589" s="192">
        <v>5830</v>
      </c>
      <c r="B589" s="192">
        <v>84</v>
      </c>
      <c r="C589" s="192">
        <v>1000</v>
      </c>
      <c r="D589" s="192" t="s">
        <v>1629</v>
      </c>
      <c r="E589" s="192">
        <v>2887808</v>
      </c>
      <c r="F589" s="192" t="s">
        <v>1639</v>
      </c>
      <c r="G589" s="290">
        <v>1</v>
      </c>
      <c r="H589" s="192">
        <v>5714.97</v>
      </c>
      <c r="I589" s="192">
        <v>2137.79</v>
      </c>
      <c r="J589" s="192">
        <v>197.6</v>
      </c>
      <c r="K589" s="192">
        <v>715.91</v>
      </c>
      <c r="L589" s="192">
        <v>0</v>
      </c>
      <c r="M589" s="192">
        <v>0</v>
      </c>
      <c r="N589" s="192">
        <v>36.5</v>
      </c>
      <c r="O589" s="192">
        <v>8802.77</v>
      </c>
      <c r="P589" s="192">
        <v>432</v>
      </c>
      <c r="Q589" s="192">
        <v>678.96</v>
      </c>
      <c r="R589" s="192">
        <v>0</v>
      </c>
      <c r="S589" s="285">
        <v>1</v>
      </c>
      <c r="T589" s="192">
        <v>1594.1</v>
      </c>
      <c r="U589" s="291">
        <v>11507.83</v>
      </c>
      <c r="V589" s="291">
        <v>11507.83</v>
      </c>
      <c r="W589" s="292">
        <v>121920.24</v>
      </c>
      <c r="X589" s="292">
        <v>138093.96</v>
      </c>
      <c r="Y589" s="292">
        <v>122155.04</v>
      </c>
      <c r="Z589" s="292">
        <v>129404.1</v>
      </c>
      <c r="AA589" s="290">
        <v>132487.57400999998</v>
      </c>
      <c r="AB589" s="285">
        <v>131451.50304999997</v>
      </c>
      <c r="AC589" s="290">
        <v>10160.02</v>
      </c>
      <c r="AD589" s="192">
        <v>12</v>
      </c>
      <c r="AE589" s="290">
        <v>8000</v>
      </c>
      <c r="AF589" s="194">
        <v>129920.24</v>
      </c>
    </row>
    <row r="590" spans="1:34" x14ac:dyDescent="0.3">
      <c r="A590" s="192">
        <v>5830</v>
      </c>
      <c r="B590" s="192">
        <v>84</v>
      </c>
      <c r="C590" s="192">
        <v>1000</v>
      </c>
      <c r="D590" s="192" t="s">
        <v>1629</v>
      </c>
      <c r="E590" s="192">
        <v>3311952</v>
      </c>
      <c r="F590" s="192" t="s">
        <v>1144</v>
      </c>
      <c r="G590" s="290">
        <v>0.75</v>
      </c>
      <c r="H590" s="192">
        <v>6217</v>
      </c>
      <c r="I590" s="192">
        <v>1581.48</v>
      </c>
      <c r="J590" s="192">
        <v>129.97999999999999</v>
      </c>
      <c r="K590" s="192">
        <v>0</v>
      </c>
      <c r="L590" s="192">
        <v>0</v>
      </c>
      <c r="M590" s="192">
        <v>0</v>
      </c>
      <c r="N590" s="192">
        <v>265.13</v>
      </c>
      <c r="O590" s="192">
        <v>8193.59</v>
      </c>
      <c r="P590" s="192">
        <v>470.84</v>
      </c>
      <c r="Q590" s="192">
        <v>614.52</v>
      </c>
      <c r="R590" s="192">
        <v>0</v>
      </c>
      <c r="S590" s="285">
        <v>0.75</v>
      </c>
      <c r="T590" s="192">
        <v>702.76</v>
      </c>
      <c r="U590" s="291">
        <v>9981.7099999999991</v>
      </c>
      <c r="V590" s="291">
        <v>9981.7099999999991</v>
      </c>
      <c r="W590" s="292">
        <v>41801.520000000004</v>
      </c>
      <c r="X590" s="292">
        <v>119780.51999999999</v>
      </c>
      <c r="Y590" s="292">
        <v>43628.4</v>
      </c>
      <c r="Z590" s="292">
        <v>16872.310000000001</v>
      </c>
      <c r="AA590" s="290">
        <v>13521.410429999998</v>
      </c>
      <c r="AB590" s="285">
        <v>325200</v>
      </c>
      <c r="AC590" s="290">
        <v>12786.21</v>
      </c>
      <c r="AD590" s="192">
        <v>12</v>
      </c>
      <c r="AE590" s="290">
        <v>8000</v>
      </c>
      <c r="AF590" s="194">
        <v>161434.51999999999</v>
      </c>
    </row>
    <row r="591" spans="1:34" x14ac:dyDescent="0.3">
      <c r="A591" s="192">
        <v>5830</v>
      </c>
      <c r="B591" s="192">
        <v>84</v>
      </c>
      <c r="C591" s="192">
        <v>1000</v>
      </c>
      <c r="D591" s="192" t="s">
        <v>1629</v>
      </c>
      <c r="E591" s="192">
        <v>3456819</v>
      </c>
      <c r="F591" s="192" t="s">
        <v>1640</v>
      </c>
      <c r="G591" s="290">
        <v>1</v>
      </c>
      <c r="H591" s="192">
        <v>4935.4799999999996</v>
      </c>
      <c r="I591" s="192">
        <v>346.08</v>
      </c>
      <c r="J591" s="192">
        <v>183.02</v>
      </c>
      <c r="K591" s="192">
        <v>875</v>
      </c>
      <c r="L591" s="192">
        <v>0</v>
      </c>
      <c r="M591" s="192">
        <v>0</v>
      </c>
      <c r="N591" s="192">
        <v>289.86</v>
      </c>
      <c r="O591" s="192">
        <v>6629.44</v>
      </c>
      <c r="P591" s="192">
        <v>0</v>
      </c>
      <c r="Q591" s="192">
        <v>0</v>
      </c>
      <c r="R591" s="192">
        <v>0</v>
      </c>
      <c r="S591" s="285">
        <v>1</v>
      </c>
      <c r="T591" s="192">
        <v>36.01</v>
      </c>
      <c r="U591" s="291">
        <v>6665.45</v>
      </c>
      <c r="V591" s="291">
        <v>6665.45</v>
      </c>
      <c r="W591" s="292">
        <v>79985.399999999994</v>
      </c>
      <c r="X591" s="292">
        <v>79985.399999999994</v>
      </c>
      <c r="Y591" s="292">
        <v>79985.399999999994</v>
      </c>
      <c r="Z591" s="292">
        <v>171774.02</v>
      </c>
      <c r="AA591" s="290">
        <v>175000.35432000001</v>
      </c>
      <c r="AB591" s="285">
        <v>173631.82760000002</v>
      </c>
      <c r="AC591" s="290">
        <v>13984.05</v>
      </c>
      <c r="AD591" s="192">
        <v>12</v>
      </c>
      <c r="AE591" s="290">
        <v>8000</v>
      </c>
      <c r="AF591" s="194">
        <v>175808.59999999998</v>
      </c>
    </row>
    <row r="592" spans="1:34" x14ac:dyDescent="0.3">
      <c r="A592" s="192">
        <v>5830</v>
      </c>
      <c r="B592" s="192">
        <v>84</v>
      </c>
      <c r="C592" s="192">
        <v>1000</v>
      </c>
      <c r="D592" s="192" t="s">
        <v>1629</v>
      </c>
      <c r="E592" s="192">
        <v>3487523</v>
      </c>
      <c r="F592" s="192" t="s">
        <v>1641</v>
      </c>
      <c r="G592" s="290">
        <v>1</v>
      </c>
      <c r="H592" s="192">
        <v>8455.16</v>
      </c>
      <c r="I592" s="192">
        <v>1884.77</v>
      </c>
      <c r="J592" s="192">
        <v>397.8</v>
      </c>
      <c r="K592" s="192">
        <v>875</v>
      </c>
      <c r="L592" s="192">
        <v>0</v>
      </c>
      <c r="M592" s="192">
        <v>0</v>
      </c>
      <c r="N592" s="192">
        <v>1634.44</v>
      </c>
      <c r="O592" s="192">
        <v>13247.17</v>
      </c>
      <c r="P592" s="192">
        <v>757</v>
      </c>
      <c r="Q592" s="192">
        <v>1005.8</v>
      </c>
      <c r="R592" s="192">
        <v>0</v>
      </c>
      <c r="S592" s="285">
        <v>1</v>
      </c>
      <c r="T592" s="192">
        <v>2405.11</v>
      </c>
      <c r="U592" s="291">
        <v>17415.080000000002</v>
      </c>
      <c r="V592" s="291">
        <v>17415.080000000002</v>
      </c>
      <c r="W592" s="292">
        <v>212873.16</v>
      </c>
      <c r="X592" s="292">
        <v>208980.96000000002</v>
      </c>
      <c r="Y592" s="292">
        <v>212688.07999999996</v>
      </c>
      <c r="Z592" s="292">
        <v>201533.16</v>
      </c>
      <c r="AA592" s="290">
        <v>200767.70900999999</v>
      </c>
      <c r="AB592" s="285">
        <v>199197.67804999999</v>
      </c>
      <c r="AC592" s="290">
        <v>17739.43</v>
      </c>
      <c r="AD592" s="192">
        <v>12</v>
      </c>
      <c r="AE592" s="290">
        <v>8000</v>
      </c>
      <c r="AF592" s="194">
        <v>220873.16</v>
      </c>
    </row>
    <row r="593" spans="1:32" x14ac:dyDescent="0.3">
      <c r="A593" s="192">
        <v>5830</v>
      </c>
      <c r="B593" s="192">
        <v>84</v>
      </c>
      <c r="C593" s="192">
        <v>1000</v>
      </c>
      <c r="D593" s="192" t="s">
        <v>1629</v>
      </c>
      <c r="E593" s="192">
        <v>3599526</v>
      </c>
      <c r="F593" s="192" t="s">
        <v>1642</v>
      </c>
      <c r="G593" s="290">
        <v>1</v>
      </c>
      <c r="H593" s="192">
        <v>5929.7</v>
      </c>
      <c r="I593" s="192">
        <v>462.09</v>
      </c>
      <c r="J593" s="192">
        <v>42.53</v>
      </c>
      <c r="K593" s="192">
        <v>0</v>
      </c>
      <c r="L593" s="192">
        <v>0</v>
      </c>
      <c r="M593" s="192">
        <v>0</v>
      </c>
      <c r="N593" s="192">
        <v>231.6</v>
      </c>
      <c r="O593" s="192">
        <v>6665.92</v>
      </c>
      <c r="P593" s="192">
        <v>255</v>
      </c>
      <c r="Q593" s="192">
        <v>509.54</v>
      </c>
      <c r="R593" s="192">
        <v>0</v>
      </c>
      <c r="S593" s="285">
        <v>1</v>
      </c>
      <c r="T593" s="192">
        <v>1451.59</v>
      </c>
      <c r="U593" s="291">
        <v>8882.0499999999993</v>
      </c>
      <c r="V593" s="291">
        <v>8882.0499999999993</v>
      </c>
      <c r="W593" s="292">
        <v>70097.52</v>
      </c>
      <c r="X593" s="292">
        <v>106584.59999999999</v>
      </c>
      <c r="Y593" s="292">
        <v>111916.12</v>
      </c>
      <c r="Z593" s="292">
        <v>146064.29</v>
      </c>
      <c r="AA593" s="290">
        <v>166046.02509000001</v>
      </c>
      <c r="AB593" s="285">
        <v>164747.52244999999</v>
      </c>
      <c r="AC593" s="290">
        <v>5841.46</v>
      </c>
      <c r="AD593" s="192">
        <v>12</v>
      </c>
      <c r="AE593" s="290">
        <v>8000</v>
      </c>
      <c r="AF593" s="194">
        <v>78097.52</v>
      </c>
    </row>
    <row r="594" spans="1:32" x14ac:dyDescent="0.3">
      <c r="A594" s="192">
        <v>5830</v>
      </c>
      <c r="B594" s="192">
        <v>84</v>
      </c>
      <c r="C594" s="192">
        <v>1000</v>
      </c>
      <c r="D594" s="192" t="s">
        <v>1629</v>
      </c>
      <c r="E594" s="192">
        <v>3608908</v>
      </c>
      <c r="F594" s="192" t="s">
        <v>1643</v>
      </c>
      <c r="G594" s="290">
        <v>1</v>
      </c>
      <c r="H594" s="192">
        <v>8243.94</v>
      </c>
      <c r="I594" s="192">
        <v>1305.3699999999999</v>
      </c>
      <c r="J594" s="192">
        <v>197.6</v>
      </c>
      <c r="K594" s="192">
        <v>875</v>
      </c>
      <c r="L594" s="192">
        <v>0</v>
      </c>
      <c r="M594" s="192">
        <v>0</v>
      </c>
      <c r="N594" s="192">
        <v>1033.44</v>
      </c>
      <c r="O594" s="192">
        <v>11655.35</v>
      </c>
      <c r="P594" s="192">
        <v>623</v>
      </c>
      <c r="Q594" s="192">
        <v>887.42</v>
      </c>
      <c r="R594" s="192">
        <v>0</v>
      </c>
      <c r="S594" s="285">
        <v>1</v>
      </c>
      <c r="T594" s="192">
        <v>2235.25</v>
      </c>
      <c r="U594" s="291">
        <v>15401.02</v>
      </c>
      <c r="V594" s="291">
        <v>15401.02</v>
      </c>
      <c r="W594" s="292">
        <v>182465.88</v>
      </c>
      <c r="X594" s="292">
        <v>184812.24</v>
      </c>
      <c r="Y594" s="292">
        <v>188840.44</v>
      </c>
      <c r="Z594" s="292">
        <v>153454.63</v>
      </c>
      <c r="AA594" s="290">
        <v>149814.87179999999</v>
      </c>
      <c r="AB594" s="285">
        <v>148643.299</v>
      </c>
      <c r="AC594" s="290">
        <v>13000</v>
      </c>
      <c r="AD594" s="192">
        <v>12</v>
      </c>
      <c r="AE594" s="290">
        <v>8000</v>
      </c>
      <c r="AF594" s="194">
        <v>164000</v>
      </c>
    </row>
    <row r="595" spans="1:32" x14ac:dyDescent="0.3">
      <c r="A595" s="192">
        <v>5830</v>
      </c>
      <c r="B595" s="192">
        <v>84</v>
      </c>
      <c r="C595" s="192">
        <v>1000</v>
      </c>
      <c r="D595" s="192" t="s">
        <v>1629</v>
      </c>
      <c r="E595" s="192">
        <v>3631248</v>
      </c>
      <c r="F595" s="192" t="s">
        <v>1644</v>
      </c>
      <c r="G595" s="290">
        <v>1</v>
      </c>
      <c r="H595" s="192">
        <v>8411.98</v>
      </c>
      <c r="I595" s="192">
        <v>520.07000000000005</v>
      </c>
      <c r="J595" s="192">
        <v>197.6</v>
      </c>
      <c r="K595" s="192">
        <v>875</v>
      </c>
      <c r="L595" s="192">
        <v>0</v>
      </c>
      <c r="M595" s="192">
        <v>0</v>
      </c>
      <c r="N595" s="192">
        <v>575.94000000000005</v>
      </c>
      <c r="O595" s="192">
        <v>10580.59</v>
      </c>
      <c r="P595" s="192">
        <v>573</v>
      </c>
      <c r="Q595" s="192">
        <v>818.96</v>
      </c>
      <c r="R595" s="192">
        <v>0</v>
      </c>
      <c r="S595" s="285">
        <v>1</v>
      </c>
      <c r="T595" s="192">
        <v>2211.94</v>
      </c>
      <c r="U595" s="291">
        <v>14184.49</v>
      </c>
      <c r="V595" s="291">
        <v>14184.49</v>
      </c>
      <c r="W595" s="292">
        <v>196726.08000000002</v>
      </c>
      <c r="X595" s="292">
        <v>170213.88</v>
      </c>
      <c r="Y595" s="292">
        <v>185453.68</v>
      </c>
      <c r="Z595" s="292">
        <v>137869.95000000001</v>
      </c>
      <c r="AA595" s="290">
        <v>137138.30591999998</v>
      </c>
      <c r="AB595" s="285">
        <v>166626.72389999998</v>
      </c>
      <c r="AC595" s="290">
        <v>11000</v>
      </c>
      <c r="AD595" s="192">
        <v>12</v>
      </c>
      <c r="AE595" s="290">
        <v>8000</v>
      </c>
      <c r="AF595" s="194">
        <v>140000</v>
      </c>
    </row>
    <row r="596" spans="1:32" x14ac:dyDescent="0.3">
      <c r="A596" s="192">
        <v>5830</v>
      </c>
      <c r="B596" s="192">
        <v>84</v>
      </c>
      <c r="C596" s="192">
        <v>1000</v>
      </c>
      <c r="D596" s="192" t="s">
        <v>1629</v>
      </c>
      <c r="E596" s="192">
        <v>3673846</v>
      </c>
      <c r="F596" s="192" t="s">
        <v>1612</v>
      </c>
      <c r="G596" s="290">
        <v>0.75</v>
      </c>
      <c r="H596" s="192">
        <v>4652.91</v>
      </c>
      <c r="I596" s="192">
        <v>349.83</v>
      </c>
      <c r="J596" s="192">
        <v>176.34</v>
      </c>
      <c r="K596" s="192">
        <v>656.25</v>
      </c>
      <c r="L596" s="192">
        <v>0</v>
      </c>
      <c r="M596" s="192">
        <v>0</v>
      </c>
      <c r="N596" s="192">
        <v>398.25</v>
      </c>
      <c r="O596" s="192">
        <v>6233.58</v>
      </c>
      <c r="P596" s="192">
        <v>0</v>
      </c>
      <c r="Q596" s="192">
        <v>0</v>
      </c>
      <c r="R596" s="192">
        <v>0</v>
      </c>
      <c r="S596" s="285">
        <v>0.75</v>
      </c>
      <c r="T596" s="192">
        <v>33.049999999999997</v>
      </c>
      <c r="U596" s="291">
        <v>6266.63</v>
      </c>
      <c r="V596" s="291">
        <v>6266.63</v>
      </c>
      <c r="W596" s="292">
        <v>19723.199999999997</v>
      </c>
      <c r="X596" s="292">
        <v>75199.56</v>
      </c>
      <c r="Y596" s="292">
        <v>21379.8</v>
      </c>
      <c r="Z596" s="292">
        <v>11801.51</v>
      </c>
      <c r="AA596" s="290">
        <v>11975.851799999997</v>
      </c>
      <c r="AB596" s="285">
        <v>34968.008599999994</v>
      </c>
      <c r="AC596" s="290">
        <v>12213.85</v>
      </c>
      <c r="AD596" s="192">
        <v>12</v>
      </c>
      <c r="AE596" s="290">
        <v>8000</v>
      </c>
      <c r="AF596" s="194">
        <v>154566.20000000001</v>
      </c>
    </row>
    <row r="597" spans="1:32" x14ac:dyDescent="0.3">
      <c r="A597" s="192">
        <v>5830</v>
      </c>
      <c r="B597" s="192">
        <v>84</v>
      </c>
      <c r="C597" s="192">
        <v>1000</v>
      </c>
      <c r="D597" s="192" t="s">
        <v>1629</v>
      </c>
      <c r="E597" s="192">
        <v>3701812</v>
      </c>
      <c r="F597" s="192" t="s">
        <v>1645</v>
      </c>
      <c r="G597" s="290">
        <v>0.55000000000000004</v>
      </c>
      <c r="H597" s="192">
        <v>3248.88</v>
      </c>
      <c r="I597" s="192">
        <v>204.29</v>
      </c>
      <c r="J597" s="192">
        <v>175.73</v>
      </c>
      <c r="K597" s="192">
        <v>392.95</v>
      </c>
      <c r="L597" s="192">
        <v>0</v>
      </c>
      <c r="M597" s="192">
        <v>0</v>
      </c>
      <c r="N597" s="192">
        <v>36.5</v>
      </c>
      <c r="O597" s="192">
        <v>4058.35</v>
      </c>
      <c r="P597" s="192">
        <v>0</v>
      </c>
      <c r="Q597" s="192">
        <v>0</v>
      </c>
      <c r="R597" s="192">
        <v>0</v>
      </c>
      <c r="S597" s="285">
        <v>0.55000000000000004</v>
      </c>
      <c r="T597" s="192">
        <v>28.66</v>
      </c>
      <c r="U597" s="291">
        <v>4087.01</v>
      </c>
      <c r="V597" s="291">
        <v>4087.01</v>
      </c>
      <c r="W597" s="292">
        <v>51441.96</v>
      </c>
      <c r="X597" s="292">
        <v>49044.12</v>
      </c>
      <c r="Y597" s="292">
        <v>50204.36</v>
      </c>
      <c r="Z597" s="292">
        <v>75581.36</v>
      </c>
      <c r="AA597" s="290">
        <v>77302.053839999993</v>
      </c>
      <c r="AB597" s="285">
        <v>76697.541199999992</v>
      </c>
      <c r="AC597" s="290">
        <v>5624.56</v>
      </c>
      <c r="AD597" s="192">
        <v>12</v>
      </c>
      <c r="AE597" s="290">
        <v>8000</v>
      </c>
      <c r="AF597" s="194">
        <v>75494.720000000001</v>
      </c>
    </row>
    <row r="598" spans="1:32" x14ac:dyDescent="0.3">
      <c r="A598" s="192">
        <v>5830</v>
      </c>
      <c r="B598" s="192">
        <v>84</v>
      </c>
      <c r="C598" s="192">
        <v>1000</v>
      </c>
      <c r="D598" s="192" t="s">
        <v>1629</v>
      </c>
      <c r="E598" s="192">
        <v>3827852</v>
      </c>
      <c r="F598" s="192" t="s">
        <v>1646</v>
      </c>
      <c r="G598" s="290">
        <v>1</v>
      </c>
      <c r="H598" s="192">
        <v>8208.23</v>
      </c>
      <c r="I598" s="192">
        <v>3651.09</v>
      </c>
      <c r="J598" s="192">
        <v>427.73</v>
      </c>
      <c r="K598" s="192">
        <v>875</v>
      </c>
      <c r="L598" s="192">
        <v>0</v>
      </c>
      <c r="M598" s="192">
        <v>0</v>
      </c>
      <c r="N598" s="192">
        <v>201.44</v>
      </c>
      <c r="O598" s="192">
        <v>13363.49</v>
      </c>
      <c r="P598" s="192">
        <v>764</v>
      </c>
      <c r="Q598" s="192">
        <v>1015.13</v>
      </c>
      <c r="R598" s="192">
        <v>0</v>
      </c>
      <c r="S598" s="285">
        <v>1</v>
      </c>
      <c r="T598" s="192">
        <v>2549.44</v>
      </c>
      <c r="U598" s="291">
        <v>17692.060000000001</v>
      </c>
      <c r="V598" s="291">
        <v>17692.060000000001</v>
      </c>
      <c r="W598" s="292">
        <v>214880.16</v>
      </c>
      <c r="X598" s="292">
        <v>212304.72000000003</v>
      </c>
      <c r="Y598" s="292">
        <v>220615.32</v>
      </c>
      <c r="Z598" s="292">
        <v>219693.5</v>
      </c>
      <c r="AA598" s="290">
        <v>226150.34408999997</v>
      </c>
      <c r="AB598" s="285">
        <v>224381.81744999997</v>
      </c>
      <c r="AC598" s="290">
        <v>17906.68</v>
      </c>
      <c r="AD598" s="192">
        <v>12</v>
      </c>
      <c r="AE598" s="290">
        <v>8000</v>
      </c>
      <c r="AF598" s="194">
        <v>222880.16</v>
      </c>
    </row>
    <row r="599" spans="1:32" x14ac:dyDescent="0.3">
      <c r="A599" s="192">
        <v>5830</v>
      </c>
      <c r="B599" s="192">
        <v>84</v>
      </c>
      <c r="C599" s="192">
        <v>1000</v>
      </c>
      <c r="D599" s="192" t="s">
        <v>1629</v>
      </c>
      <c r="E599" s="192">
        <v>3936704</v>
      </c>
      <c r="F599" s="192" t="s">
        <v>1647</v>
      </c>
      <c r="G599" s="290">
        <v>0.75</v>
      </c>
      <c r="H599" s="192">
        <v>6604.55</v>
      </c>
      <c r="I599" s="192">
        <v>384.86</v>
      </c>
      <c r="J599" s="192">
        <v>185.45</v>
      </c>
      <c r="K599" s="192">
        <v>656.25</v>
      </c>
      <c r="L599" s="192">
        <v>0</v>
      </c>
      <c r="M599" s="192">
        <v>0</v>
      </c>
      <c r="N599" s="192">
        <v>307.95999999999998</v>
      </c>
      <c r="O599" s="192">
        <v>8139.07</v>
      </c>
      <c r="P599" s="192">
        <v>390</v>
      </c>
      <c r="Q599" s="192">
        <v>638.36</v>
      </c>
      <c r="R599" s="192">
        <v>0</v>
      </c>
      <c r="S599" s="285">
        <v>0.75</v>
      </c>
      <c r="T599" s="192">
        <v>1669.93</v>
      </c>
      <c r="U599" s="291">
        <v>10837.36</v>
      </c>
      <c r="V599" s="291">
        <v>10837.36</v>
      </c>
      <c r="W599" s="292">
        <v>0</v>
      </c>
      <c r="X599" s="292">
        <v>130048.32000000001</v>
      </c>
      <c r="Y599" s="292">
        <v>63934.680000000008</v>
      </c>
      <c r="Z599" s="292">
        <v>0</v>
      </c>
      <c r="AA599" s="290">
        <v>0</v>
      </c>
      <c r="AB599" s="285">
        <v>0</v>
      </c>
      <c r="AC599" s="290">
        <v>5146.3100000000004</v>
      </c>
      <c r="AD599" s="192">
        <v>12</v>
      </c>
      <c r="AE599" s="290">
        <v>8000</v>
      </c>
      <c r="AF599" s="194">
        <v>69755.72</v>
      </c>
    </row>
    <row r="600" spans="1:32" x14ac:dyDescent="0.3">
      <c r="A600" s="192">
        <v>5830</v>
      </c>
      <c r="B600" s="192">
        <v>84</v>
      </c>
      <c r="C600" s="192">
        <v>1000</v>
      </c>
      <c r="D600" s="192" t="s">
        <v>1629</v>
      </c>
      <c r="E600" s="192">
        <v>3970592</v>
      </c>
      <c r="F600" s="192" t="s">
        <v>1134</v>
      </c>
      <c r="G600" s="290">
        <v>0.8</v>
      </c>
      <c r="H600" s="192">
        <v>4652.0200000000004</v>
      </c>
      <c r="I600" s="192">
        <v>582.08000000000004</v>
      </c>
      <c r="J600" s="192">
        <v>187.88</v>
      </c>
      <c r="K600" s="192">
        <v>397.73</v>
      </c>
      <c r="L600" s="192">
        <v>0</v>
      </c>
      <c r="M600" s="192">
        <v>0</v>
      </c>
      <c r="N600" s="192">
        <v>36.5</v>
      </c>
      <c r="O600" s="192">
        <v>5856.21</v>
      </c>
      <c r="P600" s="192">
        <v>0</v>
      </c>
      <c r="Q600" s="192">
        <v>0</v>
      </c>
      <c r="R600" s="192">
        <v>0</v>
      </c>
      <c r="S600" s="285">
        <v>0.80000000000000016</v>
      </c>
      <c r="T600" s="192">
        <v>29.47</v>
      </c>
      <c r="U600" s="291">
        <v>5885.68</v>
      </c>
      <c r="V600" s="291">
        <v>5885.68</v>
      </c>
      <c r="W600" s="292">
        <v>14219.52</v>
      </c>
      <c r="X600" s="292">
        <v>70628.160000000003</v>
      </c>
      <c r="Y600" s="292">
        <v>14358.68</v>
      </c>
      <c r="Z600" s="292">
        <v>20271.21</v>
      </c>
      <c r="AA600" s="290">
        <v>20733.744569999999</v>
      </c>
      <c r="AB600" s="285">
        <v>20571.60385</v>
      </c>
      <c r="AC600" s="290">
        <v>9392.34</v>
      </c>
      <c r="AD600" s="192">
        <v>12</v>
      </c>
      <c r="AE600" s="290">
        <v>8000</v>
      </c>
      <c r="AF600" s="194">
        <v>120708.08</v>
      </c>
    </row>
    <row r="601" spans="1:32" x14ac:dyDescent="0.3">
      <c r="A601" s="192">
        <v>5830</v>
      </c>
      <c r="B601" s="192">
        <v>84</v>
      </c>
      <c r="C601" s="192">
        <v>1000</v>
      </c>
      <c r="D601" s="192" t="s">
        <v>1629</v>
      </c>
      <c r="E601" s="192">
        <v>4283578</v>
      </c>
      <c r="F601" s="192" t="s">
        <v>1648</v>
      </c>
      <c r="G601" s="290">
        <v>1</v>
      </c>
      <c r="H601" s="192">
        <v>-1922.16</v>
      </c>
      <c r="I601" s="192">
        <v>-25.83</v>
      </c>
      <c r="J601" s="192">
        <v>470.66</v>
      </c>
      <c r="K601" s="192">
        <v>875</v>
      </c>
      <c r="L601" s="192">
        <v>0</v>
      </c>
      <c r="M601" s="192">
        <v>0</v>
      </c>
      <c r="N601" s="192">
        <v>710.8</v>
      </c>
      <c r="O601" s="192">
        <v>108.47</v>
      </c>
      <c r="P601" s="192">
        <v>0</v>
      </c>
      <c r="Q601" s="192">
        <v>0</v>
      </c>
      <c r="R601" s="192">
        <v>0</v>
      </c>
      <c r="S601" s="285">
        <v>1</v>
      </c>
      <c r="T601" s="192">
        <v>35.72</v>
      </c>
      <c r="U601" s="291">
        <v>144.19</v>
      </c>
      <c r="V601" s="291">
        <v>144.19</v>
      </c>
      <c r="W601" s="292">
        <v>164277.59999999998</v>
      </c>
      <c r="X601" s="292">
        <v>1730.28</v>
      </c>
      <c r="Y601" s="292">
        <v>24884.880000000005</v>
      </c>
      <c r="Z601" s="292">
        <v>103039.24</v>
      </c>
      <c r="AA601" s="290">
        <v>103896.81092999999</v>
      </c>
      <c r="AB601" s="285">
        <v>177379.32939999999</v>
      </c>
      <c r="AC601" s="290">
        <v>12000</v>
      </c>
      <c r="AD601" s="192">
        <v>12</v>
      </c>
      <c r="AE601" s="290">
        <v>8000</v>
      </c>
      <c r="AF601" s="194">
        <v>152000</v>
      </c>
    </row>
    <row r="602" spans="1:32" x14ac:dyDescent="0.3">
      <c r="A602" s="192">
        <v>5830</v>
      </c>
      <c r="B602" s="192">
        <v>84</v>
      </c>
      <c r="C602" s="192">
        <v>1000</v>
      </c>
      <c r="D602" s="192" t="s">
        <v>1629</v>
      </c>
      <c r="E602" s="192">
        <v>5344141</v>
      </c>
      <c r="F602" s="192" t="s">
        <v>1649</v>
      </c>
      <c r="G602" s="290">
        <v>0.2</v>
      </c>
      <c r="H602" s="192">
        <v>2002.81</v>
      </c>
      <c r="I602" s="192">
        <v>116.58</v>
      </c>
      <c r="J602" s="192">
        <v>9.7200000000000006</v>
      </c>
      <c r="K602" s="192">
        <v>0</v>
      </c>
      <c r="L602" s="192">
        <v>0</v>
      </c>
      <c r="M602" s="192">
        <v>0</v>
      </c>
      <c r="N602" s="192">
        <v>0</v>
      </c>
      <c r="O602" s="192">
        <v>2129.11</v>
      </c>
      <c r="P602" s="192">
        <v>0</v>
      </c>
      <c r="Q602" s="192">
        <v>0</v>
      </c>
      <c r="R602" s="192">
        <v>0</v>
      </c>
      <c r="S602" s="285">
        <v>0.20000000000000004</v>
      </c>
      <c r="T602" s="192">
        <v>0</v>
      </c>
      <c r="U602" s="291">
        <v>2129.11</v>
      </c>
      <c r="V602" s="291">
        <v>2129.11</v>
      </c>
      <c r="W602" s="292">
        <v>25549.32</v>
      </c>
      <c r="X602" s="292">
        <v>25549.32</v>
      </c>
      <c r="Y602" s="292">
        <v>25549.32</v>
      </c>
      <c r="Z602" s="292">
        <v>35212.99</v>
      </c>
      <c r="AA602" s="290">
        <v>35942.102459999995</v>
      </c>
      <c r="AB602" s="285">
        <v>35661.030299999991</v>
      </c>
      <c r="AC602" s="290">
        <v>9500</v>
      </c>
      <c r="AD602" s="192">
        <v>12</v>
      </c>
      <c r="AE602" s="290">
        <v>8000</v>
      </c>
      <c r="AF602" s="194">
        <v>122000</v>
      </c>
    </row>
    <row r="603" spans="1:32" x14ac:dyDescent="0.3">
      <c r="A603" s="192">
        <v>5830</v>
      </c>
      <c r="B603" s="192">
        <v>84</v>
      </c>
      <c r="C603" s="192">
        <v>1000</v>
      </c>
      <c r="D603" s="192" t="s">
        <v>1629</v>
      </c>
      <c r="E603" s="192">
        <v>5410555</v>
      </c>
      <c r="F603" s="192" t="s">
        <v>1650</v>
      </c>
      <c r="G603" s="290">
        <v>1</v>
      </c>
      <c r="H603" s="192">
        <v>10842.23</v>
      </c>
      <c r="I603" s="192">
        <v>3498.75</v>
      </c>
      <c r="J603" s="192">
        <v>197.6</v>
      </c>
      <c r="K603" s="192">
        <v>1937.18</v>
      </c>
      <c r="L603" s="192">
        <v>0</v>
      </c>
      <c r="M603" s="192">
        <v>0</v>
      </c>
      <c r="N603" s="192">
        <v>36.5</v>
      </c>
      <c r="O603" s="192">
        <v>16512.259999999998</v>
      </c>
      <c r="P603" s="192">
        <v>1015</v>
      </c>
      <c r="Q603" s="192">
        <v>1254.9100000000001</v>
      </c>
      <c r="R603" s="192">
        <v>0</v>
      </c>
      <c r="S603" s="285">
        <v>1</v>
      </c>
      <c r="T603" s="192">
        <v>1830.82</v>
      </c>
      <c r="U603" s="291">
        <v>20612.990000000002</v>
      </c>
      <c r="V603" s="291">
        <v>20612.990000000002</v>
      </c>
      <c r="W603" s="292">
        <v>251111.88</v>
      </c>
      <c r="X603" s="292">
        <v>247355.88</v>
      </c>
      <c r="Y603" s="292">
        <v>251681.36</v>
      </c>
      <c r="Z603" s="292">
        <v>275947.40999999997</v>
      </c>
      <c r="AA603" s="290">
        <v>284201.12357999996</v>
      </c>
      <c r="AB603" s="285">
        <v>281978.63189999992</v>
      </c>
      <c r="AC603" s="290">
        <v>20925.990000000002</v>
      </c>
      <c r="AD603" s="192">
        <v>12</v>
      </c>
      <c r="AE603" s="290">
        <v>8000</v>
      </c>
      <c r="AF603" s="194">
        <v>259111.88</v>
      </c>
    </row>
    <row r="604" spans="1:32" x14ac:dyDescent="0.3">
      <c r="A604" s="192">
        <v>5830</v>
      </c>
      <c r="B604" s="192">
        <v>84</v>
      </c>
      <c r="C604" s="192">
        <v>1000</v>
      </c>
      <c r="D604" s="192" t="s">
        <v>1629</v>
      </c>
      <c r="E604" s="192">
        <v>5568526</v>
      </c>
      <c r="F604" s="192" t="s">
        <v>1651</v>
      </c>
      <c r="G604" s="290">
        <v>1</v>
      </c>
      <c r="H604" s="192">
        <v>10829.82</v>
      </c>
      <c r="I604" s="192">
        <v>5424.5</v>
      </c>
      <c r="J604" s="192">
        <v>678.6</v>
      </c>
      <c r="K604" s="192">
        <v>1350.89</v>
      </c>
      <c r="L604" s="192">
        <v>0</v>
      </c>
      <c r="M604" s="192">
        <v>0</v>
      </c>
      <c r="N604" s="192">
        <v>110.5</v>
      </c>
      <c r="O604" s="192">
        <v>18394.310000000001</v>
      </c>
      <c r="P604" s="192">
        <v>1150</v>
      </c>
      <c r="Q604" s="192">
        <v>1393.92</v>
      </c>
      <c r="R604" s="192">
        <v>0</v>
      </c>
      <c r="S604" s="285">
        <v>1</v>
      </c>
      <c r="T604" s="192">
        <v>2072.91</v>
      </c>
      <c r="U604" s="291">
        <v>23011.14</v>
      </c>
      <c r="V604" s="291">
        <v>23011.14</v>
      </c>
      <c r="W604" s="292">
        <v>319912.44</v>
      </c>
      <c r="X604" s="292">
        <v>276133.68</v>
      </c>
      <c r="Y604" s="292">
        <v>289854.84000000003</v>
      </c>
      <c r="Z604" s="292">
        <v>281656.96999999997</v>
      </c>
      <c r="AA604" s="290">
        <v>290000.99138999998</v>
      </c>
      <c r="AB604" s="285">
        <v>287733.14394999994</v>
      </c>
      <c r="AC604" s="290">
        <v>20000</v>
      </c>
      <c r="AD604" s="192">
        <v>12</v>
      </c>
      <c r="AE604" s="290">
        <v>8000</v>
      </c>
      <c r="AF604" s="194">
        <v>248000</v>
      </c>
    </row>
    <row r="605" spans="1:32" x14ac:dyDescent="0.3">
      <c r="A605" s="192">
        <v>5830</v>
      </c>
      <c r="B605" s="192">
        <v>84</v>
      </c>
      <c r="C605" s="192">
        <v>1000</v>
      </c>
      <c r="D605" s="192" t="s">
        <v>1629</v>
      </c>
      <c r="E605" s="192">
        <v>5569359</v>
      </c>
      <c r="F605" s="192" t="s">
        <v>1652</v>
      </c>
      <c r="G605" s="290">
        <v>0.98</v>
      </c>
      <c r="H605" s="192">
        <v>4113.5200000000004</v>
      </c>
      <c r="I605" s="192">
        <v>257.89999999999998</v>
      </c>
      <c r="J605" s="192">
        <v>172.33</v>
      </c>
      <c r="K605" s="192">
        <v>857.5</v>
      </c>
      <c r="L605" s="192">
        <v>0</v>
      </c>
      <c r="M605" s="192">
        <v>0</v>
      </c>
      <c r="N605" s="192">
        <v>36.5</v>
      </c>
      <c r="O605" s="192">
        <v>5437.75</v>
      </c>
      <c r="P605" s="192">
        <v>0</v>
      </c>
      <c r="Q605" s="192">
        <v>0</v>
      </c>
      <c r="R605" s="192">
        <v>0</v>
      </c>
      <c r="S605" s="285">
        <v>0.98</v>
      </c>
      <c r="T605" s="192">
        <v>39.049999999999997</v>
      </c>
      <c r="U605" s="291">
        <v>5476.8</v>
      </c>
      <c r="V605" s="291">
        <v>5476.8</v>
      </c>
      <c r="W605" s="292">
        <v>63255.72</v>
      </c>
      <c r="X605" s="292">
        <v>65721.600000000006</v>
      </c>
      <c r="Y605" s="292">
        <v>67862.720000000001</v>
      </c>
      <c r="Z605" s="292">
        <v>162191.75</v>
      </c>
      <c r="AA605" s="290">
        <v>165220.33109999998</v>
      </c>
      <c r="AB605" s="285">
        <v>163928.28549999997</v>
      </c>
      <c r="AC605" s="290">
        <v>13791.18</v>
      </c>
      <c r="AD605" s="192">
        <v>12</v>
      </c>
      <c r="AE605" s="290">
        <v>8000</v>
      </c>
      <c r="AF605" s="194">
        <v>173494.16</v>
      </c>
    </row>
    <row r="606" spans="1:32" x14ac:dyDescent="0.3">
      <c r="A606" s="192">
        <v>5830</v>
      </c>
      <c r="B606" s="192">
        <v>84</v>
      </c>
      <c r="C606" s="192">
        <v>1000</v>
      </c>
      <c r="D606" s="192" t="s">
        <v>1629</v>
      </c>
      <c r="E606" s="192">
        <v>5716515</v>
      </c>
      <c r="F606" s="192" t="s">
        <v>1626</v>
      </c>
      <c r="G606" s="290">
        <v>0</v>
      </c>
      <c r="H606" s="192">
        <v>585</v>
      </c>
      <c r="I606" s="192">
        <v>0</v>
      </c>
      <c r="J606" s="192">
        <v>0</v>
      </c>
      <c r="K606" s="192">
        <v>0</v>
      </c>
      <c r="L606" s="192">
        <v>0</v>
      </c>
      <c r="M606" s="192">
        <v>0</v>
      </c>
      <c r="N606" s="192">
        <v>0</v>
      </c>
      <c r="O606" s="192">
        <v>585</v>
      </c>
      <c r="P606" s="192">
        <v>33.83</v>
      </c>
      <c r="Q606" s="192">
        <v>43.87</v>
      </c>
      <c r="R606" s="192">
        <v>0</v>
      </c>
      <c r="S606" s="285">
        <v>0</v>
      </c>
      <c r="T606" s="192">
        <v>53.53</v>
      </c>
      <c r="U606" s="291">
        <v>716.23</v>
      </c>
      <c r="V606" s="291">
        <v>716.23</v>
      </c>
      <c r="W606" s="292">
        <v>186104.52</v>
      </c>
      <c r="X606" s="292">
        <v>8594.76</v>
      </c>
      <c r="Y606" s="292">
        <v>186607.48</v>
      </c>
      <c r="Z606" s="292">
        <v>196045.33</v>
      </c>
      <c r="AA606" s="290">
        <v>198597.03599999999</v>
      </c>
      <c r="AB606" s="285">
        <v>48533</v>
      </c>
      <c r="AC606" s="290">
        <v>16224.23</v>
      </c>
      <c r="AD606" s="192">
        <v>12</v>
      </c>
      <c r="AE606" s="290">
        <v>8000</v>
      </c>
      <c r="AF606" s="194">
        <v>202690.76</v>
      </c>
    </row>
    <row r="607" spans="1:32" x14ac:dyDescent="0.3">
      <c r="A607" s="192">
        <v>5830</v>
      </c>
      <c r="B607" s="192">
        <v>84</v>
      </c>
      <c r="C607" s="192">
        <v>1000</v>
      </c>
      <c r="D607" s="192" t="s">
        <v>1629</v>
      </c>
      <c r="E607" s="192">
        <v>5833920</v>
      </c>
      <c r="F607" s="192" t="s">
        <v>1653</v>
      </c>
      <c r="G607" s="290">
        <v>0.5</v>
      </c>
      <c r="H607" s="192">
        <v>4534.54</v>
      </c>
      <c r="I607" s="192">
        <v>491.89</v>
      </c>
      <c r="J607" s="192">
        <v>173.3</v>
      </c>
      <c r="K607" s="192">
        <v>176.17</v>
      </c>
      <c r="L607" s="192">
        <v>0</v>
      </c>
      <c r="M607" s="192">
        <v>0</v>
      </c>
      <c r="N607" s="192">
        <v>36.5</v>
      </c>
      <c r="O607" s="192">
        <v>5412.4</v>
      </c>
      <c r="P607" s="192">
        <v>192.01</v>
      </c>
      <c r="Q607" s="192">
        <v>405.93</v>
      </c>
      <c r="R607" s="192">
        <v>0</v>
      </c>
      <c r="S607" s="285">
        <v>0.5</v>
      </c>
      <c r="T607" s="192">
        <v>608.61</v>
      </c>
      <c r="U607" s="291">
        <v>6618.95</v>
      </c>
      <c r="V607" s="291">
        <v>6618.95</v>
      </c>
      <c r="W607" s="292">
        <v>75643.44</v>
      </c>
      <c r="X607" s="292">
        <v>79427.399999999994</v>
      </c>
      <c r="Y607" s="292">
        <v>80773.919999999998</v>
      </c>
      <c r="Z607" s="292">
        <v>76688.53</v>
      </c>
      <c r="AA607" s="290">
        <v>78116.484599999996</v>
      </c>
      <c r="AB607" s="285">
        <v>77505.602999999988</v>
      </c>
      <c r="AC607" s="290">
        <v>6303.62</v>
      </c>
      <c r="AD607" s="192">
        <v>12</v>
      </c>
      <c r="AE607" s="290">
        <v>8000</v>
      </c>
      <c r="AF607" s="194">
        <v>83643.44</v>
      </c>
    </row>
    <row r="608" spans="1:32" x14ac:dyDescent="0.3">
      <c r="A608" s="192">
        <v>5830</v>
      </c>
      <c r="B608" s="192">
        <v>84</v>
      </c>
      <c r="C608" s="192">
        <v>1000</v>
      </c>
      <c r="D608" s="192" t="s">
        <v>1629</v>
      </c>
      <c r="E608" s="192">
        <v>5870939</v>
      </c>
      <c r="F608" s="192" t="s">
        <v>1654</v>
      </c>
      <c r="G608" s="290">
        <v>0.15</v>
      </c>
      <c r="H608" s="192">
        <v>1152.8399999999999</v>
      </c>
      <c r="I608" s="192">
        <v>77.7</v>
      </c>
      <c r="J608" s="192">
        <v>7.29</v>
      </c>
      <c r="K608" s="192">
        <v>0</v>
      </c>
      <c r="L608" s="192">
        <v>0</v>
      </c>
      <c r="M608" s="192">
        <v>0</v>
      </c>
      <c r="N608" s="192">
        <v>0</v>
      </c>
      <c r="O608" s="192">
        <v>1237.83</v>
      </c>
      <c r="P608" s="192">
        <v>0</v>
      </c>
      <c r="Q608" s="192">
        <v>0</v>
      </c>
      <c r="R608" s="192">
        <v>0</v>
      </c>
      <c r="S608" s="285">
        <v>0.15</v>
      </c>
      <c r="T608" s="192">
        <v>0</v>
      </c>
      <c r="U608" s="291">
        <v>1237.83</v>
      </c>
      <c r="V608" s="291">
        <v>1237.83</v>
      </c>
      <c r="W608" s="292">
        <v>14853.96</v>
      </c>
      <c r="X608" s="292">
        <v>14853.96</v>
      </c>
      <c r="Y608" s="292">
        <v>14853.96</v>
      </c>
      <c r="Z608" s="292">
        <v>37076.480000000003</v>
      </c>
      <c r="AA608" s="290">
        <v>38938.817279999996</v>
      </c>
      <c r="AB608" s="285">
        <v>38634.310399999995</v>
      </c>
      <c r="AC608" s="290">
        <v>9000</v>
      </c>
      <c r="AD608" s="192">
        <v>12</v>
      </c>
      <c r="AE608" s="290">
        <v>8000</v>
      </c>
      <c r="AF608" s="194">
        <v>116000</v>
      </c>
    </row>
    <row r="609" spans="1:34" x14ac:dyDescent="0.3">
      <c r="A609" s="192">
        <v>5830</v>
      </c>
      <c r="B609" s="192">
        <v>84</v>
      </c>
      <c r="C609" s="192">
        <v>1000</v>
      </c>
      <c r="D609" s="192" t="s">
        <v>1629</v>
      </c>
      <c r="E609" s="192">
        <v>5905985</v>
      </c>
      <c r="F609" s="192" t="s">
        <v>1655</v>
      </c>
      <c r="G609" s="290">
        <v>1</v>
      </c>
      <c r="H609" s="192">
        <v>5439.74</v>
      </c>
      <c r="I609" s="192">
        <v>4690.91</v>
      </c>
      <c r="J609" s="192">
        <v>173.3</v>
      </c>
      <c r="K609" s="192">
        <v>1113.6400000000001</v>
      </c>
      <c r="L609" s="192">
        <v>0</v>
      </c>
      <c r="M609" s="192">
        <v>0</v>
      </c>
      <c r="N609" s="192">
        <v>36.5</v>
      </c>
      <c r="O609" s="192">
        <v>11454.09</v>
      </c>
      <c r="P609" s="192">
        <v>0</v>
      </c>
      <c r="Q609" s="192">
        <v>0</v>
      </c>
      <c r="R609" s="192">
        <v>0</v>
      </c>
      <c r="S609" s="285">
        <v>1</v>
      </c>
      <c r="T609" s="192">
        <v>63.3</v>
      </c>
      <c r="U609" s="291">
        <v>11517.39</v>
      </c>
      <c r="V609" s="291">
        <v>11517.39</v>
      </c>
      <c r="W609" s="292">
        <v>122214.12</v>
      </c>
      <c r="X609" s="292">
        <v>138208.68</v>
      </c>
      <c r="Y609" s="292">
        <v>138105.44</v>
      </c>
      <c r="Z609" s="292">
        <v>273083.65000000002</v>
      </c>
      <c r="AA609" s="290">
        <v>278624.15723999997</v>
      </c>
      <c r="AB609" s="285">
        <v>276445.2782</v>
      </c>
      <c r="AC609" s="290">
        <v>19934.07</v>
      </c>
      <c r="AD609" s="192">
        <v>12</v>
      </c>
      <c r="AE609" s="290">
        <v>8000</v>
      </c>
      <c r="AF609" s="194">
        <v>247208.84</v>
      </c>
    </row>
    <row r="610" spans="1:34" x14ac:dyDescent="0.3">
      <c r="A610" s="192">
        <v>5830</v>
      </c>
      <c r="B610" s="192">
        <v>84</v>
      </c>
      <c r="C610" s="192">
        <v>1000</v>
      </c>
      <c r="D610" s="192" t="s">
        <v>1629</v>
      </c>
      <c r="E610" s="192">
        <v>5918669</v>
      </c>
      <c r="F610" s="192" t="s">
        <v>1656</v>
      </c>
      <c r="G610" s="290">
        <v>1</v>
      </c>
      <c r="H610" s="192">
        <v>6558.49</v>
      </c>
      <c r="I610" s="192">
        <v>1120.5899999999999</v>
      </c>
      <c r="J610" s="192">
        <v>197.6</v>
      </c>
      <c r="K610" s="192">
        <v>1062.18</v>
      </c>
      <c r="L610" s="192">
        <v>0</v>
      </c>
      <c r="M610" s="192">
        <v>0</v>
      </c>
      <c r="N610" s="192">
        <v>36.5</v>
      </c>
      <c r="O610" s="192">
        <v>8975.36</v>
      </c>
      <c r="P610" s="192">
        <v>426</v>
      </c>
      <c r="Q610" s="192">
        <v>673.15</v>
      </c>
      <c r="R610" s="192">
        <v>0</v>
      </c>
      <c r="S610" s="285">
        <v>1</v>
      </c>
      <c r="T610" s="192">
        <v>821.42</v>
      </c>
      <c r="U610" s="291">
        <v>10895.93</v>
      </c>
      <c r="V610" s="291">
        <v>10895.93</v>
      </c>
      <c r="W610" s="292">
        <v>128551.56</v>
      </c>
      <c r="X610" s="292">
        <v>130751.16</v>
      </c>
      <c r="Y610" s="292">
        <v>128672.8</v>
      </c>
      <c r="Z610" s="292">
        <v>142037.04</v>
      </c>
      <c r="AA610" s="290">
        <v>145233.82664999997</v>
      </c>
      <c r="AB610" s="285">
        <v>144098.07824999996</v>
      </c>
      <c r="AC610" s="290">
        <v>10712.63</v>
      </c>
      <c r="AD610" s="192">
        <v>12</v>
      </c>
      <c r="AE610" s="290">
        <v>8000</v>
      </c>
      <c r="AF610" s="194">
        <v>136551.56</v>
      </c>
    </row>
    <row r="611" spans="1:34" x14ac:dyDescent="0.3">
      <c r="A611" s="192">
        <v>5830</v>
      </c>
      <c r="B611" s="192">
        <v>84</v>
      </c>
      <c r="C611" s="192">
        <v>1000</v>
      </c>
      <c r="D611" s="192" t="s">
        <v>1629</v>
      </c>
      <c r="E611" s="192">
        <v>6654935</v>
      </c>
      <c r="F611" s="192" t="s">
        <v>1657</v>
      </c>
      <c r="G611" s="290">
        <v>0.75</v>
      </c>
      <c r="H611" s="192">
        <v>6096.52</v>
      </c>
      <c r="I611" s="192">
        <v>367.81</v>
      </c>
      <c r="J611" s="192">
        <v>180.89</v>
      </c>
      <c r="K611" s="192">
        <v>1040.55</v>
      </c>
      <c r="L611" s="192">
        <v>0</v>
      </c>
      <c r="M611" s="192">
        <v>0</v>
      </c>
      <c r="N611" s="192">
        <v>0</v>
      </c>
      <c r="O611" s="192">
        <v>7685.77</v>
      </c>
      <c r="P611" s="192">
        <v>328</v>
      </c>
      <c r="Q611" s="192">
        <v>576.42999999999995</v>
      </c>
      <c r="R611" s="192">
        <v>0</v>
      </c>
      <c r="S611" s="285">
        <v>0.75</v>
      </c>
      <c r="T611" s="192">
        <v>0</v>
      </c>
      <c r="U611" s="291">
        <v>8590.2000000000007</v>
      </c>
      <c r="V611" s="291">
        <v>8590.2000000000007</v>
      </c>
      <c r="W611" s="292">
        <v>0</v>
      </c>
      <c r="X611" s="292">
        <v>103082.40000000001</v>
      </c>
      <c r="Y611" s="292">
        <v>34360.800000000003</v>
      </c>
      <c r="Z611" s="292">
        <v>0</v>
      </c>
      <c r="AA611" s="290">
        <v>0</v>
      </c>
      <c r="AB611" s="285">
        <v>0</v>
      </c>
      <c r="AC611" s="290">
        <v>8590.2000000000007</v>
      </c>
      <c r="AD611" s="192">
        <v>12</v>
      </c>
      <c r="AE611" s="290">
        <v>8000</v>
      </c>
      <c r="AF611" s="194">
        <v>111082.40000000001</v>
      </c>
    </row>
    <row r="612" spans="1:34" x14ac:dyDescent="0.3">
      <c r="A612" s="192">
        <v>5830</v>
      </c>
      <c r="B612" s="192">
        <v>84</v>
      </c>
      <c r="C612" s="192">
        <v>1000</v>
      </c>
      <c r="D612" s="192" t="s">
        <v>1629</v>
      </c>
      <c r="E612" s="192">
        <v>6760025</v>
      </c>
      <c r="F612" s="192" t="s">
        <v>1658</v>
      </c>
      <c r="G612" s="290">
        <v>1</v>
      </c>
      <c r="H612" s="192">
        <v>2502.6799999999998</v>
      </c>
      <c r="I612" s="192">
        <v>850.77</v>
      </c>
      <c r="J612" s="192">
        <v>161.15</v>
      </c>
      <c r="K612" s="192">
        <v>854.23</v>
      </c>
      <c r="L612" s="192">
        <v>0</v>
      </c>
      <c r="M612" s="192">
        <v>0</v>
      </c>
      <c r="N612" s="192">
        <v>36.5</v>
      </c>
      <c r="O612" s="192">
        <v>4405.33</v>
      </c>
      <c r="P612" s="192">
        <v>0</v>
      </c>
      <c r="Q612" s="192">
        <v>0</v>
      </c>
      <c r="R612" s="192">
        <v>0</v>
      </c>
      <c r="S612" s="285">
        <v>1</v>
      </c>
      <c r="T612" s="192">
        <v>44.64</v>
      </c>
      <c r="U612" s="291">
        <v>4449.97</v>
      </c>
      <c r="V612" s="291">
        <v>4449.97</v>
      </c>
      <c r="W612" s="292">
        <v>48385.440000000002</v>
      </c>
      <c r="X612" s="292">
        <v>53399.64</v>
      </c>
      <c r="Y612" s="292">
        <v>53399.64</v>
      </c>
      <c r="Z612" s="292">
        <v>205818.27</v>
      </c>
      <c r="AA612" s="290">
        <v>209633.54874</v>
      </c>
      <c r="AB612" s="285">
        <v>207994.18569999997</v>
      </c>
      <c r="AC612" s="290">
        <v>14000</v>
      </c>
      <c r="AD612" s="192">
        <v>12</v>
      </c>
      <c r="AE612" s="290">
        <v>8000</v>
      </c>
      <c r="AF612" s="194">
        <v>176000</v>
      </c>
    </row>
    <row r="613" spans="1:34" x14ac:dyDescent="0.3">
      <c r="A613" s="192">
        <v>5830</v>
      </c>
      <c r="B613" s="192">
        <v>84</v>
      </c>
      <c r="C613" s="192">
        <v>1000</v>
      </c>
      <c r="D613" s="192" t="s">
        <v>1629</v>
      </c>
      <c r="E613" s="192">
        <v>20024198</v>
      </c>
      <c r="F613" s="192" t="s">
        <v>1659</v>
      </c>
      <c r="G613" s="290">
        <v>1</v>
      </c>
      <c r="H613" s="192">
        <v>8602.11</v>
      </c>
      <c r="I613" s="192">
        <v>500.03</v>
      </c>
      <c r="J613" s="192">
        <v>191.53</v>
      </c>
      <c r="K613" s="192">
        <v>875</v>
      </c>
      <c r="L613" s="192">
        <v>0</v>
      </c>
      <c r="M613" s="192">
        <v>0</v>
      </c>
      <c r="N613" s="192">
        <v>612.44000000000005</v>
      </c>
      <c r="O613" s="192">
        <v>10781.11</v>
      </c>
      <c r="P613" s="192">
        <v>595</v>
      </c>
      <c r="Q613" s="192">
        <v>840.05</v>
      </c>
      <c r="R613" s="192">
        <v>0</v>
      </c>
      <c r="S613" s="285">
        <v>1</v>
      </c>
      <c r="T613" s="192">
        <v>2132.9</v>
      </c>
      <c r="U613" s="291">
        <v>14349.06</v>
      </c>
      <c r="V613" s="291">
        <v>14349.06</v>
      </c>
      <c r="W613" s="292">
        <v>168211.32</v>
      </c>
      <c r="X613" s="292">
        <v>172188.72</v>
      </c>
      <c r="Y613" s="292">
        <v>169898.08</v>
      </c>
      <c r="Z613" s="292">
        <v>176855.16</v>
      </c>
      <c r="AA613" s="290">
        <v>178076.86313999997</v>
      </c>
      <c r="AB613" s="285">
        <v>176684.27769999998</v>
      </c>
      <c r="AC613" s="290">
        <v>14017.61</v>
      </c>
      <c r="AD613" s="192">
        <v>12</v>
      </c>
      <c r="AE613" s="290">
        <v>8000</v>
      </c>
      <c r="AF613" s="194">
        <v>176211.32</v>
      </c>
    </row>
    <row r="614" spans="1:34" x14ac:dyDescent="0.3">
      <c r="A614" s="192">
        <v>5830</v>
      </c>
      <c r="B614" s="192">
        <v>84</v>
      </c>
      <c r="C614" s="192">
        <v>1000</v>
      </c>
      <c r="D614" s="192" t="s">
        <v>1629</v>
      </c>
      <c r="E614" s="192">
        <v>30185612</v>
      </c>
      <c r="F614" s="192" t="s">
        <v>1660</v>
      </c>
      <c r="G614" s="290">
        <v>0.7</v>
      </c>
      <c r="H614" s="192">
        <v>4118.37</v>
      </c>
      <c r="I614" s="192">
        <v>260.75</v>
      </c>
      <c r="J614" s="192">
        <v>183.02</v>
      </c>
      <c r="K614" s="192">
        <v>0</v>
      </c>
      <c r="L614" s="192">
        <v>0</v>
      </c>
      <c r="M614" s="192">
        <v>0</v>
      </c>
      <c r="N614" s="192">
        <v>408.2</v>
      </c>
      <c r="O614" s="192">
        <v>4970.34</v>
      </c>
      <c r="P614" s="192">
        <v>177</v>
      </c>
      <c r="Q614" s="192">
        <v>372.77</v>
      </c>
      <c r="R614" s="192">
        <v>0</v>
      </c>
      <c r="S614" s="285">
        <v>0.69999999999999984</v>
      </c>
      <c r="T614" s="192">
        <v>977.76</v>
      </c>
      <c r="U614" s="291">
        <v>6497.87</v>
      </c>
      <c r="V614" s="291">
        <v>6497.87</v>
      </c>
      <c r="W614" s="292">
        <v>77312.759999999995</v>
      </c>
      <c r="X614" s="292">
        <v>77974.44</v>
      </c>
      <c r="Y614" s="292">
        <v>77992.12</v>
      </c>
      <c r="Z614" s="292">
        <v>47377.02</v>
      </c>
      <c r="AA614" s="290">
        <v>48351.839249999997</v>
      </c>
      <c r="AB614" s="285">
        <v>47973.721249999995</v>
      </c>
      <c r="AC614" s="290">
        <v>6442.73</v>
      </c>
      <c r="AD614" s="192">
        <v>12</v>
      </c>
      <c r="AE614" s="290">
        <v>8000</v>
      </c>
      <c r="AF614" s="194">
        <v>85312.76</v>
      </c>
    </row>
    <row r="615" spans="1:34" x14ac:dyDescent="0.3">
      <c r="A615" s="192">
        <v>5830</v>
      </c>
      <c r="B615" s="192">
        <v>84</v>
      </c>
      <c r="C615" s="192">
        <v>1000</v>
      </c>
      <c r="D615" s="192" t="s">
        <v>1629</v>
      </c>
      <c r="E615" s="192">
        <v>30284910</v>
      </c>
      <c r="F615" s="192" t="s">
        <v>1661</v>
      </c>
      <c r="G615" s="290">
        <v>1</v>
      </c>
      <c r="H615" s="192">
        <v>6333.69</v>
      </c>
      <c r="I615" s="192">
        <v>455.2</v>
      </c>
      <c r="J615" s="192">
        <v>179.38</v>
      </c>
      <c r="K615" s="192">
        <v>809.71</v>
      </c>
      <c r="L615" s="192">
        <v>0</v>
      </c>
      <c r="M615" s="192">
        <v>0</v>
      </c>
      <c r="N615" s="192">
        <v>36.5</v>
      </c>
      <c r="O615" s="192">
        <v>7814.48</v>
      </c>
      <c r="P615" s="192">
        <v>340</v>
      </c>
      <c r="Q615" s="192">
        <v>586.08000000000004</v>
      </c>
      <c r="R615" s="192">
        <v>0</v>
      </c>
      <c r="S615" s="285">
        <v>1</v>
      </c>
      <c r="T615" s="192">
        <v>0</v>
      </c>
      <c r="U615" s="291">
        <v>8740.56</v>
      </c>
      <c r="V615" s="291">
        <v>8740.56</v>
      </c>
      <c r="W615" s="292">
        <v>0</v>
      </c>
      <c r="X615" s="292">
        <v>104886.72</v>
      </c>
      <c r="Y615" s="292">
        <v>54851.12000000001</v>
      </c>
      <c r="Z615" s="292">
        <v>0</v>
      </c>
      <c r="AA615" s="290">
        <v>0</v>
      </c>
      <c r="AB615" s="285">
        <v>0</v>
      </c>
      <c r="AC615" s="290">
        <v>4972.22</v>
      </c>
      <c r="AD615" s="192">
        <v>12</v>
      </c>
      <c r="AE615" s="290">
        <v>8000</v>
      </c>
      <c r="AF615" s="194">
        <v>67666.64</v>
      </c>
    </row>
    <row r="616" spans="1:34" x14ac:dyDescent="0.3">
      <c r="A616" s="192">
        <v>5830</v>
      </c>
      <c r="B616" s="192">
        <v>84</v>
      </c>
      <c r="C616" s="192">
        <v>1000</v>
      </c>
      <c r="D616" s="192" t="s">
        <v>1629</v>
      </c>
      <c r="E616" s="192">
        <v>30541563</v>
      </c>
      <c r="F616" s="192" t="s">
        <v>1662</v>
      </c>
      <c r="G616" s="290">
        <v>0.8</v>
      </c>
      <c r="H616" s="192">
        <v>6391.64</v>
      </c>
      <c r="I616" s="192">
        <v>379.12</v>
      </c>
      <c r="J616" s="192">
        <v>183.02</v>
      </c>
      <c r="K616" s="192">
        <v>700</v>
      </c>
      <c r="L616" s="192">
        <v>0</v>
      </c>
      <c r="M616" s="192">
        <v>0</v>
      </c>
      <c r="N616" s="192">
        <v>36.5</v>
      </c>
      <c r="O616" s="192">
        <v>7690.28</v>
      </c>
      <c r="P616" s="192">
        <v>356</v>
      </c>
      <c r="Q616" s="192">
        <v>604.15</v>
      </c>
      <c r="R616" s="192">
        <v>0</v>
      </c>
      <c r="S616" s="285">
        <v>0.80000000000000016</v>
      </c>
      <c r="T616" s="192">
        <v>1630.17</v>
      </c>
      <c r="U616" s="291">
        <v>10280.6</v>
      </c>
      <c r="V616" s="291">
        <v>10280.6</v>
      </c>
      <c r="W616" s="292">
        <v>107666.04000000001</v>
      </c>
      <c r="X616" s="292">
        <v>123367.20000000001</v>
      </c>
      <c r="Y616" s="292">
        <v>124656.32000000001</v>
      </c>
      <c r="Z616" s="292">
        <v>148939.84</v>
      </c>
      <c r="AA616" s="290">
        <v>156637.09511999998</v>
      </c>
      <c r="AB616" s="285">
        <v>155412.1716</v>
      </c>
      <c r="AC616" s="290">
        <v>8972.17</v>
      </c>
      <c r="AD616" s="192">
        <v>12</v>
      </c>
      <c r="AE616" s="290">
        <v>8000</v>
      </c>
      <c r="AF616" s="194">
        <v>115666.04000000001</v>
      </c>
    </row>
    <row r="617" spans="1:34" x14ac:dyDescent="0.3">
      <c r="A617" s="192">
        <v>5830</v>
      </c>
      <c r="B617" s="192">
        <v>84</v>
      </c>
      <c r="C617" s="192">
        <v>1000</v>
      </c>
      <c r="D617" s="192" t="s">
        <v>1629</v>
      </c>
      <c r="E617" s="192">
        <v>30573000</v>
      </c>
      <c r="F617" s="192" t="s">
        <v>1663</v>
      </c>
      <c r="G617" s="290">
        <v>0</v>
      </c>
      <c r="H617" s="192">
        <v>684</v>
      </c>
      <c r="I617" s="192">
        <v>0</v>
      </c>
      <c r="J617" s="192">
        <v>0</v>
      </c>
      <c r="K617" s="192">
        <v>0</v>
      </c>
      <c r="L617" s="192">
        <v>0</v>
      </c>
      <c r="M617" s="192">
        <v>0</v>
      </c>
      <c r="N617" s="192">
        <v>0</v>
      </c>
      <c r="O617" s="192">
        <v>684</v>
      </c>
      <c r="P617" s="192">
        <v>30</v>
      </c>
      <c r="Q617" s="192">
        <v>62.55</v>
      </c>
      <c r="R617" s="192">
        <v>0</v>
      </c>
      <c r="S617" s="285">
        <v>0</v>
      </c>
      <c r="T617" s="192">
        <v>92.34</v>
      </c>
      <c r="U617" s="291">
        <v>868.89</v>
      </c>
      <c r="V617" s="291">
        <v>868.89</v>
      </c>
      <c r="W617" s="292">
        <v>13626.24</v>
      </c>
      <c r="X617" s="292">
        <v>10426.68</v>
      </c>
      <c r="Y617" s="292">
        <v>12559.719999999998</v>
      </c>
      <c r="Z617" s="292">
        <v>1135.9000000000001</v>
      </c>
      <c r="AA617" s="290">
        <v>0</v>
      </c>
      <c r="AB617" s="285">
        <v>0</v>
      </c>
      <c r="AC617" s="290">
        <v>1135.52</v>
      </c>
      <c r="AD617" s="192">
        <v>12</v>
      </c>
      <c r="AE617" s="290">
        <v>8000</v>
      </c>
      <c r="AF617" s="194">
        <v>21626.239999999998</v>
      </c>
    </row>
    <row r="618" spans="1:34" x14ac:dyDescent="0.3">
      <c r="A618" s="192">
        <v>5830</v>
      </c>
      <c r="B618" s="192">
        <v>84</v>
      </c>
      <c r="C618" s="192">
        <v>1000</v>
      </c>
      <c r="D618" s="192" t="s">
        <v>1629</v>
      </c>
      <c r="E618" s="192">
        <v>30636828</v>
      </c>
      <c r="F618" s="192" t="s">
        <v>1664</v>
      </c>
      <c r="G618" s="290">
        <v>0.8</v>
      </c>
      <c r="H618" s="192">
        <v>5854.33</v>
      </c>
      <c r="I618" s="192">
        <v>387.73</v>
      </c>
      <c r="J618" s="192">
        <v>183.02</v>
      </c>
      <c r="K618" s="192">
        <v>700</v>
      </c>
      <c r="L618" s="192">
        <v>0</v>
      </c>
      <c r="M618" s="192">
        <v>0</v>
      </c>
      <c r="N618" s="192">
        <v>36.5</v>
      </c>
      <c r="O618" s="192">
        <v>7161.58</v>
      </c>
      <c r="P618" s="192">
        <v>315</v>
      </c>
      <c r="Q618" s="192">
        <v>490.91</v>
      </c>
      <c r="R618" s="192">
        <v>0</v>
      </c>
      <c r="S618" s="285">
        <v>0.80000000000000016</v>
      </c>
      <c r="T618" s="192">
        <v>1467.73</v>
      </c>
      <c r="U618" s="291">
        <v>9435.2199999999993</v>
      </c>
      <c r="V618" s="291">
        <v>9435.2199999999993</v>
      </c>
      <c r="W618" s="292">
        <v>128307.84</v>
      </c>
      <c r="X618" s="292">
        <v>113222.63999999998</v>
      </c>
      <c r="Y618" s="292">
        <v>126091.79999999999</v>
      </c>
      <c r="Z618" s="292">
        <v>129910.7</v>
      </c>
      <c r="AA618" s="290">
        <v>129367.51608</v>
      </c>
      <c r="AB618" s="285">
        <v>128355.84439999999</v>
      </c>
      <c r="AC618" s="290">
        <v>9000</v>
      </c>
      <c r="AD618" s="192">
        <v>12</v>
      </c>
      <c r="AE618" s="290">
        <v>8000</v>
      </c>
      <c r="AF618" s="194">
        <v>116000</v>
      </c>
    </row>
    <row r="619" spans="1:34" x14ac:dyDescent="0.3">
      <c r="A619" s="192">
        <v>5830</v>
      </c>
      <c r="B619" s="192">
        <v>84</v>
      </c>
      <c r="C619" s="192">
        <v>1000</v>
      </c>
      <c r="D619" s="192" t="s">
        <v>1629</v>
      </c>
      <c r="E619" s="192">
        <v>30693884</v>
      </c>
      <c r="F619" s="192" t="s">
        <v>1665</v>
      </c>
      <c r="G619" s="290">
        <v>1</v>
      </c>
      <c r="H619" s="192">
        <v>7241.11</v>
      </c>
      <c r="I619" s="192">
        <v>412.72</v>
      </c>
      <c r="J619" s="192">
        <v>197.6</v>
      </c>
      <c r="K619" s="192">
        <v>0</v>
      </c>
      <c r="L619" s="192">
        <v>0</v>
      </c>
      <c r="M619" s="192">
        <v>0</v>
      </c>
      <c r="N619" s="192">
        <v>36.5</v>
      </c>
      <c r="O619" s="192">
        <v>7887.93</v>
      </c>
      <c r="P619" s="192">
        <v>64</v>
      </c>
      <c r="Q619" s="192">
        <v>591.6</v>
      </c>
      <c r="R619" s="192">
        <v>0</v>
      </c>
      <c r="S619" s="285">
        <v>1</v>
      </c>
      <c r="T619" s="192">
        <v>770.31</v>
      </c>
      <c r="U619" s="291">
        <v>9313.84</v>
      </c>
      <c r="V619" s="291">
        <v>9313.84</v>
      </c>
      <c r="W619" s="292">
        <v>112116</v>
      </c>
      <c r="X619" s="292">
        <v>111766.08</v>
      </c>
      <c r="Y619" s="292">
        <v>111757.68</v>
      </c>
      <c r="Z619" s="292">
        <v>119669.62</v>
      </c>
      <c r="AA619" s="290">
        <v>124194.20507999999</v>
      </c>
      <c r="AB619" s="285">
        <v>123222.98939999998</v>
      </c>
      <c r="AC619" s="290">
        <v>9343</v>
      </c>
      <c r="AD619" s="192">
        <v>12</v>
      </c>
      <c r="AE619" s="290">
        <v>8000</v>
      </c>
      <c r="AF619" s="194">
        <v>120116</v>
      </c>
    </row>
    <row r="620" spans="1:34" x14ac:dyDescent="0.3">
      <c r="A620" s="192">
        <v>5830</v>
      </c>
      <c r="B620" s="192">
        <v>84</v>
      </c>
      <c r="C620" s="192">
        <v>1000</v>
      </c>
      <c r="D620" s="192" t="s">
        <v>1629</v>
      </c>
      <c r="E620" s="192">
        <v>31002781</v>
      </c>
      <c r="F620" s="192" t="s">
        <v>1666</v>
      </c>
      <c r="G620" s="290">
        <v>1</v>
      </c>
      <c r="H620" s="192">
        <v>7246.32</v>
      </c>
      <c r="I620" s="192">
        <v>419.56</v>
      </c>
      <c r="J620" s="192">
        <v>197.6</v>
      </c>
      <c r="K620" s="192">
        <v>3289</v>
      </c>
      <c r="L620" s="192">
        <v>0</v>
      </c>
      <c r="M620" s="192">
        <v>0</v>
      </c>
      <c r="N620" s="192">
        <v>223.5</v>
      </c>
      <c r="O620" s="192">
        <v>11375.98</v>
      </c>
      <c r="P620" s="192">
        <v>618</v>
      </c>
      <c r="Q620" s="192">
        <v>861.72</v>
      </c>
      <c r="R620" s="192">
        <v>0</v>
      </c>
      <c r="S620" s="285">
        <v>1</v>
      </c>
      <c r="T620" s="192">
        <v>901.18</v>
      </c>
      <c r="U620" s="291">
        <v>13756.88</v>
      </c>
      <c r="V620" s="291">
        <v>13756.88</v>
      </c>
      <c r="W620" s="292">
        <v>135515.76</v>
      </c>
      <c r="X620" s="292">
        <v>165082.56</v>
      </c>
      <c r="Y620" s="292">
        <v>145262.92000000001</v>
      </c>
      <c r="Z620" s="292">
        <v>152483.53</v>
      </c>
      <c r="AA620" s="290">
        <v>155561.02187999999</v>
      </c>
      <c r="AB620" s="285">
        <v>154344.5134</v>
      </c>
      <c r="AC620" s="290">
        <v>11292.98</v>
      </c>
      <c r="AD620" s="192">
        <v>12</v>
      </c>
      <c r="AE620" s="290">
        <v>8000</v>
      </c>
      <c r="AF620" s="194">
        <v>143515.76</v>
      </c>
    </row>
    <row r="621" spans="1:34" x14ac:dyDescent="0.3">
      <c r="A621" s="192">
        <v>5830</v>
      </c>
      <c r="B621" s="192">
        <v>84</v>
      </c>
      <c r="C621" s="192">
        <v>1000</v>
      </c>
      <c r="D621" s="192" t="s">
        <v>1629</v>
      </c>
      <c r="E621" s="192">
        <v>33255135</v>
      </c>
      <c r="F621" s="192" t="s">
        <v>1667</v>
      </c>
      <c r="G621" s="290">
        <v>0.35</v>
      </c>
      <c r="H621" s="192">
        <v>1712.47</v>
      </c>
      <c r="I621" s="192">
        <v>128.19999999999999</v>
      </c>
      <c r="J621" s="192">
        <v>121.31</v>
      </c>
      <c r="K621" s="192">
        <v>0</v>
      </c>
      <c r="L621" s="192">
        <v>0</v>
      </c>
      <c r="M621" s="192">
        <v>0</v>
      </c>
      <c r="N621" s="192">
        <v>25.55</v>
      </c>
      <c r="O621" s="192">
        <v>1987.53</v>
      </c>
      <c r="P621" s="192">
        <v>70.7</v>
      </c>
      <c r="Q621" s="192">
        <v>149.06</v>
      </c>
      <c r="R621" s="192">
        <v>0</v>
      </c>
      <c r="S621" s="285">
        <v>0.34999999999999992</v>
      </c>
      <c r="T621" s="192">
        <v>248.5</v>
      </c>
      <c r="U621" s="291">
        <v>2455.79</v>
      </c>
      <c r="V621" s="291">
        <v>2455.79</v>
      </c>
      <c r="W621" s="292">
        <v>50264.88</v>
      </c>
      <c r="X621" s="292">
        <v>29469.48</v>
      </c>
      <c r="Y621" s="292">
        <v>37799.760000000002</v>
      </c>
      <c r="Z621" s="292">
        <v>21934.52</v>
      </c>
      <c r="AA621" s="290">
        <v>23742.162509999998</v>
      </c>
      <c r="AB621" s="285">
        <v>23556.495549999996</v>
      </c>
      <c r="AC621" s="290">
        <v>5983.93</v>
      </c>
      <c r="AD621" s="192">
        <v>12</v>
      </c>
      <c r="AE621" s="290">
        <v>8000</v>
      </c>
      <c r="AF621" s="194">
        <v>79807.16</v>
      </c>
    </row>
    <row r="622" spans="1:34" s="196" customFormat="1" ht="17.25" customHeight="1" x14ac:dyDescent="0.3">
      <c r="G622" s="288">
        <f>SUM(G580:G621)</f>
        <v>33.880000000000003</v>
      </c>
      <c r="H622" s="288">
        <f t="shared" ref="H622:AF622" si="57">SUM(H580:H621)</f>
        <v>249628.94999999995</v>
      </c>
      <c r="I622" s="288">
        <f t="shared" si="57"/>
        <v>51911.669999999991</v>
      </c>
      <c r="J622" s="288">
        <f t="shared" si="57"/>
        <v>8565.6300000000028</v>
      </c>
      <c r="K622" s="288">
        <f t="shared" si="57"/>
        <v>34240.439999999995</v>
      </c>
      <c r="L622" s="288">
        <f t="shared" si="57"/>
        <v>0</v>
      </c>
      <c r="M622" s="288">
        <f t="shared" si="57"/>
        <v>0</v>
      </c>
      <c r="N622" s="288">
        <f t="shared" si="57"/>
        <v>11342.87</v>
      </c>
      <c r="O622" s="288">
        <f t="shared" si="57"/>
        <v>355689.56000000011</v>
      </c>
      <c r="P622" s="288">
        <f t="shared" si="57"/>
        <v>14855.380000000001</v>
      </c>
      <c r="Q622" s="288">
        <f t="shared" si="57"/>
        <v>21457.590000000004</v>
      </c>
      <c r="R622" s="288">
        <f t="shared" si="57"/>
        <v>0</v>
      </c>
      <c r="S622" s="288">
        <f t="shared" si="57"/>
        <v>33.880000000000003</v>
      </c>
      <c r="T622" s="288">
        <f t="shared" si="57"/>
        <v>41648.659999999996</v>
      </c>
      <c r="U622" s="288">
        <f t="shared" si="57"/>
        <v>433651.18999999994</v>
      </c>
      <c r="V622" s="288">
        <f t="shared" si="57"/>
        <v>433651.18999999994</v>
      </c>
      <c r="W622" s="288">
        <f t="shared" si="57"/>
        <v>4806827.3999999994</v>
      </c>
      <c r="X622" s="288">
        <f t="shared" si="57"/>
        <v>5203814.2799999993</v>
      </c>
      <c r="Y622" s="288">
        <f t="shared" si="57"/>
        <v>4956442.839999998</v>
      </c>
      <c r="Z622" s="288">
        <f t="shared" si="57"/>
        <v>5417506.79</v>
      </c>
      <c r="AA622" s="288">
        <f t="shared" si="57"/>
        <v>5465472.8026800016</v>
      </c>
      <c r="AB622" s="288">
        <f t="shared" si="57"/>
        <v>5713947.0799000002</v>
      </c>
      <c r="AC622" s="288">
        <f t="shared" si="57"/>
        <v>514006.09999999992</v>
      </c>
      <c r="AD622" s="288">
        <f t="shared" si="57"/>
        <v>504</v>
      </c>
      <c r="AE622" s="288">
        <f t="shared" si="57"/>
        <v>336000</v>
      </c>
      <c r="AF622" s="288">
        <f t="shared" si="57"/>
        <v>6504073.2000000011</v>
      </c>
      <c r="AG622" s="196">
        <v>6500</v>
      </c>
      <c r="AH622" s="288" t="s">
        <v>1668</v>
      </c>
    </row>
    <row r="623" spans="1:34" x14ac:dyDescent="0.3">
      <c r="W623" s="292"/>
      <c r="X623" s="292"/>
      <c r="Y623" s="292"/>
      <c r="Z623" s="292"/>
      <c r="AA623" s="290"/>
      <c r="AB623" s="285"/>
      <c r="AC623" s="290"/>
      <c r="AE623" s="290"/>
      <c r="AF623" s="194"/>
    </row>
    <row r="624" spans="1:34" x14ac:dyDescent="0.3">
      <c r="A624" s="192">
        <v>5830</v>
      </c>
      <c r="B624" s="192">
        <v>84</v>
      </c>
      <c r="C624" s="192">
        <v>2400</v>
      </c>
      <c r="D624" s="192" t="s">
        <v>1669</v>
      </c>
      <c r="E624" s="192">
        <v>2487795</v>
      </c>
      <c r="F624" s="192" t="s">
        <v>1670</v>
      </c>
      <c r="G624" s="290">
        <v>0.5</v>
      </c>
      <c r="H624" s="192">
        <v>4591.1000000000004</v>
      </c>
      <c r="I624" s="192">
        <v>267.86</v>
      </c>
      <c r="J624" s="192">
        <v>173.3</v>
      </c>
      <c r="K624" s="192">
        <v>398.96</v>
      </c>
      <c r="L624" s="192">
        <v>0</v>
      </c>
      <c r="M624" s="192">
        <v>0</v>
      </c>
      <c r="N624" s="192">
        <v>36.5</v>
      </c>
      <c r="O624" s="192">
        <v>5467.72</v>
      </c>
      <c r="P624" s="192">
        <v>198</v>
      </c>
      <c r="Q624" s="192">
        <v>417.65</v>
      </c>
      <c r="R624" s="192">
        <v>0</v>
      </c>
      <c r="S624" s="285">
        <v>0.5</v>
      </c>
      <c r="T624" s="192">
        <v>1189.44</v>
      </c>
      <c r="U624" s="291">
        <v>7272.81</v>
      </c>
      <c r="V624" s="291">
        <v>7272.81</v>
      </c>
      <c r="W624" s="292">
        <v>100487.88</v>
      </c>
      <c r="X624" s="292">
        <v>87273.72</v>
      </c>
      <c r="Y624" s="292">
        <v>91780.84</v>
      </c>
      <c r="Z624" s="292">
        <v>72288.84</v>
      </c>
      <c r="AA624" s="290">
        <v>88275.150809999992</v>
      </c>
      <c r="AB624" s="285">
        <v>87584.827049999993</v>
      </c>
      <c r="AC624" s="290">
        <v>8373.99</v>
      </c>
      <c r="AD624" s="192">
        <v>12</v>
      </c>
      <c r="AE624" s="290">
        <v>8000</v>
      </c>
      <c r="AF624" s="194">
        <v>108487.88</v>
      </c>
    </row>
    <row r="625" spans="1:34" x14ac:dyDescent="0.3">
      <c r="A625" s="192">
        <v>5830</v>
      </c>
      <c r="B625" s="192">
        <v>84</v>
      </c>
      <c r="C625" s="192">
        <v>2400</v>
      </c>
      <c r="D625" s="192" t="s">
        <v>1669</v>
      </c>
      <c r="E625" s="192">
        <v>5344141</v>
      </c>
      <c r="F625" s="192" t="s">
        <v>1649</v>
      </c>
      <c r="G625" s="290">
        <v>0.8</v>
      </c>
      <c r="H625" s="192">
        <v>7513.24</v>
      </c>
      <c r="I625" s="192">
        <v>467.36</v>
      </c>
      <c r="J625" s="192">
        <v>38.880000000000003</v>
      </c>
      <c r="K625" s="192">
        <v>414.91</v>
      </c>
      <c r="L625" s="192">
        <v>0</v>
      </c>
      <c r="M625" s="192">
        <v>0</v>
      </c>
      <c r="N625" s="192">
        <v>36.5</v>
      </c>
      <c r="O625" s="192">
        <v>8470.89</v>
      </c>
      <c r="P625" s="192">
        <v>0</v>
      </c>
      <c r="Q625" s="192">
        <v>0</v>
      </c>
      <c r="R625" s="192">
        <v>0</v>
      </c>
      <c r="S625" s="285">
        <v>0.80000000000000016</v>
      </c>
      <c r="T625" s="192">
        <v>41.75</v>
      </c>
      <c r="U625" s="291">
        <v>8512.64</v>
      </c>
      <c r="V625" s="291">
        <v>8512.64</v>
      </c>
      <c r="W625" s="292">
        <v>25549.32</v>
      </c>
      <c r="X625" s="292">
        <v>102151.67999999999</v>
      </c>
      <c r="Y625" s="292">
        <v>25549.32</v>
      </c>
      <c r="Z625" s="292">
        <v>35212.99</v>
      </c>
      <c r="AA625" s="290">
        <v>35942.102459999995</v>
      </c>
      <c r="AB625" s="285">
        <v>35661.030299999991</v>
      </c>
      <c r="AC625" s="290">
        <v>10000</v>
      </c>
      <c r="AD625" s="192">
        <v>12</v>
      </c>
      <c r="AE625" s="290">
        <v>10000</v>
      </c>
      <c r="AF625" s="194">
        <v>130000</v>
      </c>
    </row>
    <row r="626" spans="1:34" x14ac:dyDescent="0.3">
      <c r="A626" s="192">
        <v>5830</v>
      </c>
      <c r="B626" s="192">
        <v>84</v>
      </c>
      <c r="C626" s="192">
        <v>2400</v>
      </c>
      <c r="D626" s="192" t="s">
        <v>1669</v>
      </c>
      <c r="E626" s="192">
        <v>20050730</v>
      </c>
      <c r="F626" s="192" t="s">
        <v>1671</v>
      </c>
      <c r="G626" s="290">
        <v>0.45</v>
      </c>
      <c r="H626" s="192">
        <v>3734.77</v>
      </c>
      <c r="I626" s="192">
        <v>229.36</v>
      </c>
      <c r="J626" s="192">
        <v>168.14</v>
      </c>
      <c r="K626" s="192">
        <v>359.07</v>
      </c>
      <c r="L626" s="192">
        <v>0</v>
      </c>
      <c r="M626" s="192">
        <v>0</v>
      </c>
      <c r="N626" s="192">
        <v>88.5</v>
      </c>
      <c r="O626" s="192">
        <v>4579.84</v>
      </c>
      <c r="P626" s="192">
        <v>164</v>
      </c>
      <c r="Q626" s="192">
        <v>349.52</v>
      </c>
      <c r="R626" s="192">
        <v>0</v>
      </c>
      <c r="S626" s="285">
        <v>0.45</v>
      </c>
      <c r="T626" s="192">
        <v>973.84</v>
      </c>
      <c r="U626" s="291">
        <v>6067.2</v>
      </c>
      <c r="V626" s="291">
        <v>6067.2</v>
      </c>
      <c r="W626" s="292">
        <v>87327</v>
      </c>
      <c r="X626" s="292">
        <v>72806.399999999994</v>
      </c>
      <c r="Y626" s="292">
        <v>77320.52</v>
      </c>
      <c r="Z626" s="292">
        <v>69897.63</v>
      </c>
      <c r="AA626" s="290">
        <v>70998.102780000001</v>
      </c>
      <c r="AB626" s="285">
        <v>70442.887899999987</v>
      </c>
      <c r="AC626" s="290">
        <v>7277.25</v>
      </c>
      <c r="AD626" s="192">
        <v>12</v>
      </c>
      <c r="AE626" s="290">
        <v>7000</v>
      </c>
      <c r="AF626" s="194">
        <v>94327</v>
      </c>
    </row>
    <row r="627" spans="1:34" x14ac:dyDescent="0.3">
      <c r="A627" s="192">
        <v>5830</v>
      </c>
      <c r="B627" s="192">
        <v>84</v>
      </c>
      <c r="C627" s="192">
        <v>2400</v>
      </c>
      <c r="D627" s="192" t="s">
        <v>1669</v>
      </c>
      <c r="E627" s="192">
        <v>30596217</v>
      </c>
      <c r="F627" s="192" t="s">
        <v>1672</v>
      </c>
      <c r="G627" s="290">
        <v>0.65</v>
      </c>
      <c r="H627" s="192">
        <v>5492.95</v>
      </c>
      <c r="I627" s="192">
        <v>334</v>
      </c>
      <c r="J627" s="192">
        <v>176.64</v>
      </c>
      <c r="K627" s="192">
        <v>568.75</v>
      </c>
      <c r="L627" s="192">
        <v>0</v>
      </c>
      <c r="M627" s="192">
        <v>0</v>
      </c>
      <c r="N627" s="192">
        <v>36.5</v>
      </c>
      <c r="O627" s="192">
        <v>6608.84</v>
      </c>
      <c r="P627" s="192">
        <v>256</v>
      </c>
      <c r="Q627" s="192">
        <v>505.42</v>
      </c>
      <c r="R627" s="192">
        <v>0</v>
      </c>
      <c r="S627" s="285">
        <v>0.65</v>
      </c>
      <c r="T627" s="192">
        <v>1440.85</v>
      </c>
      <c r="U627" s="291">
        <v>8811.11</v>
      </c>
      <c r="V627" s="291">
        <v>8811.11</v>
      </c>
      <c r="W627" s="292">
        <v>100590.72</v>
      </c>
      <c r="X627" s="292">
        <v>105733.32</v>
      </c>
      <c r="Y627" s="292">
        <v>114281.44</v>
      </c>
      <c r="Z627" s="292">
        <v>103221.22</v>
      </c>
      <c r="AA627" s="290">
        <v>114216.03698999998</v>
      </c>
      <c r="AB627" s="285">
        <v>113322.85194999998</v>
      </c>
      <c r="AC627" s="290">
        <v>8382.56</v>
      </c>
      <c r="AD627" s="192">
        <v>12</v>
      </c>
      <c r="AE627" s="290">
        <v>8000</v>
      </c>
      <c r="AF627" s="194">
        <v>108590.72</v>
      </c>
    </row>
    <row r="628" spans="1:34" s="196" customFormat="1" ht="17.25" customHeight="1" x14ac:dyDescent="0.3">
      <c r="G628" s="288">
        <f>SUM(G624:G627)</f>
        <v>2.4</v>
      </c>
      <c r="H628" s="288">
        <f t="shared" ref="H628:AE628" si="58">SUM(H624:H627)</f>
        <v>21332.06</v>
      </c>
      <c r="I628" s="288">
        <f t="shared" si="58"/>
        <v>1298.58</v>
      </c>
      <c r="J628" s="288">
        <f t="shared" si="58"/>
        <v>556.96</v>
      </c>
      <c r="K628" s="288">
        <f t="shared" si="58"/>
        <v>1741.69</v>
      </c>
      <c r="L628" s="288">
        <f t="shared" si="58"/>
        <v>0</v>
      </c>
      <c r="M628" s="288">
        <f t="shared" si="58"/>
        <v>0</v>
      </c>
      <c r="N628" s="288">
        <f t="shared" si="58"/>
        <v>198</v>
      </c>
      <c r="O628" s="288">
        <f t="shared" si="58"/>
        <v>25127.29</v>
      </c>
      <c r="P628" s="288">
        <f t="shared" si="58"/>
        <v>618</v>
      </c>
      <c r="Q628" s="288">
        <f t="shared" si="58"/>
        <v>1272.5899999999999</v>
      </c>
      <c r="R628" s="288">
        <f t="shared" si="58"/>
        <v>0</v>
      </c>
      <c r="S628" s="288">
        <f t="shared" si="58"/>
        <v>2.4000000000000004</v>
      </c>
      <c r="T628" s="288">
        <f t="shared" si="58"/>
        <v>3645.88</v>
      </c>
      <c r="U628" s="288">
        <f t="shared" si="58"/>
        <v>30663.760000000002</v>
      </c>
      <c r="V628" s="288">
        <f t="shared" si="58"/>
        <v>30663.760000000002</v>
      </c>
      <c r="W628" s="288">
        <f t="shared" si="58"/>
        <v>313954.92000000004</v>
      </c>
      <c r="X628" s="288">
        <f t="shared" si="58"/>
        <v>367965.12</v>
      </c>
      <c r="Y628" s="288">
        <f t="shared" si="58"/>
        <v>308932.12</v>
      </c>
      <c r="Z628" s="288">
        <f t="shared" si="58"/>
        <v>280620.68</v>
      </c>
      <c r="AA628" s="288">
        <f t="shared" si="58"/>
        <v>309431.39304</v>
      </c>
      <c r="AB628" s="288">
        <f t="shared" si="58"/>
        <v>307011.59719999996</v>
      </c>
      <c r="AC628" s="288">
        <f t="shared" si="58"/>
        <v>34033.799999999996</v>
      </c>
      <c r="AD628" s="288">
        <f t="shared" si="58"/>
        <v>48</v>
      </c>
      <c r="AE628" s="288">
        <f t="shared" si="58"/>
        <v>33000</v>
      </c>
      <c r="AF628" s="288">
        <f>SUM(AF624:AF627)</f>
        <v>441405.6</v>
      </c>
      <c r="AG628" s="196">
        <v>455</v>
      </c>
      <c r="AH628" s="288" t="s">
        <v>1668</v>
      </c>
    </row>
    <row r="629" spans="1:34" x14ac:dyDescent="0.3">
      <c r="W629" s="292"/>
      <c r="X629" s="292"/>
      <c r="Y629" s="292"/>
      <c r="Z629" s="292"/>
      <c r="AA629" s="290"/>
      <c r="AB629" s="285"/>
      <c r="AC629" s="290"/>
      <c r="AE629" s="290"/>
      <c r="AF629" s="194"/>
    </row>
    <row r="630" spans="1:34" x14ac:dyDescent="0.3">
      <c r="A630" s="192">
        <v>5830</v>
      </c>
      <c r="B630" s="192">
        <v>84</v>
      </c>
      <c r="C630" s="192">
        <v>3500</v>
      </c>
      <c r="D630" s="192" t="s">
        <v>1673</v>
      </c>
      <c r="E630" s="192">
        <v>6283601</v>
      </c>
      <c r="F630" s="192" t="s">
        <v>1674</v>
      </c>
      <c r="G630" s="290">
        <v>0.5</v>
      </c>
      <c r="H630" s="192">
        <v>4307.05</v>
      </c>
      <c r="I630" s="192">
        <v>241.31</v>
      </c>
      <c r="J630" s="192">
        <v>170.26</v>
      </c>
      <c r="K630" s="192">
        <v>398.96</v>
      </c>
      <c r="L630" s="192">
        <v>0</v>
      </c>
      <c r="M630" s="192">
        <v>0</v>
      </c>
      <c r="N630" s="192">
        <v>217.47</v>
      </c>
      <c r="O630" s="192">
        <v>5335.05</v>
      </c>
      <c r="P630" s="192">
        <v>193</v>
      </c>
      <c r="Q630" s="192">
        <v>407.95</v>
      </c>
      <c r="R630" s="192">
        <v>0</v>
      </c>
      <c r="S630" s="285">
        <v>0.5</v>
      </c>
      <c r="T630" s="192">
        <v>1102.6099999999999</v>
      </c>
      <c r="U630" s="291">
        <v>7038.61</v>
      </c>
      <c r="V630" s="291">
        <v>7038.61</v>
      </c>
      <c r="W630" s="292">
        <v>83991.24</v>
      </c>
      <c r="X630" s="292">
        <v>84463.319999999992</v>
      </c>
      <c r="Y630" s="292">
        <v>84065.72</v>
      </c>
      <c r="Z630" s="292">
        <v>62063.48</v>
      </c>
      <c r="AA630" s="290">
        <v>76391.256479999982</v>
      </c>
      <c r="AB630" s="285">
        <v>75793.866399999984</v>
      </c>
      <c r="AC630" s="290">
        <v>8000</v>
      </c>
      <c r="AD630" s="192">
        <v>12</v>
      </c>
      <c r="AE630" s="290">
        <v>9000</v>
      </c>
      <c r="AF630" s="194">
        <v>105000</v>
      </c>
    </row>
    <row r="631" spans="1:34" s="196" customFormat="1" ht="17.25" customHeight="1" x14ac:dyDescent="0.3">
      <c r="G631" s="288">
        <f>G630</f>
        <v>0.5</v>
      </c>
      <c r="H631" s="288">
        <f t="shared" ref="H631:AF631" si="59">H630</f>
        <v>4307.05</v>
      </c>
      <c r="I631" s="288">
        <f t="shared" si="59"/>
        <v>241.31</v>
      </c>
      <c r="J631" s="288">
        <f t="shared" si="59"/>
        <v>170.26</v>
      </c>
      <c r="K631" s="288">
        <f t="shared" si="59"/>
        <v>398.96</v>
      </c>
      <c r="L631" s="288">
        <f t="shared" si="59"/>
        <v>0</v>
      </c>
      <c r="M631" s="288">
        <f t="shared" si="59"/>
        <v>0</v>
      </c>
      <c r="N631" s="288">
        <f t="shared" si="59"/>
        <v>217.47</v>
      </c>
      <c r="O631" s="288">
        <f t="shared" si="59"/>
        <v>5335.05</v>
      </c>
      <c r="P631" s="288">
        <f t="shared" si="59"/>
        <v>193</v>
      </c>
      <c r="Q631" s="288">
        <f t="shared" si="59"/>
        <v>407.95</v>
      </c>
      <c r="R631" s="288">
        <f t="shared" si="59"/>
        <v>0</v>
      </c>
      <c r="S631" s="288">
        <f t="shared" si="59"/>
        <v>0.5</v>
      </c>
      <c r="T631" s="288">
        <f t="shared" si="59"/>
        <v>1102.6099999999999</v>
      </c>
      <c r="U631" s="288">
        <f t="shared" si="59"/>
        <v>7038.61</v>
      </c>
      <c r="V631" s="288">
        <f t="shared" si="59"/>
        <v>7038.61</v>
      </c>
      <c r="W631" s="288">
        <f t="shared" si="59"/>
        <v>83991.24</v>
      </c>
      <c r="X631" s="288">
        <f t="shared" si="59"/>
        <v>84463.319999999992</v>
      </c>
      <c r="Y631" s="288">
        <f t="shared" si="59"/>
        <v>84065.72</v>
      </c>
      <c r="Z631" s="288">
        <f t="shared" si="59"/>
        <v>62063.48</v>
      </c>
      <c r="AA631" s="288">
        <f t="shared" si="59"/>
        <v>76391.256479999982</v>
      </c>
      <c r="AB631" s="288">
        <f t="shared" si="59"/>
        <v>75793.866399999984</v>
      </c>
      <c r="AC631" s="288">
        <f t="shared" si="59"/>
        <v>8000</v>
      </c>
      <c r="AD631" s="288">
        <f t="shared" si="59"/>
        <v>12</v>
      </c>
      <c r="AE631" s="288">
        <f t="shared" si="59"/>
        <v>9000</v>
      </c>
      <c r="AF631" s="288">
        <f t="shared" si="59"/>
        <v>105000</v>
      </c>
      <c r="AG631" s="196">
        <v>104</v>
      </c>
      <c r="AH631" s="288" t="s">
        <v>1668</v>
      </c>
    </row>
    <row r="632" spans="1:34" x14ac:dyDescent="0.3">
      <c r="W632" s="292"/>
      <c r="X632" s="292"/>
      <c r="Y632" s="292"/>
      <c r="Z632" s="292"/>
      <c r="AA632" s="290"/>
      <c r="AB632" s="285"/>
      <c r="AC632" s="290"/>
      <c r="AE632" s="290"/>
      <c r="AF632" s="194"/>
    </row>
    <row r="633" spans="1:34" x14ac:dyDescent="0.3">
      <c r="A633" s="192">
        <v>5830</v>
      </c>
      <c r="B633" s="192">
        <v>84</v>
      </c>
      <c r="C633" s="192">
        <v>5200</v>
      </c>
      <c r="D633" s="192" t="s">
        <v>1675</v>
      </c>
      <c r="E633" s="192">
        <v>2273202</v>
      </c>
      <c r="F633" s="192" t="s">
        <v>1676</v>
      </c>
      <c r="G633" s="290">
        <v>0.65</v>
      </c>
      <c r="H633" s="192">
        <v>4209.4399999999996</v>
      </c>
      <c r="I633" s="192">
        <v>247.32</v>
      </c>
      <c r="J633" s="192">
        <v>180.59</v>
      </c>
      <c r="K633" s="192">
        <v>0</v>
      </c>
      <c r="L633" s="192">
        <v>0</v>
      </c>
      <c r="M633" s="192">
        <v>0</v>
      </c>
      <c r="N633" s="192">
        <v>36.5</v>
      </c>
      <c r="O633" s="192">
        <v>4673.8500000000004</v>
      </c>
      <c r="P633" s="192">
        <v>166</v>
      </c>
      <c r="Q633" s="192">
        <v>350.54</v>
      </c>
      <c r="R633" s="192">
        <v>0</v>
      </c>
      <c r="S633" s="285">
        <v>0.65</v>
      </c>
      <c r="T633" s="192">
        <v>964.18</v>
      </c>
      <c r="U633" s="291">
        <v>6154.57</v>
      </c>
      <c r="V633" s="291">
        <v>6154.57</v>
      </c>
      <c r="W633" s="292">
        <v>72703.56</v>
      </c>
      <c r="X633" s="292">
        <v>73854.84</v>
      </c>
      <c r="Y633" s="292">
        <v>73334.559999999998</v>
      </c>
      <c r="Z633" s="292">
        <v>77234.81</v>
      </c>
      <c r="AA633" s="290">
        <v>78536.763689999992</v>
      </c>
      <c r="AB633" s="285">
        <v>77922.595449999993</v>
      </c>
      <c r="AC633" s="290">
        <v>6058.63</v>
      </c>
      <c r="AD633" s="192">
        <v>12</v>
      </c>
      <c r="AE633" s="290">
        <v>6000</v>
      </c>
      <c r="AF633" s="194">
        <v>78703.56</v>
      </c>
      <c r="AG633" s="192" t="s">
        <v>1366</v>
      </c>
    </row>
    <row r="634" spans="1:34" x14ac:dyDescent="0.3">
      <c r="A634" s="192">
        <v>5830</v>
      </c>
      <c r="B634" s="192">
        <v>84</v>
      </c>
      <c r="C634" s="192">
        <v>5200</v>
      </c>
      <c r="D634" s="192" t="s">
        <v>1675</v>
      </c>
      <c r="E634" s="192">
        <v>2564631</v>
      </c>
      <c r="F634" s="192" t="s">
        <v>1677</v>
      </c>
      <c r="G634" s="290">
        <v>1</v>
      </c>
      <c r="H634" s="192">
        <v>6105.42</v>
      </c>
      <c r="I634" s="192">
        <v>360.13</v>
      </c>
      <c r="J634" s="192">
        <v>197.6</v>
      </c>
      <c r="K634" s="192">
        <v>0</v>
      </c>
      <c r="L634" s="192">
        <v>0</v>
      </c>
      <c r="M634" s="192">
        <v>0</v>
      </c>
      <c r="N634" s="192">
        <v>36.5</v>
      </c>
      <c r="O634" s="192">
        <v>6699.65</v>
      </c>
      <c r="P634" s="192">
        <v>253</v>
      </c>
      <c r="Q634" s="192">
        <v>502.47</v>
      </c>
      <c r="R634" s="192">
        <v>0</v>
      </c>
      <c r="S634" s="285">
        <v>1</v>
      </c>
      <c r="T634" s="192">
        <v>1382.68</v>
      </c>
      <c r="U634" s="291">
        <v>8837.7999999999993</v>
      </c>
      <c r="V634" s="291">
        <v>8837.7999999999993</v>
      </c>
      <c r="W634" s="292">
        <v>99884.76</v>
      </c>
      <c r="X634" s="292">
        <v>106053.59999999999</v>
      </c>
      <c r="Y634" s="292">
        <v>115230.72</v>
      </c>
      <c r="Z634" s="292">
        <v>39198.44</v>
      </c>
      <c r="AA634" s="290">
        <v>0</v>
      </c>
      <c r="AB634" s="285">
        <v>39786.416599999997</v>
      </c>
      <c r="AC634" s="290">
        <v>8323.73</v>
      </c>
      <c r="AD634" s="192">
        <v>12</v>
      </c>
      <c r="AE634" s="290">
        <v>6000</v>
      </c>
      <c r="AF634" s="194">
        <v>105884.76</v>
      </c>
      <c r="AG634" s="192" t="s">
        <v>1678</v>
      </c>
    </row>
    <row r="635" spans="1:34" x14ac:dyDescent="0.3">
      <c r="A635" s="192">
        <v>5830</v>
      </c>
      <c r="B635" s="192">
        <v>84</v>
      </c>
      <c r="C635" s="192">
        <v>5200</v>
      </c>
      <c r="D635" s="192" t="s">
        <v>1675</v>
      </c>
      <c r="E635" s="192">
        <v>3330802</v>
      </c>
      <c r="F635" s="192" t="s">
        <v>1679</v>
      </c>
      <c r="G635" s="290">
        <v>1</v>
      </c>
      <c r="H635" s="192">
        <v>4261.47</v>
      </c>
      <c r="I635" s="192">
        <v>388.78</v>
      </c>
      <c r="J635" s="192">
        <v>197.6</v>
      </c>
      <c r="K635" s="192">
        <v>0</v>
      </c>
      <c r="L635" s="192">
        <v>0</v>
      </c>
      <c r="M635" s="192">
        <v>0</v>
      </c>
      <c r="N635" s="192">
        <v>36.5</v>
      </c>
      <c r="O635" s="192">
        <v>4884.3500000000004</v>
      </c>
      <c r="P635" s="192">
        <v>115</v>
      </c>
      <c r="Q635" s="192">
        <v>366.32</v>
      </c>
      <c r="R635" s="192">
        <v>0</v>
      </c>
      <c r="S635" s="285">
        <v>1</v>
      </c>
      <c r="T635" s="192">
        <v>441.45</v>
      </c>
      <c r="U635" s="291">
        <v>5807.12</v>
      </c>
      <c r="V635" s="291">
        <v>5807.12</v>
      </c>
      <c r="W635" s="292">
        <v>103220.40000000001</v>
      </c>
      <c r="X635" s="292">
        <v>69685.440000000002</v>
      </c>
      <c r="Y635" s="292">
        <v>101374.88</v>
      </c>
      <c r="Z635" s="292">
        <v>112240.18</v>
      </c>
      <c r="AA635" s="290">
        <v>114519.29510999999</v>
      </c>
      <c r="AB635" s="285">
        <v>113623.73854999999</v>
      </c>
      <c r="AC635" s="290">
        <v>8601.7000000000007</v>
      </c>
      <c r="AD635" s="192">
        <v>12</v>
      </c>
      <c r="AE635" s="290">
        <v>8000</v>
      </c>
      <c r="AF635" s="194">
        <v>111220.40000000001</v>
      </c>
      <c r="AG635" s="192" t="s">
        <v>1366</v>
      </c>
    </row>
    <row r="636" spans="1:34" s="207" customFormat="1" x14ac:dyDescent="0.3">
      <c r="A636" s="207">
        <v>5830</v>
      </c>
      <c r="B636" s="207">
        <v>84</v>
      </c>
      <c r="C636" s="207">
        <v>5200</v>
      </c>
      <c r="D636" s="207" t="s">
        <v>1675</v>
      </c>
      <c r="E636" s="207">
        <v>5646423</v>
      </c>
      <c r="F636" s="207" t="s">
        <v>1680</v>
      </c>
      <c r="G636" s="305">
        <v>1</v>
      </c>
      <c r="H636" s="207">
        <v>11933.31</v>
      </c>
      <c r="I636" s="207">
        <v>729.19</v>
      </c>
      <c r="J636" s="207">
        <v>24.3</v>
      </c>
      <c r="K636" s="207">
        <v>0</v>
      </c>
      <c r="L636" s="207">
        <v>0</v>
      </c>
      <c r="M636" s="207">
        <v>0</v>
      </c>
      <c r="N636" s="207">
        <v>316.5</v>
      </c>
      <c r="O636" s="207">
        <v>13003.3</v>
      </c>
      <c r="P636" s="207">
        <v>732</v>
      </c>
      <c r="Q636" s="207">
        <v>975.25</v>
      </c>
      <c r="R636" s="207">
        <v>0</v>
      </c>
      <c r="S636" s="285">
        <v>0.66666666666666663</v>
      </c>
      <c r="T636" s="207">
        <v>1225.1300000000001</v>
      </c>
      <c r="U636" s="306">
        <v>15935.68</v>
      </c>
      <c r="V636" s="306">
        <v>15935.68</v>
      </c>
      <c r="W636" s="307">
        <v>184357.91999999998</v>
      </c>
      <c r="X636" s="307">
        <v>127485.44</v>
      </c>
      <c r="Y636" s="307">
        <v>189965.96</v>
      </c>
      <c r="Z636" s="307">
        <v>224897.36</v>
      </c>
      <c r="AA636" s="305">
        <v>230069.99927999996</v>
      </c>
      <c r="AB636" s="305">
        <v>56224.34</v>
      </c>
      <c r="AC636" s="305">
        <v>15363.16</v>
      </c>
      <c r="AD636" s="207">
        <v>8</v>
      </c>
      <c r="AE636" s="305">
        <v>8000</v>
      </c>
      <c r="AF636" s="208">
        <v>130905.28</v>
      </c>
      <c r="AG636" s="207" t="s">
        <v>1681</v>
      </c>
      <c r="AH636" s="207" t="s">
        <v>1111</v>
      </c>
    </row>
    <row r="637" spans="1:34" x14ac:dyDescent="0.3">
      <c r="A637" s="192">
        <v>5830</v>
      </c>
      <c r="B637" s="192">
        <v>84</v>
      </c>
      <c r="C637" s="192">
        <v>5200</v>
      </c>
      <c r="D637" s="192" t="s">
        <v>1675</v>
      </c>
      <c r="E637" s="192">
        <v>5789609</v>
      </c>
      <c r="F637" s="192" t="s">
        <v>1682</v>
      </c>
      <c r="G637" s="290">
        <v>1</v>
      </c>
      <c r="H637" s="192">
        <v>7297.43</v>
      </c>
      <c r="I637" s="192">
        <v>418.24</v>
      </c>
      <c r="J637" s="192">
        <v>197.6</v>
      </c>
      <c r="K637" s="192">
        <v>529.77</v>
      </c>
      <c r="L637" s="192">
        <v>0</v>
      </c>
      <c r="M637" s="192">
        <v>0</v>
      </c>
      <c r="N637" s="192">
        <v>36.5</v>
      </c>
      <c r="O637" s="192">
        <v>8479.5400000000009</v>
      </c>
      <c r="P637" s="192">
        <v>0</v>
      </c>
      <c r="Q637" s="192">
        <v>0</v>
      </c>
      <c r="R637" s="192">
        <v>0</v>
      </c>
      <c r="S637" s="285">
        <v>1</v>
      </c>
      <c r="T637" s="192">
        <v>28.63</v>
      </c>
      <c r="U637" s="291">
        <v>8508.17</v>
      </c>
      <c r="V637" s="291">
        <v>8508.17</v>
      </c>
      <c r="W637" s="292">
        <v>95589.72</v>
      </c>
      <c r="X637" s="292">
        <v>102098.04000000001</v>
      </c>
      <c r="Y637" s="292">
        <v>101568.47999999998</v>
      </c>
      <c r="Z637" s="292">
        <v>142945.88</v>
      </c>
      <c r="AA637" s="290">
        <v>146243.51741999996</v>
      </c>
      <c r="AB637" s="285">
        <v>145099.87309999997</v>
      </c>
      <c r="AC637" s="290">
        <v>10208.719999999999</v>
      </c>
      <c r="AD637" s="192">
        <v>12</v>
      </c>
      <c r="AE637" s="290">
        <v>8000</v>
      </c>
      <c r="AF637" s="194">
        <v>130504.63999999998</v>
      </c>
      <c r="AG637" s="192" t="s">
        <v>1366</v>
      </c>
    </row>
    <row r="638" spans="1:34" s="207" customFormat="1" x14ac:dyDescent="0.3">
      <c r="A638" s="207">
        <v>5830</v>
      </c>
      <c r="B638" s="207">
        <v>84</v>
      </c>
      <c r="C638" s="207">
        <v>5200</v>
      </c>
      <c r="D638" s="207" t="s">
        <v>1675</v>
      </c>
      <c r="E638" s="207">
        <v>6750162</v>
      </c>
      <c r="F638" s="207" t="s">
        <v>1683</v>
      </c>
      <c r="G638" s="305">
        <v>1</v>
      </c>
      <c r="H638" s="207">
        <v>6132.8</v>
      </c>
      <c r="I638" s="207">
        <v>374.32</v>
      </c>
      <c r="J638" s="207">
        <v>197.6</v>
      </c>
      <c r="K638" s="207">
        <v>0</v>
      </c>
      <c r="L638" s="207">
        <v>0</v>
      </c>
      <c r="M638" s="207">
        <v>0</v>
      </c>
      <c r="N638" s="207">
        <v>36.5</v>
      </c>
      <c r="O638" s="207">
        <v>6741.22</v>
      </c>
      <c r="P638" s="207">
        <v>258</v>
      </c>
      <c r="Q638" s="207">
        <v>507.49</v>
      </c>
      <c r="R638" s="207">
        <v>0</v>
      </c>
      <c r="S638" s="285">
        <v>0.5</v>
      </c>
      <c r="T638" s="207">
        <v>617.88</v>
      </c>
      <c r="U638" s="306">
        <v>8124.59</v>
      </c>
      <c r="V638" s="306">
        <v>8124.59</v>
      </c>
      <c r="W638" s="307">
        <v>99294.24</v>
      </c>
      <c r="X638" s="307">
        <v>48747.54</v>
      </c>
      <c r="Y638" s="307">
        <v>100317.76000000001</v>
      </c>
      <c r="Z638" s="307">
        <v>113968.73</v>
      </c>
      <c r="AA638" s="305">
        <v>116590.01079</v>
      </c>
      <c r="AB638" s="305">
        <v>56984.365000000013</v>
      </c>
      <c r="AC638" s="305">
        <v>8274.52</v>
      </c>
      <c r="AD638" s="207">
        <v>6</v>
      </c>
      <c r="AE638" s="305">
        <v>8000</v>
      </c>
      <c r="AF638" s="208">
        <v>57647.12</v>
      </c>
      <c r="AG638" s="207" t="s">
        <v>1684</v>
      </c>
      <c r="AH638" s="214">
        <v>35551</v>
      </c>
    </row>
    <row r="639" spans="1:34" s="196" customFormat="1" ht="17.25" customHeight="1" x14ac:dyDescent="0.3">
      <c r="G639" s="288">
        <f>SUM(G633:G638)</f>
        <v>5.65</v>
      </c>
      <c r="H639" s="288">
        <f t="shared" ref="H639:AF639" si="60">SUM(H633:H638)</f>
        <v>39939.870000000003</v>
      </c>
      <c r="I639" s="288">
        <f t="shared" si="60"/>
        <v>2517.98</v>
      </c>
      <c r="J639" s="288">
        <f t="shared" si="60"/>
        <v>995.29</v>
      </c>
      <c r="K639" s="288">
        <f t="shared" si="60"/>
        <v>529.77</v>
      </c>
      <c r="L639" s="288">
        <f t="shared" si="60"/>
        <v>0</v>
      </c>
      <c r="M639" s="288">
        <f t="shared" si="60"/>
        <v>0</v>
      </c>
      <c r="N639" s="288">
        <f t="shared" si="60"/>
        <v>499</v>
      </c>
      <c r="O639" s="288">
        <f t="shared" si="60"/>
        <v>44481.91</v>
      </c>
      <c r="P639" s="288">
        <f t="shared" si="60"/>
        <v>1524</v>
      </c>
      <c r="Q639" s="288">
        <f t="shared" si="60"/>
        <v>2702.0699999999997</v>
      </c>
      <c r="R639" s="288">
        <f t="shared" si="60"/>
        <v>0</v>
      </c>
      <c r="S639" s="288">
        <f t="shared" si="60"/>
        <v>4.8166666666666664</v>
      </c>
      <c r="T639" s="288">
        <f t="shared" si="60"/>
        <v>4659.95</v>
      </c>
      <c r="U639" s="288">
        <f t="shared" si="60"/>
        <v>53367.929999999993</v>
      </c>
      <c r="V639" s="288">
        <f t="shared" si="60"/>
        <v>53367.929999999993</v>
      </c>
      <c r="W639" s="288">
        <f t="shared" si="60"/>
        <v>655050.6</v>
      </c>
      <c r="X639" s="288">
        <f t="shared" si="60"/>
        <v>527924.9</v>
      </c>
      <c r="Y639" s="288">
        <f t="shared" si="60"/>
        <v>681792.36</v>
      </c>
      <c r="Z639" s="288">
        <f t="shared" si="60"/>
        <v>710485.39999999991</v>
      </c>
      <c r="AA639" s="288">
        <f t="shared" si="60"/>
        <v>685959.58628999989</v>
      </c>
      <c r="AB639" s="288">
        <f t="shared" si="60"/>
        <v>489641.32869999995</v>
      </c>
      <c r="AC639" s="288">
        <f t="shared" si="60"/>
        <v>56830.460000000006</v>
      </c>
      <c r="AD639" s="288">
        <f t="shared" si="60"/>
        <v>62</v>
      </c>
      <c r="AE639" s="288">
        <f t="shared" si="60"/>
        <v>44000</v>
      </c>
      <c r="AF639" s="288">
        <f t="shared" si="60"/>
        <v>614865.76</v>
      </c>
      <c r="AG639" s="196">
        <v>767</v>
      </c>
      <c r="AH639" s="288" t="s">
        <v>1668</v>
      </c>
    </row>
    <row r="640" spans="1:34" x14ac:dyDescent="0.3">
      <c r="W640" s="292"/>
      <c r="X640" s="292"/>
      <c r="Y640" s="292"/>
      <c r="Z640" s="292"/>
      <c r="AA640" s="290"/>
      <c r="AB640" s="285"/>
      <c r="AC640" s="290"/>
      <c r="AE640" s="290"/>
      <c r="AF640" s="194"/>
    </row>
    <row r="641" spans="1:34" x14ac:dyDescent="0.3">
      <c r="A641" s="192">
        <v>5830</v>
      </c>
      <c r="B641" s="192">
        <v>84</v>
      </c>
      <c r="C641" s="192">
        <v>5210</v>
      </c>
      <c r="D641" s="192" t="s">
        <v>1685</v>
      </c>
      <c r="E641" s="192">
        <v>2246222</v>
      </c>
      <c r="F641" s="192" t="s">
        <v>1455</v>
      </c>
      <c r="G641" s="290">
        <v>0.5</v>
      </c>
      <c r="H641" s="192">
        <v>3181.29</v>
      </c>
      <c r="I641" s="192">
        <v>182.35</v>
      </c>
      <c r="J641" s="192">
        <v>173.3</v>
      </c>
      <c r="K641" s="192">
        <v>0</v>
      </c>
      <c r="L641" s="192">
        <v>0</v>
      </c>
      <c r="M641" s="192">
        <v>0</v>
      </c>
      <c r="N641" s="192">
        <v>36.5</v>
      </c>
      <c r="O641" s="192">
        <v>3573.44</v>
      </c>
      <c r="P641" s="192">
        <v>127.47</v>
      </c>
      <c r="Q641" s="192">
        <v>268.01</v>
      </c>
      <c r="R641" s="192">
        <v>0</v>
      </c>
      <c r="S641" s="285">
        <v>0.5</v>
      </c>
      <c r="T641" s="192">
        <v>679.04</v>
      </c>
      <c r="U641" s="291">
        <v>4647.96</v>
      </c>
      <c r="V641" s="291">
        <v>4647.96</v>
      </c>
      <c r="W641" s="292">
        <v>22671.48</v>
      </c>
      <c r="X641" s="292">
        <v>55775.520000000004</v>
      </c>
      <c r="Y641" s="292">
        <v>10849.4</v>
      </c>
      <c r="Z641" s="292">
        <v>5109.63</v>
      </c>
      <c r="AA641" s="290">
        <v>7734.2175899999993</v>
      </c>
      <c r="AB641" s="285">
        <v>7673.7349499999991</v>
      </c>
      <c r="AC641" s="290">
        <v>4000</v>
      </c>
      <c r="AD641" s="192">
        <v>12</v>
      </c>
      <c r="AE641" s="290"/>
      <c r="AF641" s="194">
        <v>48000</v>
      </c>
    </row>
    <row r="642" spans="1:34" x14ac:dyDescent="0.3">
      <c r="A642" s="192">
        <v>5830</v>
      </c>
      <c r="B642" s="192">
        <v>84</v>
      </c>
      <c r="C642" s="192">
        <v>5210</v>
      </c>
      <c r="D642" s="192" t="s">
        <v>1685</v>
      </c>
      <c r="E642" s="192">
        <v>2304015</v>
      </c>
      <c r="F642" s="192" t="s">
        <v>1686</v>
      </c>
      <c r="G642" s="290">
        <v>0.5</v>
      </c>
      <c r="H642" s="192">
        <v>3127.81</v>
      </c>
      <c r="I642" s="192">
        <v>180.18</v>
      </c>
      <c r="J642" s="192">
        <v>322.3</v>
      </c>
      <c r="K642" s="192">
        <v>0</v>
      </c>
      <c r="L642" s="192">
        <v>0</v>
      </c>
      <c r="M642" s="192">
        <v>0</v>
      </c>
      <c r="N642" s="192">
        <v>36.5</v>
      </c>
      <c r="O642" s="192">
        <v>3666.79</v>
      </c>
      <c r="P642" s="192">
        <v>130</v>
      </c>
      <c r="Q642" s="192">
        <v>275.01</v>
      </c>
      <c r="R642" s="192">
        <v>0</v>
      </c>
      <c r="S642" s="285">
        <v>0.5</v>
      </c>
      <c r="T642" s="192">
        <v>632.14</v>
      </c>
      <c r="U642" s="291">
        <v>4703.9399999999996</v>
      </c>
      <c r="V642" s="291">
        <v>4703.9399999999996</v>
      </c>
      <c r="W642" s="292">
        <v>60825.96</v>
      </c>
      <c r="X642" s="292">
        <v>56447.28</v>
      </c>
      <c r="Y642" s="292">
        <v>58713.479999999996</v>
      </c>
      <c r="Z642" s="292">
        <v>58703.12</v>
      </c>
      <c r="AA642" s="290">
        <v>60693.485159999989</v>
      </c>
      <c r="AB642" s="285">
        <v>60218.85379999999</v>
      </c>
      <c r="AC642" s="290">
        <v>4000</v>
      </c>
      <c r="AD642" s="192">
        <v>12</v>
      </c>
      <c r="AE642" s="290"/>
      <c r="AF642" s="194">
        <v>48000</v>
      </c>
    </row>
    <row r="643" spans="1:34" x14ac:dyDescent="0.3">
      <c r="A643" s="192">
        <v>5830</v>
      </c>
      <c r="B643" s="192">
        <v>84</v>
      </c>
      <c r="C643" s="192">
        <v>5210</v>
      </c>
      <c r="D643" s="192" t="s">
        <v>1685</v>
      </c>
      <c r="E643" s="192">
        <v>2564647</v>
      </c>
      <c r="F643" s="192" t="s">
        <v>1456</v>
      </c>
      <c r="G643" s="290">
        <v>0.5</v>
      </c>
      <c r="H643" s="192">
        <v>2734.38</v>
      </c>
      <c r="I643" s="192">
        <v>173.53</v>
      </c>
      <c r="J643" s="192">
        <v>167.22</v>
      </c>
      <c r="K643" s="192">
        <v>0</v>
      </c>
      <c r="L643" s="192">
        <v>0</v>
      </c>
      <c r="M643" s="192">
        <v>0</v>
      </c>
      <c r="N643" s="192">
        <v>36.5</v>
      </c>
      <c r="O643" s="192">
        <v>3111.63</v>
      </c>
      <c r="P643" s="192">
        <v>109.8</v>
      </c>
      <c r="Q643" s="192">
        <v>233.37</v>
      </c>
      <c r="R643" s="192">
        <v>0</v>
      </c>
      <c r="S643" s="285">
        <v>0.5</v>
      </c>
      <c r="T643" s="192">
        <v>392.56</v>
      </c>
      <c r="U643" s="291">
        <v>3847.36</v>
      </c>
      <c r="V643" s="291">
        <v>3847.36</v>
      </c>
      <c r="W643" s="292">
        <v>0</v>
      </c>
      <c r="X643" s="292">
        <v>46168.32</v>
      </c>
      <c r="Y643" s="292">
        <v>15837.72</v>
      </c>
      <c r="Z643" s="292">
        <v>0</v>
      </c>
      <c r="AA643" s="290">
        <v>0</v>
      </c>
      <c r="AB643" s="285">
        <v>0</v>
      </c>
      <c r="AC643" s="290">
        <v>3200</v>
      </c>
      <c r="AD643" s="192">
        <v>12</v>
      </c>
      <c r="AE643" s="290"/>
      <c r="AF643" s="194">
        <v>38400</v>
      </c>
    </row>
    <row r="644" spans="1:34" x14ac:dyDescent="0.3">
      <c r="A644" s="192">
        <v>5830</v>
      </c>
      <c r="B644" s="192">
        <v>84</v>
      </c>
      <c r="C644" s="192">
        <v>5210</v>
      </c>
      <c r="D644" s="192" t="s">
        <v>1685</v>
      </c>
      <c r="E644" s="192">
        <v>3594477</v>
      </c>
      <c r="F644" s="192" t="s">
        <v>1211</v>
      </c>
      <c r="G644" s="290">
        <v>0</v>
      </c>
      <c r="H644" s="192">
        <v>0</v>
      </c>
      <c r="I644" s="192">
        <v>797.56</v>
      </c>
      <c r="J644" s="192">
        <v>0</v>
      </c>
      <c r="K644" s="192">
        <v>0</v>
      </c>
      <c r="L644" s="192">
        <v>0</v>
      </c>
      <c r="M644" s="192">
        <v>0</v>
      </c>
      <c r="N644" s="192">
        <v>0</v>
      </c>
      <c r="O644" s="192">
        <v>797.56</v>
      </c>
      <c r="P644" s="192">
        <v>32.96</v>
      </c>
      <c r="Q644" s="192">
        <v>59.82</v>
      </c>
      <c r="R644" s="192">
        <v>0</v>
      </c>
      <c r="S644" s="285">
        <v>0</v>
      </c>
      <c r="T644" s="192">
        <v>107.67</v>
      </c>
      <c r="U644" s="291">
        <v>998.01</v>
      </c>
      <c r="V644" s="291">
        <v>998.01</v>
      </c>
      <c r="W644" s="292">
        <v>103296.59999999999</v>
      </c>
      <c r="X644" s="292">
        <v>11976.119999999999</v>
      </c>
      <c r="Y644" s="292">
        <v>102799.6</v>
      </c>
      <c r="Z644" s="292">
        <v>118377.73</v>
      </c>
      <c r="AA644" s="290">
        <v>121461.73115999998</v>
      </c>
      <c r="AB644" s="285">
        <v>120511.88379999998</v>
      </c>
      <c r="AC644" s="290">
        <v>1000</v>
      </c>
      <c r="AD644" s="192">
        <v>12</v>
      </c>
      <c r="AE644" s="290"/>
      <c r="AF644" s="194">
        <v>12000</v>
      </c>
    </row>
    <row r="645" spans="1:34" x14ac:dyDescent="0.3">
      <c r="A645" s="192">
        <v>5830</v>
      </c>
      <c r="B645" s="192">
        <v>84</v>
      </c>
      <c r="C645" s="192">
        <v>5210</v>
      </c>
      <c r="D645" s="192" t="s">
        <v>1685</v>
      </c>
      <c r="E645" s="192">
        <v>5399646</v>
      </c>
      <c r="F645" s="192" t="s">
        <v>1687</v>
      </c>
      <c r="G645" s="290">
        <v>0.5</v>
      </c>
      <c r="H645" s="192">
        <v>2965.91</v>
      </c>
      <c r="I645" s="192">
        <v>174.31</v>
      </c>
      <c r="J645" s="192">
        <v>167.22</v>
      </c>
      <c r="K645" s="192">
        <v>0</v>
      </c>
      <c r="L645" s="192">
        <v>0</v>
      </c>
      <c r="M645" s="192">
        <v>0</v>
      </c>
      <c r="N645" s="192">
        <v>0</v>
      </c>
      <c r="O645" s="192">
        <v>3307.44</v>
      </c>
      <c r="P645" s="192">
        <v>107</v>
      </c>
      <c r="Q645" s="192">
        <v>248.06</v>
      </c>
      <c r="R645" s="192">
        <v>0</v>
      </c>
      <c r="S645" s="285">
        <v>0.5</v>
      </c>
      <c r="T645" s="192">
        <v>619.66999999999996</v>
      </c>
      <c r="U645" s="291">
        <v>4282.17</v>
      </c>
      <c r="V645" s="291">
        <v>4282.17</v>
      </c>
      <c r="W645" s="292">
        <v>25535.52</v>
      </c>
      <c r="X645" s="292">
        <v>51386.04</v>
      </c>
      <c r="Y645" s="292">
        <v>16611.84</v>
      </c>
      <c r="Z645" s="292">
        <v>6965.23</v>
      </c>
      <c r="AA645" s="290">
        <v>5164.3085999999994</v>
      </c>
      <c r="AB645" s="285">
        <v>5123.9229999999998</v>
      </c>
      <c r="AC645" s="290">
        <v>4282</v>
      </c>
      <c r="AD645" s="192">
        <v>12</v>
      </c>
      <c r="AE645" s="290"/>
      <c r="AF645" s="194">
        <v>51384</v>
      </c>
    </row>
    <row r="646" spans="1:34" x14ac:dyDescent="0.3">
      <c r="A646" s="192">
        <v>5830</v>
      </c>
      <c r="B646" s="192">
        <v>84</v>
      </c>
      <c r="C646" s="192">
        <v>5210</v>
      </c>
      <c r="D646" s="192" t="s">
        <v>1685</v>
      </c>
      <c r="E646" s="192">
        <v>5495774</v>
      </c>
      <c r="F646" s="192" t="s">
        <v>1688</v>
      </c>
      <c r="G646" s="290">
        <v>0.5</v>
      </c>
      <c r="H646" s="192">
        <v>3387.79</v>
      </c>
      <c r="I646" s="192">
        <v>184.94</v>
      </c>
      <c r="J646" s="192">
        <v>173.3</v>
      </c>
      <c r="K646" s="192">
        <v>0</v>
      </c>
      <c r="L646" s="192">
        <v>0</v>
      </c>
      <c r="M646" s="192">
        <v>0</v>
      </c>
      <c r="N646" s="192">
        <v>36.5</v>
      </c>
      <c r="O646" s="192">
        <v>3782.53</v>
      </c>
      <c r="P646" s="192">
        <v>0</v>
      </c>
      <c r="Q646" s="192">
        <v>0</v>
      </c>
      <c r="R646" s="192">
        <v>0</v>
      </c>
      <c r="S646" s="285">
        <v>0.5</v>
      </c>
      <c r="T646" s="192">
        <v>30.32</v>
      </c>
      <c r="U646" s="291">
        <v>3812.85</v>
      </c>
      <c r="V646" s="291">
        <v>3812.85</v>
      </c>
      <c r="W646" s="292">
        <v>37313.879999999997</v>
      </c>
      <c r="X646" s="292">
        <v>45754.2</v>
      </c>
      <c r="Y646" s="292">
        <v>590</v>
      </c>
      <c r="Z646" s="292">
        <v>360.34</v>
      </c>
      <c r="AA646" s="290">
        <v>0</v>
      </c>
      <c r="AB646" s="285">
        <v>365.74509999999992</v>
      </c>
      <c r="AC646" s="290">
        <v>3971.64</v>
      </c>
      <c r="AD646" s="192">
        <v>12</v>
      </c>
      <c r="AE646" s="290"/>
      <c r="AF646" s="194">
        <v>47659.68</v>
      </c>
    </row>
    <row r="647" spans="1:34" x14ac:dyDescent="0.3">
      <c r="A647" s="192">
        <v>5830</v>
      </c>
      <c r="B647" s="192">
        <v>84</v>
      </c>
      <c r="C647" s="192">
        <v>5210</v>
      </c>
      <c r="D647" s="192" t="s">
        <v>1685</v>
      </c>
      <c r="E647" s="192">
        <v>5495774</v>
      </c>
      <c r="F647" s="192" t="s">
        <v>1688</v>
      </c>
      <c r="G647" s="290">
        <v>0</v>
      </c>
      <c r="H647" s="192">
        <v>0</v>
      </c>
      <c r="I647" s="192">
        <v>0</v>
      </c>
      <c r="J647" s="192">
        <v>0</v>
      </c>
      <c r="K647" s="192">
        <v>0</v>
      </c>
      <c r="L647" s="192">
        <v>0</v>
      </c>
      <c r="M647" s="192">
        <v>0</v>
      </c>
      <c r="N647" s="192">
        <v>0</v>
      </c>
      <c r="O647" s="192">
        <v>0</v>
      </c>
      <c r="P647" s="192">
        <v>123</v>
      </c>
      <c r="Q647" s="192">
        <v>283.69</v>
      </c>
      <c r="R647" s="192">
        <v>0</v>
      </c>
      <c r="S647" s="285">
        <v>0</v>
      </c>
      <c r="T647" s="192">
        <v>655.62</v>
      </c>
      <c r="U647" s="291">
        <v>1062.31</v>
      </c>
      <c r="V647" s="291">
        <v>1062.31</v>
      </c>
      <c r="W647" s="292">
        <v>37313.879999999997</v>
      </c>
      <c r="X647" s="292">
        <v>12747.72</v>
      </c>
      <c r="Y647" s="292">
        <v>590</v>
      </c>
      <c r="Z647" s="292">
        <v>360.34</v>
      </c>
      <c r="AA647" s="290">
        <v>0</v>
      </c>
      <c r="AB647" s="285">
        <v>365.74509999999992</v>
      </c>
      <c r="AC647" s="290">
        <v>1200</v>
      </c>
      <c r="AD647" s="192">
        <v>12</v>
      </c>
      <c r="AE647" s="290"/>
      <c r="AF647" s="194">
        <v>14400</v>
      </c>
    </row>
    <row r="648" spans="1:34" x14ac:dyDescent="0.3">
      <c r="A648" s="192">
        <v>5830</v>
      </c>
      <c r="B648" s="192">
        <v>84</v>
      </c>
      <c r="C648" s="192">
        <v>5210</v>
      </c>
      <c r="D648" s="192" t="s">
        <v>1685</v>
      </c>
      <c r="E648" s="192">
        <v>5547590</v>
      </c>
      <c r="F648" s="192" t="s">
        <v>1689</v>
      </c>
      <c r="G648" s="290">
        <v>0.5</v>
      </c>
      <c r="H648" s="192">
        <v>4892.74</v>
      </c>
      <c r="I648" s="192">
        <v>173.92</v>
      </c>
      <c r="J648" s="192">
        <v>167.22</v>
      </c>
      <c r="K648" s="192">
        <v>0</v>
      </c>
      <c r="L648" s="192">
        <v>0</v>
      </c>
      <c r="M648" s="192">
        <v>0</v>
      </c>
      <c r="N648" s="192">
        <v>0</v>
      </c>
      <c r="O648" s="192">
        <v>5233.88</v>
      </c>
      <c r="P648" s="192">
        <v>186</v>
      </c>
      <c r="Q648" s="192">
        <v>392.54</v>
      </c>
      <c r="R648" s="192">
        <v>0</v>
      </c>
      <c r="S648" s="285">
        <v>0.5</v>
      </c>
      <c r="T648" s="192">
        <v>635.99</v>
      </c>
      <c r="U648" s="291">
        <v>6448.41</v>
      </c>
      <c r="V648" s="291">
        <v>6448.41</v>
      </c>
      <c r="W648" s="292">
        <v>6289.32</v>
      </c>
      <c r="X648" s="292">
        <v>77380.92</v>
      </c>
      <c r="Y648" s="292">
        <v>2096.44</v>
      </c>
      <c r="Z648" s="292">
        <v>1081.05</v>
      </c>
      <c r="AA648" s="290">
        <v>0</v>
      </c>
      <c r="AB648" s="285">
        <v>1294.2467999999997</v>
      </c>
      <c r="AC648" s="290">
        <v>6280</v>
      </c>
      <c r="AD648" s="192">
        <v>12</v>
      </c>
      <c r="AE648" s="290"/>
      <c r="AF648" s="194">
        <v>75360</v>
      </c>
    </row>
    <row r="649" spans="1:34" x14ac:dyDescent="0.3">
      <c r="A649" s="192">
        <v>5830</v>
      </c>
      <c r="B649" s="192">
        <v>84</v>
      </c>
      <c r="C649" s="192">
        <v>5210</v>
      </c>
      <c r="D649" s="192" t="s">
        <v>1685</v>
      </c>
      <c r="E649" s="192">
        <v>5870939</v>
      </c>
      <c r="F649" s="192" t="s">
        <v>1654</v>
      </c>
      <c r="G649" s="290">
        <v>0.6</v>
      </c>
      <c r="H649" s="192">
        <v>4647.59</v>
      </c>
      <c r="I649" s="192">
        <v>311.87</v>
      </c>
      <c r="J649" s="192">
        <v>178.16</v>
      </c>
      <c r="K649" s="192">
        <v>656.25</v>
      </c>
      <c r="L649" s="192">
        <v>0</v>
      </c>
      <c r="M649" s="192">
        <v>0</v>
      </c>
      <c r="N649" s="192">
        <v>36.5</v>
      </c>
      <c r="O649" s="192">
        <v>5830.37</v>
      </c>
      <c r="P649" s="192">
        <v>0</v>
      </c>
      <c r="Q649" s="192">
        <v>0</v>
      </c>
      <c r="R649" s="192">
        <v>0</v>
      </c>
      <c r="S649" s="285">
        <v>0.6</v>
      </c>
      <c r="T649" s="192">
        <v>36.97</v>
      </c>
      <c r="U649" s="291">
        <v>5867.34</v>
      </c>
      <c r="V649" s="291">
        <v>5867.34</v>
      </c>
      <c r="W649" s="292">
        <v>14853.96</v>
      </c>
      <c r="X649" s="292">
        <v>70408.08</v>
      </c>
      <c r="Y649" s="292">
        <v>14853.96</v>
      </c>
      <c r="Z649" s="292">
        <v>37076.480000000003</v>
      </c>
      <c r="AA649" s="290">
        <v>38938.817279999996</v>
      </c>
      <c r="AB649" s="285">
        <v>38634.310399999995</v>
      </c>
      <c r="AC649" s="290">
        <v>10000</v>
      </c>
      <c r="AD649" s="192">
        <v>12</v>
      </c>
      <c r="AE649" s="290"/>
      <c r="AF649" s="194">
        <v>120000</v>
      </c>
    </row>
    <row r="650" spans="1:34" x14ac:dyDescent="0.3">
      <c r="A650" s="192">
        <v>5830</v>
      </c>
      <c r="B650" s="192">
        <v>84</v>
      </c>
      <c r="C650" s="192">
        <v>5210</v>
      </c>
      <c r="D650" s="192" t="s">
        <v>1685</v>
      </c>
      <c r="E650" s="192">
        <v>5873721</v>
      </c>
      <c r="F650" s="192" t="s">
        <v>1458</v>
      </c>
      <c r="G650" s="290">
        <v>0.5</v>
      </c>
      <c r="H650" s="192">
        <v>3232.46</v>
      </c>
      <c r="I650" s="192">
        <v>194.09</v>
      </c>
      <c r="J650" s="192">
        <v>173.3</v>
      </c>
      <c r="K650" s="192">
        <v>0</v>
      </c>
      <c r="L650" s="192">
        <v>0</v>
      </c>
      <c r="M650" s="192">
        <v>0</v>
      </c>
      <c r="N650" s="192">
        <v>36.5</v>
      </c>
      <c r="O650" s="192">
        <v>3636.35</v>
      </c>
      <c r="P650" s="192">
        <v>0</v>
      </c>
      <c r="Q650" s="192">
        <v>0</v>
      </c>
      <c r="R650" s="192">
        <v>0</v>
      </c>
      <c r="S650" s="285">
        <v>0.5</v>
      </c>
      <c r="T650" s="192">
        <v>30.95</v>
      </c>
      <c r="U650" s="291">
        <v>3667.3</v>
      </c>
      <c r="V650" s="291">
        <v>3667.3</v>
      </c>
      <c r="W650" s="292">
        <v>14498.04</v>
      </c>
      <c r="X650" s="292">
        <v>44007.600000000006</v>
      </c>
      <c r="Y650" s="292">
        <v>14638.48</v>
      </c>
      <c r="Z650" s="292">
        <v>20180.919999999998</v>
      </c>
      <c r="AA650" s="290">
        <v>20645.081159999998</v>
      </c>
      <c r="AB650" s="285">
        <v>20483.633799999996</v>
      </c>
      <c r="AC650" s="290">
        <v>6271.66</v>
      </c>
      <c r="AD650" s="192">
        <v>12</v>
      </c>
      <c r="AE650" s="290"/>
      <c r="AF650" s="194">
        <v>75259.92</v>
      </c>
    </row>
    <row r="651" spans="1:34" x14ac:dyDescent="0.3">
      <c r="A651" s="192">
        <v>5830</v>
      </c>
      <c r="B651" s="192">
        <v>84</v>
      </c>
      <c r="C651" s="192">
        <v>5210</v>
      </c>
      <c r="D651" s="192" t="s">
        <v>1685</v>
      </c>
      <c r="E651" s="192">
        <v>6238633</v>
      </c>
      <c r="F651" s="192" t="s">
        <v>1690</v>
      </c>
      <c r="G651" s="290">
        <v>0.5</v>
      </c>
      <c r="H651" s="192">
        <v>3197.19</v>
      </c>
      <c r="I651" s="192">
        <v>180.41</v>
      </c>
      <c r="J651" s="192">
        <v>184.3</v>
      </c>
      <c r="K651" s="192">
        <v>0</v>
      </c>
      <c r="L651" s="192">
        <v>0</v>
      </c>
      <c r="M651" s="192">
        <v>0</v>
      </c>
      <c r="N651" s="192">
        <v>36.5</v>
      </c>
      <c r="O651" s="192">
        <v>3598.4</v>
      </c>
      <c r="P651" s="192">
        <v>17</v>
      </c>
      <c r="Q651" s="192">
        <v>269.88</v>
      </c>
      <c r="R651" s="192">
        <v>0</v>
      </c>
      <c r="S651" s="285">
        <v>0.5</v>
      </c>
      <c r="T651" s="192">
        <v>652.35</v>
      </c>
      <c r="U651" s="291">
        <v>4537.63</v>
      </c>
      <c r="V651" s="291">
        <v>4537.63</v>
      </c>
      <c r="W651" s="292">
        <v>54396.959999999999</v>
      </c>
      <c r="X651" s="292">
        <v>54451.56</v>
      </c>
      <c r="Y651" s="292">
        <v>54612.92</v>
      </c>
      <c r="Z651" s="292">
        <v>56411.19</v>
      </c>
      <c r="AA651" s="290">
        <v>57875.887409999996</v>
      </c>
      <c r="AB651" s="285">
        <v>57423.290049999996</v>
      </c>
      <c r="AC651" s="290">
        <v>4533.08</v>
      </c>
      <c r="AD651" s="192">
        <v>12</v>
      </c>
      <c r="AE651" s="290"/>
      <c r="AF651" s="194">
        <v>54396.959999999999</v>
      </c>
    </row>
    <row r="652" spans="1:34" s="196" customFormat="1" ht="17.25" customHeight="1" x14ac:dyDescent="0.3">
      <c r="G652" s="288">
        <f>SUM(G641:G651)</f>
        <v>4.5999999999999996</v>
      </c>
      <c r="H652" s="288">
        <f t="shared" ref="H652:AF652" si="61">SUM(H641:H651)</f>
        <v>31367.159999999996</v>
      </c>
      <c r="I652" s="288">
        <f t="shared" si="61"/>
        <v>2553.16</v>
      </c>
      <c r="J652" s="288">
        <f t="shared" si="61"/>
        <v>1706.3200000000002</v>
      </c>
      <c r="K652" s="288">
        <f t="shared" si="61"/>
        <v>656.25</v>
      </c>
      <c r="L652" s="288">
        <f t="shared" si="61"/>
        <v>0</v>
      </c>
      <c r="M652" s="288">
        <f t="shared" si="61"/>
        <v>0</v>
      </c>
      <c r="N652" s="288">
        <f t="shared" si="61"/>
        <v>255.5</v>
      </c>
      <c r="O652" s="288">
        <f t="shared" si="61"/>
        <v>36538.39</v>
      </c>
      <c r="P652" s="288">
        <f t="shared" si="61"/>
        <v>833.23</v>
      </c>
      <c r="Q652" s="288">
        <f t="shared" si="61"/>
        <v>2030.38</v>
      </c>
      <c r="R652" s="288">
        <f t="shared" si="61"/>
        <v>0</v>
      </c>
      <c r="S652" s="288">
        <f t="shared" si="61"/>
        <v>4.5999999999999996</v>
      </c>
      <c r="T652" s="288">
        <f t="shared" si="61"/>
        <v>4473.28</v>
      </c>
      <c r="U652" s="288">
        <f t="shared" si="61"/>
        <v>43875.280000000006</v>
      </c>
      <c r="V652" s="288">
        <f t="shared" si="61"/>
        <v>43875.280000000006</v>
      </c>
      <c r="W652" s="288">
        <f t="shared" si="61"/>
        <v>376995.6</v>
      </c>
      <c r="X652" s="288">
        <f t="shared" si="61"/>
        <v>526503.35999999987</v>
      </c>
      <c r="Y652" s="288">
        <f t="shared" si="61"/>
        <v>292193.84000000003</v>
      </c>
      <c r="Z652" s="288">
        <f t="shared" si="61"/>
        <v>304626.02999999997</v>
      </c>
      <c r="AA652" s="288">
        <f t="shared" si="61"/>
        <v>312513.52835999994</v>
      </c>
      <c r="AB652" s="288">
        <f t="shared" si="61"/>
        <v>312095.36679999996</v>
      </c>
      <c r="AC652" s="288">
        <f t="shared" si="61"/>
        <v>48738.380000000005</v>
      </c>
      <c r="AD652" s="288">
        <f t="shared" si="61"/>
        <v>132</v>
      </c>
      <c r="AE652" s="288">
        <f t="shared" si="61"/>
        <v>0</v>
      </c>
      <c r="AF652" s="288">
        <f t="shared" si="61"/>
        <v>584860.55999999994</v>
      </c>
      <c r="AG652" s="196">
        <v>585</v>
      </c>
      <c r="AH652" s="288" t="s">
        <v>1668</v>
      </c>
    </row>
    <row r="653" spans="1:34" x14ac:dyDescent="0.3">
      <c r="W653" s="292"/>
      <c r="X653" s="292"/>
      <c r="Y653" s="292"/>
      <c r="Z653" s="292"/>
      <c r="AA653" s="290"/>
      <c r="AB653" s="285"/>
      <c r="AC653" s="290"/>
      <c r="AE653" s="290"/>
      <c r="AF653" s="194"/>
    </row>
    <row r="654" spans="1:34" x14ac:dyDescent="0.3">
      <c r="A654" s="192">
        <v>5832</v>
      </c>
      <c r="B654" s="192">
        <v>84</v>
      </c>
      <c r="C654" s="192">
        <v>6300</v>
      </c>
      <c r="D654" s="192" t="s">
        <v>1691</v>
      </c>
      <c r="E654" s="192">
        <v>5618651</v>
      </c>
      <c r="F654" s="192" t="s">
        <v>1420</v>
      </c>
      <c r="G654" s="290">
        <v>0.25</v>
      </c>
      <c r="H654" s="192">
        <v>1461.51</v>
      </c>
      <c r="I654" s="192">
        <v>91.84</v>
      </c>
      <c r="J654" s="192">
        <v>0</v>
      </c>
      <c r="K654" s="192">
        <v>0</v>
      </c>
      <c r="L654" s="192">
        <v>0</v>
      </c>
      <c r="M654" s="192">
        <v>0</v>
      </c>
      <c r="N654" s="192">
        <v>0</v>
      </c>
      <c r="O654" s="192">
        <v>1553.35</v>
      </c>
      <c r="P654" s="192">
        <v>0</v>
      </c>
      <c r="Q654" s="192">
        <v>0</v>
      </c>
      <c r="R654" s="192">
        <v>0</v>
      </c>
      <c r="S654" s="285">
        <v>0.25</v>
      </c>
      <c r="T654" s="192">
        <v>0</v>
      </c>
      <c r="U654" s="291">
        <v>1553.35</v>
      </c>
      <c r="V654" s="291">
        <v>1553.35</v>
      </c>
      <c r="W654" s="292">
        <v>42253.08</v>
      </c>
      <c r="X654" s="292">
        <v>18640.199999999997</v>
      </c>
      <c r="Y654" s="292">
        <v>43509.72</v>
      </c>
      <c r="Z654" s="292">
        <v>59667.13</v>
      </c>
      <c r="AA654" s="290">
        <v>61023.781169999995</v>
      </c>
      <c r="AB654" s="285">
        <v>60546.566849999996</v>
      </c>
      <c r="AC654" s="290">
        <v>2000</v>
      </c>
      <c r="AD654" s="192">
        <v>12</v>
      </c>
      <c r="AE654" s="290">
        <v>2000</v>
      </c>
      <c r="AF654" s="194">
        <v>26000</v>
      </c>
    </row>
    <row r="655" spans="1:34" x14ac:dyDescent="0.3">
      <c r="A655" s="192">
        <v>5830</v>
      </c>
      <c r="B655" s="192">
        <v>84</v>
      </c>
      <c r="C655" s="192">
        <v>6300</v>
      </c>
      <c r="D655" s="192" t="s">
        <v>1691</v>
      </c>
      <c r="E655" s="192">
        <v>5429321</v>
      </c>
      <c r="F655" s="192" t="s">
        <v>1692</v>
      </c>
      <c r="G655" s="290">
        <v>1</v>
      </c>
      <c r="H655" s="192">
        <v>5419.66</v>
      </c>
      <c r="I655" s="192">
        <v>385.83</v>
      </c>
      <c r="J655" s="192">
        <v>197.6</v>
      </c>
      <c r="K655" s="192">
        <v>1062.18</v>
      </c>
      <c r="L655" s="192">
        <v>0</v>
      </c>
      <c r="M655" s="192">
        <v>0</v>
      </c>
      <c r="N655" s="192">
        <v>36.5</v>
      </c>
      <c r="O655" s="192">
        <v>7101.77</v>
      </c>
      <c r="P655" s="192">
        <v>283</v>
      </c>
      <c r="Q655" s="192">
        <v>532.63</v>
      </c>
      <c r="R655" s="192">
        <v>0</v>
      </c>
      <c r="S655" s="285">
        <v>1</v>
      </c>
      <c r="T655" s="192">
        <v>1307.03</v>
      </c>
      <c r="U655" s="291">
        <v>9224.43</v>
      </c>
      <c r="V655" s="291">
        <v>9224.43</v>
      </c>
      <c r="W655" s="292">
        <v>115564.68</v>
      </c>
      <c r="X655" s="292">
        <v>110693.16</v>
      </c>
      <c r="Y655" s="292">
        <v>117225.60000000001</v>
      </c>
      <c r="Z655" s="292">
        <v>128879.43</v>
      </c>
      <c r="AA655" s="290">
        <v>131837.00738999998</v>
      </c>
      <c r="AB655" s="285">
        <v>130806.02394999997</v>
      </c>
      <c r="AC655" s="290">
        <v>10000</v>
      </c>
      <c r="AD655" s="192">
        <v>12</v>
      </c>
      <c r="AE655" s="290">
        <v>9000</v>
      </c>
      <c r="AF655" s="194">
        <v>129000</v>
      </c>
    </row>
    <row r="656" spans="1:34" s="196" customFormat="1" ht="17.25" customHeight="1" x14ac:dyDescent="0.3">
      <c r="G656" s="288">
        <f>SUM(G654:G655)</f>
        <v>1.25</v>
      </c>
      <c r="H656" s="288">
        <f t="shared" ref="H656:AF656" si="62">SUM(H654:H655)</f>
        <v>6881.17</v>
      </c>
      <c r="I656" s="288">
        <f t="shared" si="62"/>
        <v>477.66999999999996</v>
      </c>
      <c r="J656" s="288">
        <f t="shared" si="62"/>
        <v>197.6</v>
      </c>
      <c r="K656" s="288">
        <f t="shared" si="62"/>
        <v>1062.18</v>
      </c>
      <c r="L656" s="288">
        <f t="shared" si="62"/>
        <v>0</v>
      </c>
      <c r="M656" s="288">
        <f t="shared" si="62"/>
        <v>0</v>
      </c>
      <c r="N656" s="288">
        <f t="shared" si="62"/>
        <v>36.5</v>
      </c>
      <c r="O656" s="288">
        <f t="shared" si="62"/>
        <v>8655.1200000000008</v>
      </c>
      <c r="P656" s="288">
        <f t="shared" si="62"/>
        <v>283</v>
      </c>
      <c r="Q656" s="288">
        <f t="shared" si="62"/>
        <v>532.63</v>
      </c>
      <c r="R656" s="288">
        <f t="shared" si="62"/>
        <v>0</v>
      </c>
      <c r="S656" s="288">
        <f t="shared" si="62"/>
        <v>1.25</v>
      </c>
      <c r="T656" s="288">
        <f t="shared" si="62"/>
        <v>1307.03</v>
      </c>
      <c r="U656" s="288">
        <f t="shared" si="62"/>
        <v>10777.78</v>
      </c>
      <c r="V656" s="288">
        <f t="shared" si="62"/>
        <v>10777.78</v>
      </c>
      <c r="W656" s="288">
        <f t="shared" si="62"/>
        <v>157817.76</v>
      </c>
      <c r="X656" s="288">
        <f t="shared" si="62"/>
        <v>129333.36</v>
      </c>
      <c r="Y656" s="288">
        <f t="shared" si="62"/>
        <v>160735.32</v>
      </c>
      <c r="Z656" s="288">
        <f t="shared" si="62"/>
        <v>188546.56</v>
      </c>
      <c r="AA656" s="288">
        <f t="shared" si="62"/>
        <v>192860.78855999999</v>
      </c>
      <c r="AB656" s="288">
        <f t="shared" si="62"/>
        <v>191352.59079999998</v>
      </c>
      <c r="AC656" s="288">
        <f t="shared" si="62"/>
        <v>12000</v>
      </c>
      <c r="AD656" s="288">
        <f t="shared" si="62"/>
        <v>24</v>
      </c>
      <c r="AE656" s="288">
        <f t="shared" si="62"/>
        <v>11000</v>
      </c>
      <c r="AF656" s="288">
        <f t="shared" si="62"/>
        <v>155000</v>
      </c>
      <c r="AG656" s="196">
        <v>117</v>
      </c>
      <c r="AH656" s="288" t="s">
        <v>1668</v>
      </c>
    </row>
    <row r="657" spans="1:36" x14ac:dyDescent="0.3">
      <c r="W657" s="292"/>
      <c r="X657" s="292"/>
      <c r="Y657" s="292"/>
      <c r="Z657" s="292"/>
      <c r="AA657" s="290"/>
      <c r="AB657" s="285"/>
      <c r="AC657" s="290"/>
      <c r="AE657" s="290"/>
      <c r="AF657" s="194"/>
    </row>
    <row r="658" spans="1:36" x14ac:dyDescent="0.3">
      <c r="A658" s="192">
        <v>5830</v>
      </c>
      <c r="B658" s="192">
        <v>19</v>
      </c>
      <c r="C658" s="192">
        <v>21</v>
      </c>
      <c r="D658" s="192" t="s">
        <v>1693</v>
      </c>
      <c r="E658" s="192">
        <v>4283578</v>
      </c>
      <c r="F658" s="192" t="s">
        <v>1648</v>
      </c>
      <c r="G658" s="290">
        <v>0</v>
      </c>
      <c r="H658" s="192">
        <v>5565.76</v>
      </c>
      <c r="I658" s="192">
        <v>368.08</v>
      </c>
      <c r="J658" s="192">
        <v>34.020000000000003</v>
      </c>
      <c r="K658" s="192">
        <v>0</v>
      </c>
      <c r="L658" s="192">
        <v>0</v>
      </c>
      <c r="M658" s="192">
        <v>0</v>
      </c>
      <c r="N658" s="192">
        <v>253.36</v>
      </c>
      <c r="O658" s="192">
        <v>6221.22</v>
      </c>
      <c r="P658" s="192">
        <v>0</v>
      </c>
      <c r="Q658" s="192">
        <v>0</v>
      </c>
      <c r="R658" s="192">
        <v>0</v>
      </c>
      <c r="S658" s="285">
        <v>0</v>
      </c>
      <c r="T658" s="192">
        <v>0</v>
      </c>
      <c r="U658" s="291">
        <v>6221.22</v>
      </c>
      <c r="V658" s="291">
        <v>6221.22</v>
      </c>
      <c r="W658" s="292">
        <v>164277.59999999998</v>
      </c>
      <c r="X658" s="292">
        <v>74654.64</v>
      </c>
      <c r="Y658" s="292">
        <v>24884.880000000005</v>
      </c>
      <c r="Z658" s="292">
        <v>103039.24</v>
      </c>
      <c r="AA658" s="290">
        <v>103896.81092999999</v>
      </c>
      <c r="AB658" s="285">
        <v>177379.32939999999</v>
      </c>
      <c r="AC658" s="290">
        <v>1200</v>
      </c>
      <c r="AD658" s="192">
        <v>12</v>
      </c>
      <c r="AE658" s="290">
        <v>1200</v>
      </c>
      <c r="AF658" s="194">
        <v>15600</v>
      </c>
    </row>
    <row r="659" spans="1:36" x14ac:dyDescent="0.3">
      <c r="A659" s="192">
        <v>5830</v>
      </c>
      <c r="B659" s="192">
        <v>86</v>
      </c>
      <c r="C659" s="192">
        <v>1000</v>
      </c>
      <c r="D659" s="192" t="s">
        <v>1693</v>
      </c>
      <c r="E659" s="192">
        <v>3270791</v>
      </c>
      <c r="F659" s="192" t="s">
        <v>1694</v>
      </c>
      <c r="G659" s="290">
        <v>0.6</v>
      </c>
      <c r="H659" s="192">
        <v>3381.57</v>
      </c>
      <c r="I659" s="192">
        <v>216.96</v>
      </c>
      <c r="J659" s="192">
        <v>178.16</v>
      </c>
      <c r="K659" s="192">
        <v>0</v>
      </c>
      <c r="L659" s="192">
        <v>0</v>
      </c>
      <c r="M659" s="192">
        <v>0</v>
      </c>
      <c r="N659" s="192">
        <v>36.5</v>
      </c>
      <c r="O659" s="192">
        <v>3813.19</v>
      </c>
      <c r="P659" s="192">
        <v>135</v>
      </c>
      <c r="Q659" s="192">
        <v>285.99</v>
      </c>
      <c r="R659" s="192">
        <v>0</v>
      </c>
      <c r="S659" s="285">
        <v>0.6</v>
      </c>
      <c r="T659" s="192">
        <v>755.69</v>
      </c>
      <c r="U659" s="291">
        <v>4989.87</v>
      </c>
      <c r="V659" s="291">
        <v>4989.87</v>
      </c>
      <c r="W659" s="292">
        <v>58875.600000000006</v>
      </c>
      <c r="X659" s="292">
        <v>59878.44</v>
      </c>
      <c r="Y659" s="292">
        <v>59426.8</v>
      </c>
      <c r="Z659" s="292">
        <v>61557.01</v>
      </c>
      <c r="AA659" s="290">
        <v>62930.346269999995</v>
      </c>
      <c r="AB659" s="285">
        <v>62438.222349999989</v>
      </c>
      <c r="AC659" s="290">
        <v>3700</v>
      </c>
      <c r="AD659" s="192">
        <v>12</v>
      </c>
      <c r="AE659" s="290">
        <v>4000</v>
      </c>
      <c r="AF659" s="194">
        <v>48400</v>
      </c>
    </row>
    <row r="660" spans="1:36" x14ac:dyDescent="0.3">
      <c r="A660" s="192">
        <v>5830</v>
      </c>
      <c r="B660" s="192">
        <v>86</v>
      </c>
      <c r="C660" s="192">
        <v>1000</v>
      </c>
      <c r="D660" s="192" t="s">
        <v>1693</v>
      </c>
      <c r="E660" s="192">
        <v>33255135</v>
      </c>
      <c r="F660" s="192" t="s">
        <v>1667</v>
      </c>
      <c r="G660" s="290">
        <v>0.15</v>
      </c>
      <c r="H660" s="192">
        <v>733.93</v>
      </c>
      <c r="I660" s="192">
        <v>54.94</v>
      </c>
      <c r="J660" s="192">
        <v>51.99</v>
      </c>
      <c r="K660" s="192">
        <v>0</v>
      </c>
      <c r="L660" s="192">
        <v>0</v>
      </c>
      <c r="M660" s="192">
        <v>0</v>
      </c>
      <c r="N660" s="192">
        <v>10.95</v>
      </c>
      <c r="O660" s="192">
        <v>851.81</v>
      </c>
      <c r="P660" s="192">
        <v>30.3</v>
      </c>
      <c r="Q660" s="192">
        <v>63.89</v>
      </c>
      <c r="R660" s="192">
        <v>0</v>
      </c>
      <c r="S660" s="285">
        <v>0.15</v>
      </c>
      <c r="T660" s="192">
        <v>106.5</v>
      </c>
      <c r="U660" s="291">
        <v>1052.5</v>
      </c>
      <c r="V660" s="291">
        <v>1052.5</v>
      </c>
      <c r="W660" s="292">
        <v>50264.88</v>
      </c>
      <c r="X660" s="292">
        <v>12630</v>
      </c>
      <c r="Y660" s="292">
        <v>37799.760000000002</v>
      </c>
      <c r="Z660" s="292">
        <v>21934.52</v>
      </c>
      <c r="AA660" s="290">
        <v>23742.162509999998</v>
      </c>
      <c r="AB660" s="285">
        <v>23556.495549999996</v>
      </c>
      <c r="AC660" s="290">
        <v>1053</v>
      </c>
      <c r="AD660" s="192">
        <v>12</v>
      </c>
      <c r="AE660" s="290">
        <v>1000</v>
      </c>
      <c r="AF660" s="194">
        <v>13636</v>
      </c>
    </row>
    <row r="661" spans="1:36" s="196" customFormat="1" ht="17.25" customHeight="1" x14ac:dyDescent="0.3">
      <c r="G661" s="288">
        <f>SUM(G658:G660)</f>
        <v>0.75</v>
      </c>
      <c r="H661" s="288">
        <f t="shared" ref="H661:AF661" si="63">SUM(H658:H660)</f>
        <v>9681.26</v>
      </c>
      <c r="I661" s="288">
        <f t="shared" si="63"/>
        <v>639.98</v>
      </c>
      <c r="J661" s="288">
        <f t="shared" si="63"/>
        <v>264.17</v>
      </c>
      <c r="K661" s="288">
        <f t="shared" si="63"/>
        <v>0</v>
      </c>
      <c r="L661" s="288">
        <f t="shared" si="63"/>
        <v>0</v>
      </c>
      <c r="M661" s="288">
        <f t="shared" si="63"/>
        <v>0</v>
      </c>
      <c r="N661" s="288">
        <f t="shared" si="63"/>
        <v>300.81</v>
      </c>
      <c r="O661" s="288">
        <f t="shared" si="63"/>
        <v>10886.22</v>
      </c>
      <c r="P661" s="288">
        <f t="shared" si="63"/>
        <v>165.3</v>
      </c>
      <c r="Q661" s="288">
        <f t="shared" si="63"/>
        <v>349.88</v>
      </c>
      <c r="R661" s="288">
        <f t="shared" si="63"/>
        <v>0</v>
      </c>
      <c r="S661" s="288">
        <f t="shared" si="63"/>
        <v>0.75</v>
      </c>
      <c r="T661" s="288">
        <f t="shared" si="63"/>
        <v>862.19</v>
      </c>
      <c r="U661" s="288">
        <f t="shared" si="63"/>
        <v>12263.59</v>
      </c>
      <c r="V661" s="288">
        <f t="shared" si="63"/>
        <v>12263.59</v>
      </c>
      <c r="W661" s="288">
        <f t="shared" si="63"/>
        <v>273418.07999999996</v>
      </c>
      <c r="X661" s="288">
        <f t="shared" si="63"/>
        <v>147163.08000000002</v>
      </c>
      <c r="Y661" s="288">
        <f t="shared" si="63"/>
        <v>122111.44</v>
      </c>
      <c r="Z661" s="288">
        <f t="shared" si="63"/>
        <v>186530.77</v>
      </c>
      <c r="AA661" s="288">
        <f t="shared" si="63"/>
        <v>190569.31970999998</v>
      </c>
      <c r="AB661" s="288">
        <f t="shared" si="63"/>
        <v>263374.04729999998</v>
      </c>
      <c r="AC661" s="288">
        <f t="shared" si="63"/>
        <v>5953</v>
      </c>
      <c r="AD661" s="288">
        <f t="shared" si="63"/>
        <v>36</v>
      </c>
      <c r="AE661" s="288">
        <f t="shared" si="63"/>
        <v>6200</v>
      </c>
      <c r="AF661" s="288">
        <f t="shared" si="63"/>
        <v>77636</v>
      </c>
      <c r="AG661" s="196">
        <v>91</v>
      </c>
      <c r="AH661" s="288" t="s">
        <v>1668</v>
      </c>
    </row>
    <row r="662" spans="1:36" x14ac:dyDescent="0.3">
      <c r="W662" s="292"/>
      <c r="X662" s="292"/>
      <c r="Y662" s="292"/>
      <c r="Z662" s="292"/>
      <c r="AA662" s="290"/>
      <c r="AB662" s="285"/>
      <c r="AC662" s="290"/>
      <c r="AE662" s="290"/>
      <c r="AF662" s="194"/>
    </row>
    <row r="663" spans="1:36" x14ac:dyDescent="0.3">
      <c r="A663" s="192">
        <v>5830</v>
      </c>
      <c r="B663" s="192">
        <v>87</v>
      </c>
      <c r="C663" s="192">
        <v>1000</v>
      </c>
      <c r="D663" s="192" t="s">
        <v>571</v>
      </c>
      <c r="E663" s="192">
        <v>2273244</v>
      </c>
      <c r="F663" s="192" t="s">
        <v>1695</v>
      </c>
      <c r="G663" s="290">
        <v>1</v>
      </c>
      <c r="H663" s="192">
        <v>11508.55</v>
      </c>
      <c r="I663" s="192">
        <v>3287.84</v>
      </c>
      <c r="J663" s="192">
        <v>173.3</v>
      </c>
      <c r="K663" s="192">
        <v>2038.74</v>
      </c>
      <c r="L663" s="192">
        <v>0</v>
      </c>
      <c r="M663" s="192">
        <v>0</v>
      </c>
      <c r="N663" s="192">
        <v>92.2</v>
      </c>
      <c r="O663" s="192">
        <v>17100.63</v>
      </c>
      <c r="P663" s="192">
        <v>1068</v>
      </c>
      <c r="Q663" s="192">
        <v>1305.96</v>
      </c>
      <c r="R663" s="192">
        <v>0</v>
      </c>
      <c r="S663" s="285">
        <v>1</v>
      </c>
      <c r="T663" s="192">
        <v>1625.64</v>
      </c>
      <c r="U663" s="291">
        <v>21100.23</v>
      </c>
      <c r="V663" s="291">
        <v>21100.23</v>
      </c>
      <c r="W663" s="292">
        <v>253520.88</v>
      </c>
      <c r="X663" s="292">
        <v>253202.76</v>
      </c>
      <c r="Y663" s="292">
        <v>252164.08</v>
      </c>
      <c r="Z663" s="292">
        <v>267108.78000000003</v>
      </c>
      <c r="AA663" s="290">
        <v>273399.03128999996</v>
      </c>
      <c r="AB663" s="285">
        <v>271261.01344999997</v>
      </c>
      <c r="AC663" s="290">
        <v>21126.74</v>
      </c>
      <c r="AD663" s="192">
        <v>12</v>
      </c>
      <c r="AE663" s="290">
        <v>10000</v>
      </c>
      <c r="AF663" s="194">
        <v>263520.88</v>
      </c>
    </row>
    <row r="664" spans="1:36" x14ac:dyDescent="0.3">
      <c r="A664" s="192">
        <v>5830</v>
      </c>
      <c r="B664" s="192">
        <v>87</v>
      </c>
      <c r="C664" s="192">
        <v>1000</v>
      </c>
      <c r="D664" s="192" t="s">
        <v>571</v>
      </c>
      <c r="E664" s="192">
        <v>3368659</v>
      </c>
      <c r="F664" s="192" t="s">
        <v>1696</v>
      </c>
      <c r="G664" s="290">
        <v>1</v>
      </c>
      <c r="H664" s="192">
        <v>6999.21</v>
      </c>
      <c r="I664" s="192">
        <v>3494.25</v>
      </c>
      <c r="J664" s="192">
        <v>48.6</v>
      </c>
      <c r="K664" s="192">
        <v>0</v>
      </c>
      <c r="L664" s="192">
        <v>0</v>
      </c>
      <c r="M664" s="192">
        <v>0</v>
      </c>
      <c r="N664" s="192">
        <v>138</v>
      </c>
      <c r="O664" s="192">
        <v>10680.06</v>
      </c>
      <c r="P664" s="192">
        <v>705</v>
      </c>
      <c r="Q664" s="192">
        <v>948.75</v>
      </c>
      <c r="R664" s="192">
        <v>0</v>
      </c>
      <c r="S664" s="285">
        <v>1</v>
      </c>
      <c r="T664" s="192">
        <v>2006.53</v>
      </c>
      <c r="U664" s="291">
        <v>14340.34</v>
      </c>
      <c r="V664" s="291">
        <v>14340.34</v>
      </c>
      <c r="W664" s="292">
        <v>170158.44</v>
      </c>
      <c r="X664" s="292">
        <v>172084.08000000002</v>
      </c>
      <c r="Y664" s="292">
        <v>169099.84</v>
      </c>
      <c r="Z664" s="292">
        <v>179583.83</v>
      </c>
      <c r="AA664" s="290">
        <v>183580.98164999997</v>
      </c>
      <c r="AB664" s="285">
        <v>182145.35324999996</v>
      </c>
      <c r="AC664" s="290">
        <v>14179.87</v>
      </c>
      <c r="AD664" s="192">
        <v>12</v>
      </c>
      <c r="AE664" s="290">
        <v>10000</v>
      </c>
      <c r="AF664" s="194">
        <v>180158.44</v>
      </c>
    </row>
    <row r="665" spans="1:36" x14ac:dyDescent="0.3">
      <c r="A665" s="192">
        <v>5830</v>
      </c>
      <c r="B665" s="192">
        <v>87</v>
      </c>
      <c r="C665" s="192">
        <v>1000</v>
      </c>
      <c r="D665" s="192" t="s">
        <v>571</v>
      </c>
      <c r="E665" s="192">
        <v>30185276</v>
      </c>
      <c r="F665" s="192" t="s">
        <v>1697</v>
      </c>
      <c r="G665" s="290">
        <v>1</v>
      </c>
      <c r="H665" s="192">
        <v>6597.39</v>
      </c>
      <c r="I665" s="192">
        <v>581.77</v>
      </c>
      <c r="J665" s="192">
        <v>173.3</v>
      </c>
      <c r="K665" s="192">
        <v>1449.67</v>
      </c>
      <c r="L665" s="192">
        <v>0</v>
      </c>
      <c r="M665" s="192">
        <v>0</v>
      </c>
      <c r="N665" s="192">
        <v>0</v>
      </c>
      <c r="O665" s="192">
        <v>8802.1299999999992</v>
      </c>
      <c r="P665" s="192">
        <v>413</v>
      </c>
      <c r="Q665" s="192">
        <v>660.17</v>
      </c>
      <c r="R665" s="192">
        <v>0</v>
      </c>
      <c r="S665" s="285">
        <v>1</v>
      </c>
      <c r="T665" s="192">
        <v>1534.48</v>
      </c>
      <c r="U665" s="291">
        <v>11409.78</v>
      </c>
      <c r="V665" s="291">
        <v>11409.78</v>
      </c>
      <c r="W665" s="292">
        <v>146513.16</v>
      </c>
      <c r="X665" s="292">
        <v>136917.36000000002</v>
      </c>
      <c r="Y665" s="292">
        <v>146265.28</v>
      </c>
      <c r="Z665" s="292">
        <v>144925.34</v>
      </c>
      <c r="AA665" s="290">
        <v>148823.98376999999</v>
      </c>
      <c r="AB665" s="285">
        <v>147660.15984999997</v>
      </c>
      <c r="AC665" s="290">
        <v>12209.43</v>
      </c>
      <c r="AD665" s="192">
        <v>12</v>
      </c>
      <c r="AE665" s="290">
        <v>10000</v>
      </c>
      <c r="AF665" s="194">
        <v>156513.16</v>
      </c>
    </row>
    <row r="666" spans="1:36" x14ac:dyDescent="0.3">
      <c r="A666" s="192">
        <v>5830</v>
      </c>
      <c r="B666" s="192">
        <v>87</v>
      </c>
      <c r="C666" s="192">
        <v>1000</v>
      </c>
      <c r="D666" s="192" t="s">
        <v>571</v>
      </c>
      <c r="E666" s="192">
        <v>30262977</v>
      </c>
      <c r="F666" s="192" t="s">
        <v>1698</v>
      </c>
      <c r="G666" s="290">
        <v>1</v>
      </c>
      <c r="H666" s="192">
        <v>5578.92</v>
      </c>
      <c r="I666" s="192">
        <v>361.69</v>
      </c>
      <c r="J666" s="192">
        <v>197.6</v>
      </c>
      <c r="K666" s="192">
        <v>1100.81</v>
      </c>
      <c r="L666" s="192">
        <v>0</v>
      </c>
      <c r="M666" s="192">
        <v>0</v>
      </c>
      <c r="N666" s="192">
        <v>0</v>
      </c>
      <c r="O666" s="192">
        <v>7239.02</v>
      </c>
      <c r="P666" s="192">
        <v>294</v>
      </c>
      <c r="Q666" s="192">
        <v>542.92999999999995</v>
      </c>
      <c r="R666" s="192">
        <v>0</v>
      </c>
      <c r="S666" s="285">
        <v>1</v>
      </c>
      <c r="T666" s="192">
        <v>1304.54</v>
      </c>
      <c r="U666" s="291">
        <v>9380.49</v>
      </c>
      <c r="V666" s="291">
        <v>9380.49</v>
      </c>
      <c r="W666" s="292">
        <v>110795.16</v>
      </c>
      <c r="X666" s="292">
        <v>112565.88</v>
      </c>
      <c r="Y666" s="292">
        <v>123159.4</v>
      </c>
      <c r="Z666" s="292">
        <v>89504.82</v>
      </c>
      <c r="AA666" s="290">
        <v>94249.573109999983</v>
      </c>
      <c r="AB666" s="285">
        <v>127041.46</v>
      </c>
      <c r="AC666" s="290">
        <v>9232.93</v>
      </c>
      <c r="AD666" s="192">
        <v>12</v>
      </c>
      <c r="AE666" s="290">
        <v>9000</v>
      </c>
      <c r="AF666" s="194">
        <v>119795.16</v>
      </c>
    </row>
    <row r="667" spans="1:36" s="196" customFormat="1" ht="17.25" customHeight="1" x14ac:dyDescent="0.3">
      <c r="G667" s="288">
        <f>SUM(G663:G666)</f>
        <v>4</v>
      </c>
      <c r="H667" s="288">
        <f t="shared" ref="H667:AF667" si="64">SUM(H663:H666)</f>
        <v>30684.07</v>
      </c>
      <c r="I667" s="288">
        <f t="shared" si="64"/>
        <v>7725.55</v>
      </c>
      <c r="J667" s="288">
        <f t="shared" si="64"/>
        <v>592.80000000000007</v>
      </c>
      <c r="K667" s="288">
        <f t="shared" si="64"/>
        <v>4589.2199999999993</v>
      </c>
      <c r="L667" s="288">
        <f t="shared" si="64"/>
        <v>0</v>
      </c>
      <c r="M667" s="288">
        <f t="shared" si="64"/>
        <v>0</v>
      </c>
      <c r="N667" s="288">
        <f t="shared" si="64"/>
        <v>230.2</v>
      </c>
      <c r="O667" s="288">
        <f t="shared" si="64"/>
        <v>43821.84</v>
      </c>
      <c r="P667" s="288">
        <f t="shared" si="64"/>
        <v>2480</v>
      </c>
      <c r="Q667" s="288">
        <f t="shared" si="64"/>
        <v>3457.81</v>
      </c>
      <c r="R667" s="288">
        <f t="shared" si="64"/>
        <v>0</v>
      </c>
      <c r="S667" s="288">
        <f t="shared" si="64"/>
        <v>4</v>
      </c>
      <c r="T667" s="288">
        <f t="shared" si="64"/>
        <v>6471.19</v>
      </c>
      <c r="U667" s="288">
        <f t="shared" si="64"/>
        <v>56230.84</v>
      </c>
      <c r="V667" s="288">
        <f t="shared" si="64"/>
        <v>56230.84</v>
      </c>
      <c r="W667" s="288">
        <f t="shared" si="64"/>
        <v>680987.64</v>
      </c>
      <c r="X667" s="288">
        <f t="shared" si="64"/>
        <v>674770.08000000007</v>
      </c>
      <c r="Y667" s="288">
        <f t="shared" si="64"/>
        <v>690688.6</v>
      </c>
      <c r="Z667" s="288">
        <f t="shared" si="64"/>
        <v>681122.77</v>
      </c>
      <c r="AA667" s="288">
        <f t="shared" si="64"/>
        <v>700053.56981999986</v>
      </c>
      <c r="AB667" s="288">
        <f t="shared" si="64"/>
        <v>728107.9865499998</v>
      </c>
      <c r="AC667" s="288">
        <f t="shared" si="64"/>
        <v>56748.97</v>
      </c>
      <c r="AD667" s="288">
        <f t="shared" si="64"/>
        <v>48</v>
      </c>
      <c r="AE667" s="288">
        <f t="shared" si="64"/>
        <v>39000</v>
      </c>
      <c r="AF667" s="288">
        <f t="shared" si="64"/>
        <v>719987.64</v>
      </c>
      <c r="AG667" s="196">
        <v>741</v>
      </c>
      <c r="AH667" s="288" t="s">
        <v>1668</v>
      </c>
    </row>
    <row r="668" spans="1:36" x14ac:dyDescent="0.3">
      <c r="W668" s="292"/>
      <c r="X668" s="292"/>
      <c r="Y668" s="292"/>
      <c r="Z668" s="292"/>
      <c r="AA668" s="290"/>
      <c r="AB668" s="285"/>
      <c r="AC668" s="290"/>
      <c r="AE668" s="290"/>
      <c r="AF668" s="194"/>
    </row>
    <row r="669" spans="1:36" x14ac:dyDescent="0.3">
      <c r="A669" s="192">
        <v>5831</v>
      </c>
      <c r="B669" s="192">
        <v>99</v>
      </c>
      <c r="C669" s="192">
        <v>0</v>
      </c>
      <c r="D669" s="192" t="s">
        <v>1699</v>
      </c>
      <c r="E669" s="192">
        <v>23027</v>
      </c>
      <c r="F669" s="192" t="s">
        <v>1700</v>
      </c>
      <c r="G669" s="290">
        <v>0.43</v>
      </c>
      <c r="H669" s="192">
        <v>0</v>
      </c>
      <c r="I669" s="192">
        <v>0</v>
      </c>
      <c r="J669" s="192">
        <v>0</v>
      </c>
      <c r="K669" s="192">
        <v>0</v>
      </c>
      <c r="L669" s="192">
        <v>0</v>
      </c>
      <c r="M669" s="192">
        <v>0</v>
      </c>
      <c r="N669" s="192">
        <v>0</v>
      </c>
      <c r="O669" s="192">
        <v>0</v>
      </c>
      <c r="P669" s="192">
        <v>0</v>
      </c>
      <c r="Q669" s="192">
        <v>11.25</v>
      </c>
      <c r="R669" s="192">
        <v>0</v>
      </c>
      <c r="S669" s="285">
        <f>G669*AD669/$AG$1</f>
        <v>0.43</v>
      </c>
      <c r="T669" s="192">
        <v>0</v>
      </c>
      <c r="U669" s="291">
        <v>11.25</v>
      </c>
      <c r="V669" s="291">
        <v>11.25</v>
      </c>
      <c r="W669" s="292">
        <v>0</v>
      </c>
      <c r="X669" s="292">
        <v>135</v>
      </c>
      <c r="Y669" s="292">
        <v>45</v>
      </c>
      <c r="Z669" s="292">
        <v>0</v>
      </c>
      <c r="AA669" s="290">
        <v>0</v>
      </c>
      <c r="AB669" s="285"/>
      <c r="AC669" s="290">
        <v>161.25</v>
      </c>
      <c r="AD669" s="192">
        <v>12</v>
      </c>
      <c r="AE669" s="290">
        <v>11.25</v>
      </c>
      <c r="AF669" s="194">
        <v>1946.25</v>
      </c>
      <c r="AG669" s="215"/>
      <c r="AJ669" s="388">
        <f>G669-S669</f>
        <v>0</v>
      </c>
    </row>
    <row r="670" spans="1:36" x14ac:dyDescent="0.3">
      <c r="A670" s="192">
        <v>5831</v>
      </c>
      <c r="B670" s="192">
        <v>99</v>
      </c>
      <c r="C670" s="192">
        <v>0</v>
      </c>
      <c r="D670" s="192" t="s">
        <v>1699</v>
      </c>
      <c r="E670" s="192">
        <v>93996</v>
      </c>
      <c r="F670" s="192" t="s">
        <v>2206</v>
      </c>
      <c r="G670" s="290">
        <v>0.29160000000000003</v>
      </c>
      <c r="H670" s="192">
        <v>0</v>
      </c>
      <c r="I670" s="312">
        <v>2731</v>
      </c>
      <c r="J670" s="312">
        <v>2731</v>
      </c>
      <c r="K670" s="313">
        <v>32766.36</v>
      </c>
      <c r="L670" s="313">
        <v>37553.06</v>
      </c>
      <c r="M670" s="313">
        <v>38416.78</v>
      </c>
      <c r="N670" s="313">
        <v>38116.36</v>
      </c>
      <c r="O670" s="313">
        <v>2935.32</v>
      </c>
      <c r="P670" s="192">
        <v>12</v>
      </c>
      <c r="Q670" s="313">
        <v>2730.53</v>
      </c>
      <c r="R670" s="313">
        <v>37954.370000000003</v>
      </c>
      <c r="S670" s="285">
        <f t="shared" ref="S670:S733" si="65">G670*AD670/$AG$1</f>
        <v>0.29160000000000003</v>
      </c>
      <c r="U670" s="291">
        <v>2730.53</v>
      </c>
      <c r="V670" s="291">
        <v>2730.53</v>
      </c>
      <c r="W670" s="292">
        <v>32766.36</v>
      </c>
      <c r="X670" s="292">
        <v>32766.36</v>
      </c>
      <c r="Y670" s="292">
        <v>32766.36</v>
      </c>
      <c r="Z670" s="292">
        <v>37553.06</v>
      </c>
      <c r="AA670" s="290">
        <v>38416.780379999997</v>
      </c>
      <c r="AB670" s="285">
        <v>38116.355899999995</v>
      </c>
      <c r="AC670" s="290">
        <v>2935.32</v>
      </c>
      <c r="AD670" s="192">
        <v>12</v>
      </c>
      <c r="AE670" s="290">
        <v>2730.53</v>
      </c>
      <c r="AF670" s="194">
        <v>37954</v>
      </c>
      <c r="AG670" s="215"/>
      <c r="AJ670" s="388">
        <f t="shared" ref="AJ670:AJ733" si="66">G670-S670</f>
        <v>0</v>
      </c>
    </row>
    <row r="671" spans="1:36" x14ac:dyDescent="0.3">
      <c r="A671" s="192">
        <v>5831</v>
      </c>
      <c r="B671" s="192">
        <v>99</v>
      </c>
      <c r="C671" s="192">
        <v>0</v>
      </c>
      <c r="D671" s="192" t="s">
        <v>1699</v>
      </c>
      <c r="E671" s="192">
        <v>313429</v>
      </c>
      <c r="F671" s="192" t="s">
        <v>2207</v>
      </c>
      <c r="G671" s="290">
        <v>0.5</v>
      </c>
      <c r="H671" s="192">
        <v>0</v>
      </c>
      <c r="I671" s="312">
        <v>22377</v>
      </c>
      <c r="J671" s="312">
        <v>22377</v>
      </c>
      <c r="K671" s="313">
        <v>268519.56</v>
      </c>
      <c r="L671" s="313">
        <v>269299.95</v>
      </c>
      <c r="M671" s="313">
        <v>275493.84999999998</v>
      </c>
      <c r="N671" s="313">
        <v>273339.45</v>
      </c>
      <c r="O671" s="313">
        <v>22376.63</v>
      </c>
      <c r="P671" s="192">
        <v>12</v>
      </c>
      <c r="Q671" s="313">
        <v>22376.63</v>
      </c>
      <c r="R671" s="313">
        <v>290896.19</v>
      </c>
      <c r="S671" s="285">
        <f t="shared" si="65"/>
        <v>0.5</v>
      </c>
      <c r="U671" s="291">
        <v>22376.63</v>
      </c>
      <c r="V671" s="291">
        <v>22376.63</v>
      </c>
      <c r="W671" s="292">
        <v>268519.56</v>
      </c>
      <c r="X671" s="292">
        <v>268519.56</v>
      </c>
      <c r="Y671" s="292">
        <v>268519.56</v>
      </c>
      <c r="Z671" s="292">
        <v>269299.95</v>
      </c>
      <c r="AA671" s="290">
        <v>275493.84885000001</v>
      </c>
      <c r="AB671" s="285">
        <v>273339.44925000001</v>
      </c>
      <c r="AC671" s="290">
        <v>22376.63</v>
      </c>
      <c r="AD671" s="192">
        <v>12</v>
      </c>
      <c r="AE671" s="290">
        <v>22376.63</v>
      </c>
      <c r="AF671" s="194">
        <v>290896</v>
      </c>
      <c r="AG671" s="215"/>
      <c r="AJ671" s="388">
        <f t="shared" si="66"/>
        <v>0</v>
      </c>
    </row>
    <row r="672" spans="1:36" s="207" customFormat="1" x14ac:dyDescent="0.3">
      <c r="A672" s="207">
        <v>5832</v>
      </c>
      <c r="B672" s="207">
        <v>81</v>
      </c>
      <c r="C672" s="207">
        <v>5730</v>
      </c>
      <c r="D672" s="192" t="s">
        <v>1699</v>
      </c>
      <c r="E672" s="207">
        <v>5829047</v>
      </c>
      <c r="F672" s="207" t="s">
        <v>1509</v>
      </c>
      <c r="G672" s="305">
        <v>1</v>
      </c>
      <c r="H672" s="207">
        <v>7821.85</v>
      </c>
      <c r="I672" s="207">
        <v>415.41</v>
      </c>
      <c r="J672" s="207">
        <v>-100.4</v>
      </c>
      <c r="K672" s="207">
        <v>0</v>
      </c>
      <c r="L672" s="207">
        <v>0</v>
      </c>
      <c r="M672" s="207">
        <v>0</v>
      </c>
      <c r="N672" s="207">
        <v>129.5</v>
      </c>
      <c r="O672" s="207">
        <v>8266.36</v>
      </c>
      <c r="P672" s="207">
        <v>371</v>
      </c>
      <c r="Q672" s="207">
        <v>619.98</v>
      </c>
      <c r="R672" s="207">
        <v>0</v>
      </c>
      <c r="S672" s="285">
        <f t="shared" si="65"/>
        <v>0.5</v>
      </c>
      <c r="T672" s="207">
        <v>780.22</v>
      </c>
      <c r="U672" s="306">
        <v>10037.56</v>
      </c>
      <c r="V672" s="306">
        <v>10037.56</v>
      </c>
      <c r="W672" s="307">
        <v>128343.95999999999</v>
      </c>
      <c r="X672" s="307">
        <v>60225.36</v>
      </c>
      <c r="Y672" s="307">
        <v>126105.24</v>
      </c>
      <c r="Z672" s="307">
        <v>142223.04999999999</v>
      </c>
      <c r="AA672" s="305">
        <v>145701.86960999999</v>
      </c>
      <c r="AB672" s="305">
        <v>144562.46104999998</v>
      </c>
      <c r="AC672" s="305">
        <v>11000</v>
      </c>
      <c r="AD672" s="207">
        <v>6</v>
      </c>
      <c r="AE672" s="305"/>
      <c r="AF672" s="208">
        <v>66000</v>
      </c>
      <c r="AG672" s="207" t="s">
        <v>1372</v>
      </c>
      <c r="AJ672" s="388">
        <f t="shared" si="66"/>
        <v>0.5</v>
      </c>
    </row>
    <row r="673" spans="1:36" s="203" customFormat="1" x14ac:dyDescent="0.3">
      <c r="A673" s="203">
        <v>5830</v>
      </c>
      <c r="B673" s="203">
        <v>82</v>
      </c>
      <c r="C673" s="203">
        <v>9200</v>
      </c>
      <c r="D673" s="192" t="s">
        <v>1699</v>
      </c>
      <c r="E673" s="203">
        <v>5323084</v>
      </c>
      <c r="F673" s="203" t="s">
        <v>1624</v>
      </c>
      <c r="G673" s="298">
        <v>1</v>
      </c>
      <c r="H673" s="203">
        <v>9115.43</v>
      </c>
      <c r="I673" s="203">
        <v>2633.65</v>
      </c>
      <c r="J673" s="203">
        <v>525.29999999999995</v>
      </c>
      <c r="K673" s="203">
        <v>1100.81</v>
      </c>
      <c r="L673" s="203">
        <v>0</v>
      </c>
      <c r="M673" s="203">
        <v>0</v>
      </c>
      <c r="N673" s="203">
        <v>316.5</v>
      </c>
      <c r="O673" s="203">
        <v>13691.69</v>
      </c>
      <c r="P673" s="203">
        <v>784</v>
      </c>
      <c r="Q673" s="203">
        <v>1026.8800000000001</v>
      </c>
      <c r="R673" s="203">
        <v>0</v>
      </c>
      <c r="S673" s="285">
        <f t="shared" si="65"/>
        <v>0.66666666666666663</v>
      </c>
      <c r="T673" s="203">
        <v>1304.1300000000001</v>
      </c>
      <c r="U673" s="299">
        <v>16806.7</v>
      </c>
      <c r="V673" s="299">
        <v>16806.7</v>
      </c>
      <c r="W673" s="300">
        <v>189571.91999999998</v>
      </c>
      <c r="X673" s="300">
        <v>134453.6</v>
      </c>
      <c r="Y673" s="300">
        <v>200341.39999999997</v>
      </c>
      <c r="Z673" s="300">
        <v>210489.32</v>
      </c>
      <c r="AA673" s="298">
        <v>215310.10412999999</v>
      </c>
      <c r="AB673" s="298">
        <v>52617.327499999999</v>
      </c>
      <c r="AC673" s="298">
        <v>9000</v>
      </c>
      <c r="AD673" s="203">
        <v>8</v>
      </c>
      <c r="AE673" s="298"/>
      <c r="AF673" s="204">
        <v>72000</v>
      </c>
      <c r="AG673" s="203" t="s">
        <v>1625</v>
      </c>
      <c r="AJ673" s="388">
        <f t="shared" si="66"/>
        <v>0.33333333333333337</v>
      </c>
    </row>
    <row r="674" spans="1:36" s="203" customFormat="1" x14ac:dyDescent="0.3">
      <c r="A674" s="203">
        <v>5830</v>
      </c>
      <c r="B674" s="203">
        <v>82</v>
      </c>
      <c r="C674" s="203">
        <v>9200</v>
      </c>
      <c r="D674" s="192" t="s">
        <v>1699</v>
      </c>
      <c r="E674" s="203">
        <v>5716515</v>
      </c>
      <c r="F674" s="203" t="s">
        <v>1626</v>
      </c>
      <c r="G674" s="298">
        <v>1</v>
      </c>
      <c r="H674" s="203">
        <v>7982.6</v>
      </c>
      <c r="I674" s="203">
        <v>4178.47</v>
      </c>
      <c r="J674" s="203">
        <v>197.6</v>
      </c>
      <c r="K674" s="203">
        <v>1062.18</v>
      </c>
      <c r="L674" s="203">
        <v>0</v>
      </c>
      <c r="M674" s="203">
        <v>0</v>
      </c>
      <c r="N674" s="203">
        <v>36.5</v>
      </c>
      <c r="O674" s="203">
        <v>13457.35</v>
      </c>
      <c r="P674" s="203">
        <v>781.17</v>
      </c>
      <c r="Q674" s="203">
        <v>1013.07</v>
      </c>
      <c r="R674" s="203">
        <v>0</v>
      </c>
      <c r="S674" s="285">
        <f t="shared" si="65"/>
        <v>0.66666666666666663</v>
      </c>
      <c r="T674" s="203">
        <v>1383.26</v>
      </c>
      <c r="U674" s="299">
        <v>16634.849999999999</v>
      </c>
      <c r="V674" s="299">
        <v>16634.849999999999</v>
      </c>
      <c r="W674" s="300">
        <v>186104.52</v>
      </c>
      <c r="X674" s="300">
        <v>133078.79999999999</v>
      </c>
      <c r="Y674" s="300">
        <v>186607.48</v>
      </c>
      <c r="Z674" s="300">
        <v>196045.33</v>
      </c>
      <c r="AA674" s="298">
        <v>198597.03599999999</v>
      </c>
      <c r="AB674" s="298">
        <v>48533</v>
      </c>
      <c r="AC674" s="298">
        <v>9600</v>
      </c>
      <c r="AD674" s="203">
        <v>8</v>
      </c>
      <c r="AE674" s="298"/>
      <c r="AF674" s="204">
        <v>76800</v>
      </c>
      <c r="AG674" s="203" t="s">
        <v>1625</v>
      </c>
      <c r="AJ674" s="388">
        <f t="shared" si="66"/>
        <v>0.33333333333333337</v>
      </c>
    </row>
    <row r="675" spans="1:36" s="207" customFormat="1" x14ac:dyDescent="0.3">
      <c r="A675" s="207">
        <v>5830</v>
      </c>
      <c r="B675" s="207">
        <v>84</v>
      </c>
      <c r="C675" s="207">
        <v>5200</v>
      </c>
      <c r="D675" s="192" t="s">
        <v>1699</v>
      </c>
      <c r="E675" s="207">
        <v>5646423</v>
      </c>
      <c r="F675" s="207" t="s">
        <v>1680</v>
      </c>
      <c r="G675" s="305">
        <v>1</v>
      </c>
      <c r="H675" s="207">
        <v>11933.31</v>
      </c>
      <c r="I675" s="207">
        <v>729.19</v>
      </c>
      <c r="J675" s="207">
        <v>24.3</v>
      </c>
      <c r="K675" s="207">
        <v>0</v>
      </c>
      <c r="L675" s="207">
        <v>0</v>
      </c>
      <c r="M675" s="207">
        <v>0</v>
      </c>
      <c r="N675" s="207">
        <v>316.5</v>
      </c>
      <c r="O675" s="207">
        <v>13003.3</v>
      </c>
      <c r="P675" s="207">
        <v>732</v>
      </c>
      <c r="Q675" s="207">
        <v>975.25</v>
      </c>
      <c r="R675" s="207">
        <v>0</v>
      </c>
      <c r="S675" s="285">
        <f t="shared" si="65"/>
        <v>0.33333333333333331</v>
      </c>
      <c r="T675" s="207">
        <v>1225.1300000000001</v>
      </c>
      <c r="U675" s="306">
        <v>15935.68</v>
      </c>
      <c r="V675" s="306">
        <v>15935.68</v>
      </c>
      <c r="W675" s="307">
        <v>184357.91999999998</v>
      </c>
      <c r="X675" s="307">
        <v>63742.720000000001</v>
      </c>
      <c r="Y675" s="307">
        <v>189965.96</v>
      </c>
      <c r="Z675" s="307">
        <v>224897.36</v>
      </c>
      <c r="AA675" s="305">
        <v>230069.99927999996</v>
      </c>
      <c r="AB675" s="305">
        <v>56224.34</v>
      </c>
      <c r="AC675" s="305">
        <v>10500</v>
      </c>
      <c r="AD675" s="207">
        <v>4</v>
      </c>
      <c r="AE675" s="305"/>
      <c r="AF675" s="208">
        <v>42000</v>
      </c>
      <c r="AG675" s="207" t="s">
        <v>1681</v>
      </c>
      <c r="AH675" s="207" t="s">
        <v>1111</v>
      </c>
      <c r="AJ675" s="388">
        <f t="shared" si="66"/>
        <v>0.66666666666666674</v>
      </c>
    </row>
    <row r="676" spans="1:36" s="207" customFormat="1" x14ac:dyDescent="0.3">
      <c r="A676" s="207">
        <v>5830</v>
      </c>
      <c r="B676" s="207">
        <v>84</v>
      </c>
      <c r="C676" s="207">
        <v>5200</v>
      </c>
      <c r="D676" s="192" t="s">
        <v>1699</v>
      </c>
      <c r="E676" s="207">
        <v>6750162</v>
      </c>
      <c r="F676" s="207" t="s">
        <v>1683</v>
      </c>
      <c r="G676" s="305">
        <v>1</v>
      </c>
      <c r="H676" s="207">
        <v>6132.8</v>
      </c>
      <c r="I676" s="207">
        <v>374.32</v>
      </c>
      <c r="J676" s="207">
        <v>197.6</v>
      </c>
      <c r="K676" s="207">
        <v>0</v>
      </c>
      <c r="L676" s="207">
        <v>0</v>
      </c>
      <c r="M676" s="207">
        <v>0</v>
      </c>
      <c r="N676" s="207">
        <v>36.5</v>
      </c>
      <c r="O676" s="207">
        <v>6741.22</v>
      </c>
      <c r="P676" s="207">
        <v>258</v>
      </c>
      <c r="Q676" s="207">
        <v>507.49</v>
      </c>
      <c r="R676" s="207">
        <v>0</v>
      </c>
      <c r="S676" s="285">
        <f t="shared" si="65"/>
        <v>0.5</v>
      </c>
      <c r="T676" s="207">
        <v>617.88</v>
      </c>
      <c r="U676" s="306">
        <v>8124.59</v>
      </c>
      <c r="V676" s="306">
        <v>8124.59</v>
      </c>
      <c r="W676" s="307">
        <v>99294.24</v>
      </c>
      <c r="X676" s="307">
        <v>48747.54</v>
      </c>
      <c r="Y676" s="307">
        <v>100317.76000000001</v>
      </c>
      <c r="Z676" s="307">
        <v>113968.73</v>
      </c>
      <c r="AA676" s="305">
        <v>116590.01079</v>
      </c>
      <c r="AB676" s="305">
        <v>56984.365000000013</v>
      </c>
      <c r="AC676" s="305">
        <v>8274.52</v>
      </c>
      <c r="AD676" s="207">
        <v>6</v>
      </c>
      <c r="AE676" s="305"/>
      <c r="AF676" s="208">
        <v>49647.12</v>
      </c>
      <c r="AG676" s="207" t="s">
        <v>1684</v>
      </c>
      <c r="AH676" s="214">
        <v>35551</v>
      </c>
      <c r="AJ676" s="388">
        <f t="shared" si="66"/>
        <v>0.5</v>
      </c>
    </row>
    <row r="677" spans="1:36" x14ac:dyDescent="0.3">
      <c r="A677" s="192">
        <v>5831</v>
      </c>
      <c r="B677" s="192">
        <v>99</v>
      </c>
      <c r="C677" s="192">
        <v>0</v>
      </c>
      <c r="D677" s="192" t="s">
        <v>1699</v>
      </c>
      <c r="E677" s="192">
        <v>527226</v>
      </c>
      <c r="F677" s="192" t="s">
        <v>1701</v>
      </c>
      <c r="G677" s="290">
        <v>0.7</v>
      </c>
      <c r="H677" s="192">
        <v>4491.59</v>
      </c>
      <c r="I677" s="192">
        <v>0</v>
      </c>
      <c r="J677" s="192">
        <v>0</v>
      </c>
      <c r="K677" s="192">
        <v>0</v>
      </c>
      <c r="L677" s="192">
        <v>213.55</v>
      </c>
      <c r="M677" s="192">
        <v>0</v>
      </c>
      <c r="N677" s="192">
        <v>252</v>
      </c>
      <c r="O677" s="192">
        <v>4957.1400000000003</v>
      </c>
      <c r="P677" s="192">
        <v>0</v>
      </c>
      <c r="Q677" s="192">
        <v>383.04</v>
      </c>
      <c r="R677" s="192">
        <v>0</v>
      </c>
      <c r="S677" s="285">
        <f t="shared" si="65"/>
        <v>0.69999999999999984</v>
      </c>
      <c r="T677" s="192">
        <v>0</v>
      </c>
      <c r="U677" s="291">
        <v>5340.18</v>
      </c>
      <c r="V677" s="291">
        <v>5340.18</v>
      </c>
      <c r="W677" s="292">
        <v>63947.16</v>
      </c>
      <c r="X677" s="292">
        <v>64082.16</v>
      </c>
      <c r="Y677" s="292">
        <v>63992.160000000003</v>
      </c>
      <c r="Z677" s="292">
        <v>69655.259999999995</v>
      </c>
      <c r="AA677" s="290">
        <v>71257.330979999999</v>
      </c>
      <c r="AB677" s="285">
        <v>70700.088900000002</v>
      </c>
      <c r="AC677" s="290">
        <v>5328.93</v>
      </c>
      <c r="AD677" s="192">
        <v>12</v>
      </c>
      <c r="AE677" s="290">
        <v>5340.18</v>
      </c>
      <c r="AF677" s="194">
        <v>69287.34</v>
      </c>
      <c r="AG677" s="215"/>
      <c r="AJ677" s="388">
        <f t="shared" si="66"/>
        <v>0</v>
      </c>
    </row>
    <row r="678" spans="1:36" x14ac:dyDescent="0.3">
      <c r="A678" s="192">
        <v>5831</v>
      </c>
      <c r="B678" s="192">
        <v>99</v>
      </c>
      <c r="C678" s="192">
        <v>0</v>
      </c>
      <c r="D678" s="192" t="s">
        <v>1699</v>
      </c>
      <c r="E678" s="192">
        <v>539471</v>
      </c>
      <c r="F678" s="192" t="s">
        <v>1702</v>
      </c>
      <c r="G678" s="290">
        <v>0.504</v>
      </c>
      <c r="H678" s="192">
        <v>5206.18</v>
      </c>
      <c r="I678" s="192">
        <v>0</v>
      </c>
      <c r="J678" s="192">
        <v>0</v>
      </c>
      <c r="K678" s="192">
        <v>0</v>
      </c>
      <c r="L678" s="192">
        <v>137.54</v>
      </c>
      <c r="M678" s="192">
        <v>0</v>
      </c>
      <c r="N678" s="192">
        <v>0</v>
      </c>
      <c r="O678" s="192">
        <v>5343.72</v>
      </c>
      <c r="P678" s="192">
        <v>0</v>
      </c>
      <c r="Q678" s="192">
        <v>412.03</v>
      </c>
      <c r="R678" s="192">
        <v>0</v>
      </c>
      <c r="S678" s="285">
        <f t="shared" si="65"/>
        <v>0.504</v>
      </c>
      <c r="T678" s="192">
        <v>0</v>
      </c>
      <c r="U678" s="291">
        <v>5755.75</v>
      </c>
      <c r="V678" s="291">
        <v>5755.75</v>
      </c>
      <c r="W678" s="292">
        <v>68934</v>
      </c>
      <c r="X678" s="292">
        <v>69069</v>
      </c>
      <c r="Y678" s="292">
        <v>68979</v>
      </c>
      <c r="Z678" s="292">
        <v>72069.97</v>
      </c>
      <c r="AA678" s="290">
        <v>73727.579310000001</v>
      </c>
      <c r="AB678" s="285">
        <v>73151.019549999997</v>
      </c>
      <c r="AC678" s="290">
        <v>5744.5</v>
      </c>
      <c r="AD678" s="192">
        <v>12</v>
      </c>
      <c r="AE678" s="290">
        <v>5755.75</v>
      </c>
      <c r="AF678" s="194">
        <v>74689.75</v>
      </c>
      <c r="AG678" s="215"/>
      <c r="AJ678" s="388">
        <f t="shared" si="66"/>
        <v>0</v>
      </c>
    </row>
    <row r="679" spans="1:36" x14ac:dyDescent="0.3">
      <c r="A679" s="192">
        <v>5831</v>
      </c>
      <c r="B679" s="192">
        <v>99</v>
      </c>
      <c r="C679" s="192">
        <v>0</v>
      </c>
      <c r="D679" s="192" t="s">
        <v>1699</v>
      </c>
      <c r="E679" s="192">
        <v>578004</v>
      </c>
      <c r="F679" s="192" t="s">
        <v>1703</v>
      </c>
      <c r="G679" s="290">
        <v>0.77</v>
      </c>
      <c r="H679" s="192">
        <v>3762.11</v>
      </c>
      <c r="I679" s="192">
        <v>0</v>
      </c>
      <c r="J679" s="192">
        <v>0</v>
      </c>
      <c r="K679" s="192">
        <v>0</v>
      </c>
      <c r="L679" s="192">
        <v>110.22</v>
      </c>
      <c r="M679" s="192">
        <v>0</v>
      </c>
      <c r="N679" s="192">
        <v>0</v>
      </c>
      <c r="O679" s="192">
        <v>3872.33</v>
      </c>
      <c r="P679" s="192">
        <v>0</v>
      </c>
      <c r="Q679" s="192">
        <v>301.67</v>
      </c>
      <c r="R679" s="192">
        <v>0</v>
      </c>
      <c r="S679" s="285">
        <f t="shared" si="65"/>
        <v>0.77</v>
      </c>
      <c r="T679" s="192">
        <v>0</v>
      </c>
      <c r="U679" s="291">
        <v>4174</v>
      </c>
      <c r="V679" s="291">
        <v>4174</v>
      </c>
      <c r="W679" s="292">
        <v>49953</v>
      </c>
      <c r="X679" s="292">
        <v>50088</v>
      </c>
      <c r="Y679" s="292">
        <v>49998</v>
      </c>
      <c r="Z679" s="292">
        <v>52656.47</v>
      </c>
      <c r="AA679" s="290">
        <v>53867.568809999997</v>
      </c>
      <c r="AB679" s="285">
        <v>53446.317049999998</v>
      </c>
      <c r="AC679" s="290">
        <v>4162.75</v>
      </c>
      <c r="AD679" s="192">
        <v>12</v>
      </c>
      <c r="AE679" s="290">
        <v>4174</v>
      </c>
      <c r="AF679" s="194">
        <v>54127</v>
      </c>
      <c r="AG679" s="215"/>
      <c r="AJ679" s="388">
        <f t="shared" si="66"/>
        <v>0</v>
      </c>
    </row>
    <row r="680" spans="1:36" x14ac:dyDescent="0.3">
      <c r="A680" s="192">
        <v>5831</v>
      </c>
      <c r="B680" s="192">
        <v>99</v>
      </c>
      <c r="C680" s="192">
        <v>0</v>
      </c>
      <c r="D680" s="192" t="s">
        <v>1699</v>
      </c>
      <c r="E680" s="192">
        <v>583663</v>
      </c>
      <c r="F680" s="192" t="s">
        <v>1704</v>
      </c>
      <c r="G680" s="290">
        <v>0.66</v>
      </c>
      <c r="H680" s="192">
        <v>6924.22</v>
      </c>
      <c r="I680" s="192">
        <v>0</v>
      </c>
      <c r="J680" s="192">
        <v>0</v>
      </c>
      <c r="K680" s="192">
        <v>0</v>
      </c>
      <c r="L680" s="192">
        <v>183.02</v>
      </c>
      <c r="M680" s="192">
        <v>0</v>
      </c>
      <c r="N680" s="192">
        <v>0</v>
      </c>
      <c r="O680" s="192">
        <v>7107.24</v>
      </c>
      <c r="P680" s="192">
        <v>0</v>
      </c>
      <c r="Q680" s="192">
        <v>544.29</v>
      </c>
      <c r="R680" s="192">
        <v>0</v>
      </c>
      <c r="S680" s="285">
        <f t="shared" si="65"/>
        <v>0.66</v>
      </c>
      <c r="T680" s="192">
        <v>0</v>
      </c>
      <c r="U680" s="291">
        <v>7651.53</v>
      </c>
      <c r="V680" s="291">
        <v>7651.53</v>
      </c>
      <c r="W680" s="292">
        <v>91683.36</v>
      </c>
      <c r="X680" s="292">
        <v>91818.36</v>
      </c>
      <c r="Y680" s="292">
        <v>91728.36</v>
      </c>
      <c r="Z680" s="292">
        <v>96552.1</v>
      </c>
      <c r="AA680" s="290">
        <v>98772.798299999995</v>
      </c>
      <c r="AB680" s="285">
        <v>98000.381500000003</v>
      </c>
      <c r="AC680" s="290">
        <v>7640.28</v>
      </c>
      <c r="AD680" s="192">
        <v>12</v>
      </c>
      <c r="AE680" s="290">
        <v>7651.53</v>
      </c>
      <c r="AF680" s="194">
        <v>99334.89</v>
      </c>
      <c r="AG680" s="215"/>
      <c r="AJ680" s="388">
        <f t="shared" si="66"/>
        <v>0</v>
      </c>
    </row>
    <row r="681" spans="1:36" x14ac:dyDescent="0.3">
      <c r="A681" s="192">
        <v>5831</v>
      </c>
      <c r="B681" s="192">
        <v>99</v>
      </c>
      <c r="C681" s="192">
        <v>0</v>
      </c>
      <c r="D681" s="192" t="s">
        <v>1699</v>
      </c>
      <c r="E681" s="192">
        <v>587742</v>
      </c>
      <c r="F681" s="192" t="s">
        <v>1705</v>
      </c>
      <c r="G681" s="290">
        <v>0.7</v>
      </c>
      <c r="H681" s="192">
        <v>5939.94</v>
      </c>
      <c r="I681" s="192">
        <v>0</v>
      </c>
      <c r="J681" s="192">
        <v>0</v>
      </c>
      <c r="K681" s="192">
        <v>0</v>
      </c>
      <c r="L681" s="192">
        <v>189.7</v>
      </c>
      <c r="M681" s="192">
        <v>0</v>
      </c>
      <c r="N681" s="192">
        <v>0</v>
      </c>
      <c r="O681" s="192">
        <v>6129.64</v>
      </c>
      <c r="P681" s="192">
        <v>0</v>
      </c>
      <c r="Q681" s="192">
        <v>470.97</v>
      </c>
      <c r="R681" s="192">
        <v>0</v>
      </c>
      <c r="S681" s="285">
        <f t="shared" si="65"/>
        <v>0.69999999999999984</v>
      </c>
      <c r="T681" s="192">
        <v>0</v>
      </c>
      <c r="U681" s="291">
        <v>6600.61</v>
      </c>
      <c r="V681" s="291">
        <v>6600.61</v>
      </c>
      <c r="W681" s="292">
        <v>79072.319999999992</v>
      </c>
      <c r="X681" s="292">
        <v>79207.319999999992</v>
      </c>
      <c r="Y681" s="292">
        <v>79117.320000000007</v>
      </c>
      <c r="Z681" s="292">
        <v>89036.05</v>
      </c>
      <c r="AA681" s="290">
        <v>91083.879149999993</v>
      </c>
      <c r="AB681" s="285">
        <v>90371.590749999988</v>
      </c>
      <c r="AC681" s="290">
        <v>6589.36</v>
      </c>
      <c r="AD681" s="192">
        <v>12</v>
      </c>
      <c r="AE681" s="290">
        <v>6600.61</v>
      </c>
      <c r="AF681" s="194">
        <v>85672.93</v>
      </c>
      <c r="AG681" s="215"/>
      <c r="AJ681" s="388">
        <f t="shared" si="66"/>
        <v>0</v>
      </c>
    </row>
    <row r="682" spans="1:36" x14ac:dyDescent="0.3">
      <c r="A682" s="192">
        <v>5831</v>
      </c>
      <c r="B682" s="192">
        <v>99</v>
      </c>
      <c r="C682" s="192">
        <v>0</v>
      </c>
      <c r="D682" s="192" t="s">
        <v>1699</v>
      </c>
      <c r="E682" s="192">
        <v>589538</v>
      </c>
      <c r="F682" s="192" t="s">
        <v>1706</v>
      </c>
      <c r="G682" s="290">
        <v>0.6</v>
      </c>
      <c r="H682" s="192">
        <v>4887.22</v>
      </c>
      <c r="I682" s="192">
        <v>0</v>
      </c>
      <c r="J682" s="192">
        <v>0</v>
      </c>
      <c r="K682" s="192">
        <v>0</v>
      </c>
      <c r="L682" s="192">
        <v>183.51</v>
      </c>
      <c r="M682" s="192">
        <v>0</v>
      </c>
      <c r="N682" s="192">
        <v>0</v>
      </c>
      <c r="O682" s="192">
        <v>5070.7299999999996</v>
      </c>
      <c r="P682" s="192">
        <v>0</v>
      </c>
      <c r="Q682" s="192">
        <v>391.55</v>
      </c>
      <c r="R682" s="192">
        <v>0</v>
      </c>
      <c r="S682" s="285">
        <f t="shared" si="65"/>
        <v>0.6</v>
      </c>
      <c r="T682" s="192">
        <v>0</v>
      </c>
      <c r="U682" s="291">
        <v>5462.28</v>
      </c>
      <c r="V682" s="291">
        <v>5462.28</v>
      </c>
      <c r="W682" s="292">
        <v>65412.36</v>
      </c>
      <c r="X682" s="292">
        <v>65547.360000000001</v>
      </c>
      <c r="Y682" s="292">
        <v>65457.36</v>
      </c>
      <c r="Z682" s="292">
        <v>73923.509999999995</v>
      </c>
      <c r="AA682" s="290">
        <v>75623.750729999985</v>
      </c>
      <c r="AB682" s="285">
        <v>75032.362649999981</v>
      </c>
      <c r="AC682" s="290">
        <v>5451.03</v>
      </c>
      <c r="AD682" s="192">
        <v>12</v>
      </c>
      <c r="AE682" s="290">
        <v>5462.28</v>
      </c>
      <c r="AF682" s="194">
        <v>70874.64</v>
      </c>
      <c r="AG682" s="215"/>
      <c r="AJ682" s="388">
        <f t="shared" si="66"/>
        <v>0</v>
      </c>
    </row>
    <row r="683" spans="1:36" x14ac:dyDescent="0.3">
      <c r="A683" s="192">
        <v>5831</v>
      </c>
      <c r="B683" s="192">
        <v>99</v>
      </c>
      <c r="C683" s="192">
        <v>0</v>
      </c>
      <c r="D683" s="192" t="s">
        <v>1699</v>
      </c>
      <c r="E683" s="192">
        <v>631719</v>
      </c>
      <c r="F683" s="192" t="s">
        <v>1707</v>
      </c>
      <c r="G683" s="290">
        <v>0.95504</v>
      </c>
      <c r="H683" s="192">
        <v>7449.82</v>
      </c>
      <c r="I683" s="192">
        <v>467.67</v>
      </c>
      <c r="J683" s="192">
        <v>0</v>
      </c>
      <c r="K683" s="192">
        <v>0</v>
      </c>
      <c r="L683" s="192">
        <v>293.97000000000003</v>
      </c>
      <c r="M683" s="192">
        <v>0</v>
      </c>
      <c r="N683" s="192">
        <v>0</v>
      </c>
      <c r="O683" s="192">
        <v>8211.4599999999991</v>
      </c>
      <c r="P683" s="192">
        <v>0</v>
      </c>
      <c r="Q683" s="192">
        <v>0</v>
      </c>
      <c r="R683" s="192">
        <v>0</v>
      </c>
      <c r="S683" s="285">
        <f t="shared" si="65"/>
        <v>0.95504</v>
      </c>
      <c r="T683" s="192">
        <v>0</v>
      </c>
      <c r="U683" s="291">
        <v>8211.4599999999991</v>
      </c>
      <c r="V683" s="291">
        <v>8211.4599999999991</v>
      </c>
      <c r="W683" s="292">
        <v>111497.51999999999</v>
      </c>
      <c r="X683" s="292">
        <v>98537.51999999999</v>
      </c>
      <c r="Y683" s="292">
        <v>102857.52000000002</v>
      </c>
      <c r="Z683" s="292">
        <v>198908.73</v>
      </c>
      <c r="AA683" s="290">
        <v>205171.42733999999</v>
      </c>
      <c r="AB683" s="285">
        <v>203566.95869999999</v>
      </c>
      <c r="AC683" s="290">
        <v>8300</v>
      </c>
      <c r="AD683" s="192">
        <v>12</v>
      </c>
      <c r="AE683" s="290">
        <v>8211.4599999999991</v>
      </c>
      <c r="AF683" s="194">
        <v>107811.45999999999</v>
      </c>
      <c r="AG683" s="215"/>
      <c r="AJ683" s="388">
        <f t="shared" si="66"/>
        <v>0</v>
      </c>
    </row>
    <row r="684" spans="1:36" x14ac:dyDescent="0.3">
      <c r="A684" s="192">
        <v>5831</v>
      </c>
      <c r="B684" s="192">
        <v>99</v>
      </c>
      <c r="C684" s="192">
        <v>0</v>
      </c>
      <c r="D684" s="192" t="s">
        <v>1699</v>
      </c>
      <c r="E684" s="192">
        <v>803000</v>
      </c>
      <c r="F684" s="192" t="s">
        <v>1708</v>
      </c>
      <c r="G684" s="290">
        <v>0.55000000000000004</v>
      </c>
      <c r="H684" s="192">
        <v>4659.21</v>
      </c>
      <c r="I684" s="192">
        <v>0</v>
      </c>
      <c r="J684" s="192">
        <v>0</v>
      </c>
      <c r="K684" s="192">
        <v>0</v>
      </c>
      <c r="L684" s="192">
        <v>209.14</v>
      </c>
      <c r="M684" s="192">
        <v>0</v>
      </c>
      <c r="N684" s="192">
        <v>0</v>
      </c>
      <c r="O684" s="192">
        <v>4868.3500000000004</v>
      </c>
      <c r="P684" s="192">
        <v>0</v>
      </c>
      <c r="Q684" s="192">
        <v>376.38</v>
      </c>
      <c r="R684" s="192">
        <v>0</v>
      </c>
      <c r="S684" s="285">
        <f t="shared" si="65"/>
        <v>0.55000000000000004</v>
      </c>
      <c r="T684" s="192">
        <v>0</v>
      </c>
      <c r="U684" s="291">
        <v>5244.73</v>
      </c>
      <c r="V684" s="291">
        <v>5244.73</v>
      </c>
      <c r="W684" s="292">
        <v>62801.759999999995</v>
      </c>
      <c r="X684" s="292">
        <v>62936.759999999995</v>
      </c>
      <c r="Y684" s="292">
        <v>62846.760000000009</v>
      </c>
      <c r="Z684" s="292">
        <v>70623.83</v>
      </c>
      <c r="AA684" s="290">
        <v>72248.178090000001</v>
      </c>
      <c r="AB684" s="285">
        <v>71683.187449999998</v>
      </c>
      <c r="AC684" s="290">
        <v>5233.4799999999996</v>
      </c>
      <c r="AD684" s="192">
        <v>12</v>
      </c>
      <c r="AE684" s="290">
        <v>5244.73</v>
      </c>
      <c r="AF684" s="194">
        <v>68046.489999999991</v>
      </c>
      <c r="AG684" s="215"/>
      <c r="AJ684" s="388">
        <f t="shared" si="66"/>
        <v>0</v>
      </c>
    </row>
    <row r="685" spans="1:36" x14ac:dyDescent="0.3">
      <c r="A685" s="192">
        <v>5831</v>
      </c>
      <c r="B685" s="192">
        <v>99</v>
      </c>
      <c r="C685" s="192">
        <v>0</v>
      </c>
      <c r="D685" s="192" t="s">
        <v>1699</v>
      </c>
      <c r="E685" s="192">
        <v>891179</v>
      </c>
      <c r="F685" s="192" t="s">
        <v>1709</v>
      </c>
      <c r="G685" s="290">
        <v>0.7</v>
      </c>
      <c r="H685" s="192">
        <v>5677.52</v>
      </c>
      <c r="I685" s="192">
        <v>0</v>
      </c>
      <c r="J685" s="192">
        <v>0</v>
      </c>
      <c r="K685" s="192">
        <v>0</v>
      </c>
      <c r="L685" s="192">
        <v>158.94999999999999</v>
      </c>
      <c r="M685" s="192">
        <v>0</v>
      </c>
      <c r="N685" s="192">
        <v>0</v>
      </c>
      <c r="O685" s="192">
        <v>5836.47</v>
      </c>
      <c r="P685" s="192">
        <v>0</v>
      </c>
      <c r="Q685" s="192">
        <v>448.99</v>
      </c>
      <c r="R685" s="192">
        <v>0</v>
      </c>
      <c r="S685" s="285">
        <f t="shared" si="65"/>
        <v>0.69999999999999984</v>
      </c>
      <c r="T685" s="192">
        <v>0</v>
      </c>
      <c r="U685" s="291">
        <v>6285.46</v>
      </c>
      <c r="V685" s="291">
        <v>6285.46</v>
      </c>
      <c r="W685" s="292">
        <v>75290.52</v>
      </c>
      <c r="X685" s="292">
        <v>75425.52</v>
      </c>
      <c r="Y685" s="292">
        <v>75335.520000000004</v>
      </c>
      <c r="Z685" s="292">
        <v>85022.74</v>
      </c>
      <c r="AA685" s="290">
        <v>86978.263019999984</v>
      </c>
      <c r="AB685" s="285">
        <v>86298.081099999981</v>
      </c>
      <c r="AC685" s="290">
        <v>6274.21</v>
      </c>
      <c r="AD685" s="192">
        <v>12</v>
      </c>
      <c r="AE685" s="290">
        <v>6285.46</v>
      </c>
      <c r="AF685" s="194">
        <v>81575.98000000001</v>
      </c>
      <c r="AG685" s="215"/>
      <c r="AJ685" s="388">
        <f t="shared" si="66"/>
        <v>0</v>
      </c>
    </row>
    <row r="686" spans="1:36" x14ac:dyDescent="0.3">
      <c r="A686" s="192">
        <v>5831</v>
      </c>
      <c r="B686" s="192">
        <v>99</v>
      </c>
      <c r="C686" s="192">
        <v>0</v>
      </c>
      <c r="D686" s="192" t="s">
        <v>1699</v>
      </c>
      <c r="E686" s="192">
        <v>900376</v>
      </c>
      <c r="F686" s="192" t="s">
        <v>1710</v>
      </c>
      <c r="G686" s="290">
        <v>0.46500000000000002</v>
      </c>
      <c r="H686" s="192">
        <v>3272.59</v>
      </c>
      <c r="I686" s="192">
        <v>0</v>
      </c>
      <c r="J686" s="192">
        <v>0</v>
      </c>
      <c r="K686" s="192">
        <v>0</v>
      </c>
      <c r="L686" s="192">
        <v>95.88</v>
      </c>
      <c r="M686" s="192">
        <v>0</v>
      </c>
      <c r="N686" s="192">
        <v>0</v>
      </c>
      <c r="O686" s="192">
        <v>3368.47</v>
      </c>
      <c r="P686" s="192">
        <v>0</v>
      </c>
      <c r="Q686" s="192">
        <v>263.89</v>
      </c>
      <c r="R686" s="192">
        <v>0</v>
      </c>
      <c r="S686" s="285">
        <f t="shared" si="65"/>
        <v>0.46500000000000002</v>
      </c>
      <c r="T686" s="192">
        <v>0</v>
      </c>
      <c r="U686" s="291">
        <v>3632.36</v>
      </c>
      <c r="V686" s="291">
        <v>3632.36</v>
      </c>
      <c r="W686" s="292">
        <v>43453.32</v>
      </c>
      <c r="X686" s="292">
        <v>43588.32</v>
      </c>
      <c r="Y686" s="292">
        <v>43498.32</v>
      </c>
      <c r="Z686" s="292">
        <v>47562.62</v>
      </c>
      <c r="AA686" s="290">
        <v>48656.560259999998</v>
      </c>
      <c r="AB686" s="285">
        <v>48276.059300000001</v>
      </c>
      <c r="AC686" s="290">
        <v>3621.11</v>
      </c>
      <c r="AD686" s="192">
        <v>12</v>
      </c>
      <c r="AE686" s="290">
        <v>3632.36</v>
      </c>
      <c r="AF686" s="194">
        <v>47085.68</v>
      </c>
      <c r="AG686" s="215"/>
      <c r="AJ686" s="388">
        <f t="shared" si="66"/>
        <v>0</v>
      </c>
    </row>
    <row r="687" spans="1:36" x14ac:dyDescent="0.3">
      <c r="A687" s="192">
        <v>5831</v>
      </c>
      <c r="B687" s="192">
        <v>99</v>
      </c>
      <c r="C687" s="192">
        <v>0</v>
      </c>
      <c r="D687" s="192" t="s">
        <v>1699</v>
      </c>
      <c r="E687" s="192">
        <v>921654</v>
      </c>
      <c r="F687" s="192" t="s">
        <v>1711</v>
      </c>
      <c r="G687" s="290">
        <v>0.52700000000000002</v>
      </c>
      <c r="H687" s="192">
        <v>3523.21</v>
      </c>
      <c r="I687" s="192">
        <v>0</v>
      </c>
      <c r="J687" s="192">
        <v>0</v>
      </c>
      <c r="K687" s="192">
        <v>0</v>
      </c>
      <c r="L687" s="192">
        <v>131.06</v>
      </c>
      <c r="M687" s="192">
        <v>0</v>
      </c>
      <c r="N687" s="192">
        <v>0</v>
      </c>
      <c r="O687" s="192">
        <v>3654.27</v>
      </c>
      <c r="P687" s="192">
        <v>0</v>
      </c>
      <c r="Q687" s="192">
        <v>285.32</v>
      </c>
      <c r="R687" s="192">
        <v>0</v>
      </c>
      <c r="S687" s="285">
        <f t="shared" si="65"/>
        <v>0.52700000000000002</v>
      </c>
      <c r="T687" s="192">
        <v>0</v>
      </c>
      <c r="U687" s="291">
        <v>3939.59</v>
      </c>
      <c r="V687" s="291">
        <v>3939.59</v>
      </c>
      <c r="W687" s="292">
        <v>47140.08</v>
      </c>
      <c r="X687" s="292">
        <v>47275.08</v>
      </c>
      <c r="Y687" s="292">
        <v>47185.08</v>
      </c>
      <c r="Z687" s="292">
        <v>54232.49</v>
      </c>
      <c r="AA687" s="290">
        <v>55479.837269999996</v>
      </c>
      <c r="AB687" s="285">
        <v>55045.977349999994</v>
      </c>
      <c r="AC687" s="290">
        <v>3928.34</v>
      </c>
      <c r="AD687" s="192">
        <v>12</v>
      </c>
      <c r="AE687" s="290">
        <v>3939.59</v>
      </c>
      <c r="AF687" s="194">
        <v>51079.67</v>
      </c>
      <c r="AG687" s="215"/>
      <c r="AJ687" s="388">
        <f t="shared" si="66"/>
        <v>0</v>
      </c>
    </row>
    <row r="688" spans="1:36" x14ac:dyDescent="0.3">
      <c r="A688" s="192">
        <v>5831</v>
      </c>
      <c r="B688" s="192">
        <v>99</v>
      </c>
      <c r="C688" s="192">
        <v>0</v>
      </c>
      <c r="D688" s="192" t="s">
        <v>1699</v>
      </c>
      <c r="E688" s="192">
        <v>923118</v>
      </c>
      <c r="F688" s="192" t="s">
        <v>1712</v>
      </c>
      <c r="G688" s="290">
        <v>0.27600000000000002</v>
      </c>
      <c r="H688" s="192">
        <v>2831.08</v>
      </c>
      <c r="I688" s="192">
        <v>0</v>
      </c>
      <c r="J688" s="192">
        <v>0</v>
      </c>
      <c r="K688" s="192">
        <v>0</v>
      </c>
      <c r="L688" s="192">
        <v>82.94</v>
      </c>
      <c r="M688" s="192">
        <v>0</v>
      </c>
      <c r="N688" s="192">
        <v>0</v>
      </c>
      <c r="O688" s="192">
        <v>2914.02</v>
      </c>
      <c r="P688" s="192">
        <v>0</v>
      </c>
      <c r="Q688" s="192">
        <v>0</v>
      </c>
      <c r="R688" s="192">
        <v>0</v>
      </c>
      <c r="S688" s="285">
        <f t="shared" si="65"/>
        <v>0.27600000000000002</v>
      </c>
      <c r="T688" s="192">
        <v>0</v>
      </c>
      <c r="U688" s="291">
        <v>2914.02</v>
      </c>
      <c r="V688" s="291">
        <v>2914.02</v>
      </c>
      <c r="W688" s="292">
        <v>34968.239999999998</v>
      </c>
      <c r="X688" s="292">
        <v>34968.239999999998</v>
      </c>
      <c r="Y688" s="292">
        <v>34968.239999999998</v>
      </c>
      <c r="Z688" s="292">
        <v>38942.82</v>
      </c>
      <c r="AA688" s="290">
        <v>39838.504859999994</v>
      </c>
      <c r="AB688" s="285">
        <v>39526.962299999999</v>
      </c>
      <c r="AC688" s="290">
        <v>2914.02</v>
      </c>
      <c r="AD688" s="192">
        <v>12</v>
      </c>
      <c r="AE688" s="290">
        <v>2914.02</v>
      </c>
      <c r="AF688" s="194">
        <v>37882.259999999995</v>
      </c>
      <c r="AG688" s="215"/>
      <c r="AJ688" s="388">
        <f t="shared" si="66"/>
        <v>0</v>
      </c>
    </row>
    <row r="689" spans="1:36" x14ac:dyDescent="0.3">
      <c r="A689" s="192">
        <v>5831</v>
      </c>
      <c r="B689" s="192">
        <v>99</v>
      </c>
      <c r="C689" s="192">
        <v>0</v>
      </c>
      <c r="D689" s="192" t="s">
        <v>1699</v>
      </c>
      <c r="E689" s="192">
        <v>956649</v>
      </c>
      <c r="F689" s="192" t="s">
        <v>1713</v>
      </c>
      <c r="G689" s="290">
        <v>0.67</v>
      </c>
      <c r="H689" s="192">
        <v>4878.93</v>
      </c>
      <c r="I689" s="192">
        <v>0</v>
      </c>
      <c r="J689" s="192">
        <v>0</v>
      </c>
      <c r="K689" s="192">
        <v>0</v>
      </c>
      <c r="L689" s="192">
        <v>244.12</v>
      </c>
      <c r="M689" s="192">
        <v>0</v>
      </c>
      <c r="N689" s="192">
        <v>0</v>
      </c>
      <c r="O689" s="192">
        <v>5123.05</v>
      </c>
      <c r="P689" s="192">
        <v>0</v>
      </c>
      <c r="Q689" s="192">
        <v>395.48</v>
      </c>
      <c r="R689" s="192">
        <v>0</v>
      </c>
      <c r="S689" s="285">
        <f t="shared" si="65"/>
        <v>0.67</v>
      </c>
      <c r="T689" s="192">
        <v>0</v>
      </c>
      <c r="U689" s="291">
        <v>5518.53</v>
      </c>
      <c r="V689" s="291">
        <v>5518.53</v>
      </c>
      <c r="W689" s="292">
        <v>66087.360000000001</v>
      </c>
      <c r="X689" s="292">
        <v>66222.36</v>
      </c>
      <c r="Y689" s="292">
        <v>66132.36</v>
      </c>
      <c r="Z689" s="292">
        <v>71503.839999999997</v>
      </c>
      <c r="AA689" s="290">
        <v>73148.428319999992</v>
      </c>
      <c r="AB689" s="285">
        <v>72576.397599999997</v>
      </c>
      <c r="AC689" s="290">
        <v>5507.28</v>
      </c>
      <c r="AD689" s="192">
        <v>12</v>
      </c>
      <c r="AE689" s="290">
        <v>5518.53</v>
      </c>
      <c r="AF689" s="194">
        <v>71605.89</v>
      </c>
      <c r="AG689" s="215"/>
      <c r="AJ689" s="388">
        <f t="shared" si="66"/>
        <v>0</v>
      </c>
    </row>
    <row r="690" spans="1:36" x14ac:dyDescent="0.3">
      <c r="A690" s="192">
        <v>5831</v>
      </c>
      <c r="B690" s="192">
        <v>99</v>
      </c>
      <c r="C690" s="192">
        <v>0</v>
      </c>
      <c r="D690" s="192" t="s">
        <v>1699</v>
      </c>
      <c r="E690" s="192">
        <v>1023027</v>
      </c>
      <c r="F690" s="192" t="s">
        <v>1700</v>
      </c>
      <c r="G690" s="290">
        <v>0.433</v>
      </c>
      <c r="H690" s="192">
        <v>3308.83</v>
      </c>
      <c r="I690" s="192">
        <v>0</v>
      </c>
      <c r="J690" s="192">
        <v>0</v>
      </c>
      <c r="K690" s="192">
        <v>0</v>
      </c>
      <c r="L690" s="192">
        <v>135.13999999999999</v>
      </c>
      <c r="M690" s="192">
        <v>0</v>
      </c>
      <c r="N690" s="192">
        <v>0</v>
      </c>
      <c r="O690" s="192">
        <v>3443.97</v>
      </c>
      <c r="P690" s="192">
        <v>0</v>
      </c>
      <c r="Q690" s="192">
        <v>269.55</v>
      </c>
      <c r="R690" s="192">
        <v>0</v>
      </c>
      <c r="S690" s="285">
        <f t="shared" si="65"/>
        <v>0.433</v>
      </c>
      <c r="T690" s="192">
        <v>0</v>
      </c>
      <c r="U690" s="291">
        <v>3713.52</v>
      </c>
      <c r="V690" s="291">
        <v>3713.52</v>
      </c>
      <c r="W690" s="292">
        <v>44427.24</v>
      </c>
      <c r="X690" s="292">
        <v>44562.239999999998</v>
      </c>
      <c r="Y690" s="292">
        <v>44472.24</v>
      </c>
      <c r="Z690" s="292">
        <v>47644.34</v>
      </c>
      <c r="AA690" s="290">
        <v>48740.159820000001</v>
      </c>
      <c r="AB690" s="285">
        <v>48359.005100000002</v>
      </c>
      <c r="AC690" s="290">
        <v>3702.27</v>
      </c>
      <c r="AD690" s="192">
        <v>12</v>
      </c>
      <c r="AE690" s="290">
        <v>3713.52</v>
      </c>
      <c r="AF690" s="194">
        <v>48140.759999999995</v>
      </c>
      <c r="AG690" s="215"/>
      <c r="AJ690" s="388">
        <f t="shared" si="66"/>
        <v>0</v>
      </c>
    </row>
    <row r="691" spans="1:36" x14ac:dyDescent="0.3">
      <c r="A691" s="192">
        <v>5831</v>
      </c>
      <c r="B691" s="192">
        <v>99</v>
      </c>
      <c r="C691" s="192">
        <v>0</v>
      </c>
      <c r="D691" s="192" t="s">
        <v>1699</v>
      </c>
      <c r="E691" s="192">
        <v>1076895</v>
      </c>
      <c r="F691" s="192" t="s">
        <v>1714</v>
      </c>
      <c r="G691" s="290">
        <v>0.72</v>
      </c>
      <c r="H691" s="192">
        <v>2816.78</v>
      </c>
      <c r="I691" s="192">
        <v>125</v>
      </c>
      <c r="J691" s="192">
        <v>0</v>
      </c>
      <c r="K691" s="192">
        <v>0</v>
      </c>
      <c r="L691" s="192">
        <v>81.61</v>
      </c>
      <c r="M691" s="192">
        <v>0</v>
      </c>
      <c r="N691" s="192">
        <v>0</v>
      </c>
      <c r="O691" s="192">
        <v>3023.39</v>
      </c>
      <c r="P691" s="192">
        <v>0</v>
      </c>
      <c r="Q691" s="192">
        <v>238</v>
      </c>
      <c r="R691" s="192">
        <v>0</v>
      </c>
      <c r="S691" s="285">
        <f t="shared" si="65"/>
        <v>0.72000000000000008</v>
      </c>
      <c r="T691" s="192">
        <v>0</v>
      </c>
      <c r="U691" s="291">
        <v>3261.39</v>
      </c>
      <c r="V691" s="291">
        <v>3261.39</v>
      </c>
      <c r="W691" s="292">
        <v>39001.68</v>
      </c>
      <c r="X691" s="292">
        <v>39136.68</v>
      </c>
      <c r="Y691" s="292">
        <v>39046.68</v>
      </c>
      <c r="Z691" s="292">
        <v>42401.49</v>
      </c>
      <c r="AA691" s="290">
        <v>43376.724269999999</v>
      </c>
      <c r="AB691" s="285">
        <v>43037.512350000005</v>
      </c>
      <c r="AC691" s="290">
        <v>3250.14</v>
      </c>
      <c r="AD691" s="192">
        <v>12</v>
      </c>
      <c r="AE691" s="290">
        <v>3261.39</v>
      </c>
      <c r="AF691" s="194">
        <v>42263.07</v>
      </c>
      <c r="AG691" s="215"/>
      <c r="AJ691" s="388">
        <f t="shared" si="66"/>
        <v>0</v>
      </c>
    </row>
    <row r="692" spans="1:36" x14ac:dyDescent="0.3">
      <c r="A692" s="192">
        <v>5831</v>
      </c>
      <c r="B692" s="192">
        <v>99</v>
      </c>
      <c r="C692" s="192">
        <v>0</v>
      </c>
      <c r="D692" s="192" t="s">
        <v>1699</v>
      </c>
      <c r="E692" s="192">
        <v>1239336</v>
      </c>
      <c r="F692" s="192" t="s">
        <v>1715</v>
      </c>
      <c r="G692" s="290">
        <v>0.56999999999999995</v>
      </c>
      <c r="H692" s="192">
        <v>5266.03</v>
      </c>
      <c r="I692" s="192">
        <v>0</v>
      </c>
      <c r="J692" s="192">
        <v>0</v>
      </c>
      <c r="K692" s="192">
        <v>0</v>
      </c>
      <c r="L692" s="192">
        <v>151.38999999999999</v>
      </c>
      <c r="M692" s="192">
        <v>0</v>
      </c>
      <c r="N692" s="192">
        <v>0</v>
      </c>
      <c r="O692" s="192">
        <v>5417.42</v>
      </c>
      <c r="P692" s="192">
        <v>0</v>
      </c>
      <c r="Q692" s="192">
        <v>417.56</v>
      </c>
      <c r="R692" s="192">
        <v>0</v>
      </c>
      <c r="S692" s="285">
        <f t="shared" si="65"/>
        <v>0.56999999999999995</v>
      </c>
      <c r="T692" s="192">
        <v>0</v>
      </c>
      <c r="U692" s="291">
        <v>5834.98</v>
      </c>
      <c r="V692" s="291">
        <v>5834.98</v>
      </c>
      <c r="W692" s="292">
        <v>69884.759999999995</v>
      </c>
      <c r="X692" s="292">
        <v>70019.759999999995</v>
      </c>
      <c r="Y692" s="292">
        <v>69929.759999999995</v>
      </c>
      <c r="Z692" s="292">
        <v>74457.02</v>
      </c>
      <c r="AA692" s="290">
        <v>76169.531459999998</v>
      </c>
      <c r="AB692" s="285">
        <v>75573.8753</v>
      </c>
      <c r="AC692" s="290">
        <v>5823.73</v>
      </c>
      <c r="AD692" s="192">
        <v>12</v>
      </c>
      <c r="AE692" s="290">
        <v>5834.98</v>
      </c>
      <c r="AF692" s="194">
        <v>75719.739999999991</v>
      </c>
      <c r="AG692" s="215"/>
      <c r="AJ692" s="388">
        <f t="shared" si="66"/>
        <v>0</v>
      </c>
    </row>
    <row r="693" spans="1:36" x14ac:dyDescent="0.3">
      <c r="A693" s="192">
        <v>5831</v>
      </c>
      <c r="B693" s="192">
        <v>99</v>
      </c>
      <c r="C693" s="192">
        <v>0</v>
      </c>
      <c r="D693" s="192" t="s">
        <v>1699</v>
      </c>
      <c r="E693" s="192">
        <v>1298395</v>
      </c>
      <c r="F693" s="192" t="s">
        <v>1716</v>
      </c>
      <c r="G693" s="290">
        <v>0.64</v>
      </c>
      <c r="H693" s="192">
        <v>7941.41</v>
      </c>
      <c r="I693" s="192">
        <v>0</v>
      </c>
      <c r="J693" s="192">
        <v>0</v>
      </c>
      <c r="K693" s="192">
        <v>0</v>
      </c>
      <c r="L693" s="192">
        <v>226.36</v>
      </c>
      <c r="M693" s="192">
        <v>0</v>
      </c>
      <c r="N693" s="192">
        <v>0</v>
      </c>
      <c r="O693" s="192">
        <v>8167.77</v>
      </c>
      <c r="P693" s="192">
        <v>0</v>
      </c>
      <c r="Q693" s="192">
        <v>623.83000000000004</v>
      </c>
      <c r="R693" s="192">
        <v>0</v>
      </c>
      <c r="S693" s="285">
        <f t="shared" si="65"/>
        <v>0.64</v>
      </c>
      <c r="T693" s="192">
        <v>0</v>
      </c>
      <c r="U693" s="291">
        <v>8791.6</v>
      </c>
      <c r="V693" s="291">
        <v>8791.6</v>
      </c>
      <c r="W693" s="292">
        <v>105364.20000000001</v>
      </c>
      <c r="X693" s="292">
        <v>105499.20000000001</v>
      </c>
      <c r="Y693" s="292">
        <v>105409.20000000001</v>
      </c>
      <c r="Z693" s="292">
        <v>115953.97</v>
      </c>
      <c r="AA693" s="290">
        <v>118620.91131</v>
      </c>
      <c r="AB693" s="285">
        <v>117693.27954999999</v>
      </c>
      <c r="AC693" s="290">
        <v>8780.35</v>
      </c>
      <c r="AD693" s="192">
        <v>12</v>
      </c>
      <c r="AE693" s="290">
        <v>8791.6</v>
      </c>
      <c r="AF693" s="194">
        <v>114155.80000000002</v>
      </c>
      <c r="AG693" s="215"/>
      <c r="AJ693" s="388">
        <f t="shared" si="66"/>
        <v>0</v>
      </c>
    </row>
    <row r="694" spans="1:36" x14ac:dyDescent="0.3">
      <c r="A694" s="192">
        <v>5831</v>
      </c>
      <c r="B694" s="192">
        <v>99</v>
      </c>
      <c r="C694" s="192">
        <v>0</v>
      </c>
      <c r="D694" s="192" t="s">
        <v>1699</v>
      </c>
      <c r="E694" s="192">
        <v>1349220</v>
      </c>
      <c r="F694" s="192" t="s">
        <v>1717</v>
      </c>
      <c r="G694" s="290">
        <v>0.40244000000000002</v>
      </c>
      <c r="H694" s="192">
        <v>3898.02</v>
      </c>
      <c r="I694" s="192">
        <v>0</v>
      </c>
      <c r="J694" s="192">
        <v>0</v>
      </c>
      <c r="K694" s="192">
        <v>0</v>
      </c>
      <c r="L694" s="192">
        <v>117.72</v>
      </c>
      <c r="M694" s="192">
        <v>0</v>
      </c>
      <c r="N694" s="192">
        <v>0</v>
      </c>
      <c r="O694" s="192">
        <v>4015.74</v>
      </c>
      <c r="P694" s="192">
        <v>0</v>
      </c>
      <c r="Q694" s="192">
        <v>312.43</v>
      </c>
      <c r="R694" s="192">
        <v>0</v>
      </c>
      <c r="S694" s="285">
        <f t="shared" si="65"/>
        <v>0.40244000000000008</v>
      </c>
      <c r="T694" s="192">
        <v>0</v>
      </c>
      <c r="U694" s="291">
        <v>4328.17</v>
      </c>
      <c r="V694" s="291">
        <v>4328.17</v>
      </c>
      <c r="W694" s="292">
        <v>51803.040000000001</v>
      </c>
      <c r="X694" s="292">
        <v>51938.04</v>
      </c>
      <c r="Y694" s="292">
        <v>51848.04</v>
      </c>
      <c r="Z694" s="292">
        <v>55091.88</v>
      </c>
      <c r="AA694" s="290">
        <v>56358.993239999989</v>
      </c>
      <c r="AB694" s="285">
        <v>55918.258199999989</v>
      </c>
      <c r="AC694" s="290">
        <v>4316.92</v>
      </c>
      <c r="AD694" s="192">
        <v>12</v>
      </c>
      <c r="AE694" s="290">
        <v>4328.17</v>
      </c>
      <c r="AF694" s="194">
        <v>56131.21</v>
      </c>
      <c r="AG694" s="215"/>
      <c r="AJ694" s="388">
        <f t="shared" si="66"/>
        <v>0</v>
      </c>
    </row>
    <row r="695" spans="1:36" x14ac:dyDescent="0.3">
      <c r="A695" s="192">
        <v>5831</v>
      </c>
      <c r="B695" s="192">
        <v>99</v>
      </c>
      <c r="C695" s="192">
        <v>0</v>
      </c>
      <c r="D695" s="192" t="s">
        <v>1699</v>
      </c>
      <c r="E695" s="192">
        <v>1498741</v>
      </c>
      <c r="F695" s="192" t="s">
        <v>1718</v>
      </c>
      <c r="G695" s="290">
        <v>0.26363999999999999</v>
      </c>
      <c r="H695" s="192">
        <v>1580.92</v>
      </c>
      <c r="I695" s="192">
        <v>0</v>
      </c>
      <c r="J695" s="192">
        <v>0</v>
      </c>
      <c r="K695" s="192">
        <v>0</v>
      </c>
      <c r="L695" s="192">
        <v>45.06</v>
      </c>
      <c r="M695" s="192">
        <v>0</v>
      </c>
      <c r="N695" s="192">
        <v>0</v>
      </c>
      <c r="O695" s="192">
        <v>1625.98</v>
      </c>
      <c r="P695" s="192">
        <v>0</v>
      </c>
      <c r="Q695" s="192">
        <v>133.19999999999999</v>
      </c>
      <c r="R695" s="192">
        <v>0</v>
      </c>
      <c r="S695" s="285">
        <f t="shared" si="65"/>
        <v>0.26363999999999999</v>
      </c>
      <c r="T695" s="192">
        <v>0</v>
      </c>
      <c r="U695" s="291">
        <v>1759.18</v>
      </c>
      <c r="V695" s="291">
        <v>1759.18</v>
      </c>
      <c r="W695" s="292">
        <v>20975.16</v>
      </c>
      <c r="X695" s="292">
        <v>21110.16</v>
      </c>
      <c r="Y695" s="292">
        <v>21020.16</v>
      </c>
      <c r="Z695" s="292">
        <v>23283.19</v>
      </c>
      <c r="AA695" s="290">
        <v>23818.703369999999</v>
      </c>
      <c r="AB695" s="285">
        <v>23632.437849999998</v>
      </c>
      <c r="AC695" s="290">
        <v>1747.93</v>
      </c>
      <c r="AD695" s="192">
        <v>12</v>
      </c>
      <c r="AE695" s="290">
        <v>1759.18</v>
      </c>
      <c r="AF695" s="194">
        <v>22734.34</v>
      </c>
      <c r="AG695" s="215"/>
      <c r="AJ695" s="388">
        <f t="shared" si="66"/>
        <v>0</v>
      </c>
    </row>
    <row r="696" spans="1:36" x14ac:dyDescent="0.3">
      <c r="A696" s="192">
        <v>5831</v>
      </c>
      <c r="B696" s="192">
        <v>99</v>
      </c>
      <c r="C696" s="192">
        <v>0</v>
      </c>
      <c r="D696" s="192" t="s">
        <v>1699</v>
      </c>
      <c r="E696" s="192">
        <v>1550630</v>
      </c>
      <c r="F696" s="192" t="s">
        <v>1719</v>
      </c>
      <c r="G696" s="290">
        <v>0</v>
      </c>
      <c r="H696" s="192">
        <v>0</v>
      </c>
      <c r="I696" s="192">
        <v>0</v>
      </c>
      <c r="J696" s="192">
        <v>0</v>
      </c>
      <c r="K696" s="192">
        <v>0</v>
      </c>
      <c r="L696" s="192">
        <v>0</v>
      </c>
      <c r="M696" s="192">
        <v>0</v>
      </c>
      <c r="N696" s="192">
        <v>1360</v>
      </c>
      <c r="O696" s="192">
        <v>1360</v>
      </c>
      <c r="P696" s="192">
        <v>0</v>
      </c>
      <c r="Q696" s="192">
        <v>113.25</v>
      </c>
      <c r="R696" s="192">
        <v>0</v>
      </c>
      <c r="S696" s="285">
        <f t="shared" si="65"/>
        <v>0</v>
      </c>
      <c r="T696" s="192">
        <v>0</v>
      </c>
      <c r="U696" s="291">
        <v>1473.25</v>
      </c>
      <c r="V696" s="291">
        <v>1473.25</v>
      </c>
      <c r="W696" s="292">
        <v>17544</v>
      </c>
      <c r="X696" s="292">
        <v>17679</v>
      </c>
      <c r="Y696" s="292">
        <v>17589</v>
      </c>
      <c r="Z696" s="292">
        <v>19229.05</v>
      </c>
      <c r="AA696" s="290">
        <v>19671.318149999999</v>
      </c>
      <c r="AB696" s="285">
        <v>19517.485749999996</v>
      </c>
      <c r="AC696" s="290">
        <v>1462</v>
      </c>
      <c r="AD696" s="192">
        <v>12</v>
      </c>
      <c r="AE696" s="290">
        <v>1473.25</v>
      </c>
      <c r="AF696" s="194">
        <v>19017.25</v>
      </c>
      <c r="AG696" s="215"/>
      <c r="AJ696" s="388">
        <f t="shared" si="66"/>
        <v>0</v>
      </c>
    </row>
    <row r="697" spans="1:36" x14ac:dyDescent="0.3">
      <c r="A697" s="192">
        <v>5831</v>
      </c>
      <c r="B697" s="192">
        <v>99</v>
      </c>
      <c r="C697" s="192">
        <v>0</v>
      </c>
      <c r="D697" s="192" t="s">
        <v>1699</v>
      </c>
      <c r="E697" s="192">
        <v>1596922</v>
      </c>
      <c r="F697" s="192" t="s">
        <v>1720</v>
      </c>
      <c r="G697" s="290">
        <v>0.22167999999999999</v>
      </c>
      <c r="H697" s="192">
        <v>1744.97</v>
      </c>
      <c r="I697" s="192">
        <v>0</v>
      </c>
      <c r="J697" s="192">
        <v>0</v>
      </c>
      <c r="K697" s="192">
        <v>0</v>
      </c>
      <c r="L697" s="192">
        <v>51.7</v>
      </c>
      <c r="M697" s="192">
        <v>0</v>
      </c>
      <c r="N697" s="192">
        <v>0</v>
      </c>
      <c r="O697" s="192">
        <v>1796.67</v>
      </c>
      <c r="P697" s="192">
        <v>0</v>
      </c>
      <c r="Q697" s="192">
        <v>146</v>
      </c>
      <c r="R697" s="192">
        <v>0</v>
      </c>
      <c r="S697" s="285">
        <f t="shared" si="65"/>
        <v>0.22167999999999999</v>
      </c>
      <c r="T697" s="192">
        <v>0</v>
      </c>
      <c r="U697" s="291">
        <v>1942.67</v>
      </c>
      <c r="V697" s="291">
        <v>1942.67</v>
      </c>
      <c r="W697" s="292">
        <v>23177.040000000001</v>
      </c>
      <c r="X697" s="292">
        <v>23312.04</v>
      </c>
      <c r="Y697" s="292">
        <v>23222.04</v>
      </c>
      <c r="Z697" s="292">
        <v>24963.71</v>
      </c>
      <c r="AA697" s="290">
        <v>25537.875329999995</v>
      </c>
      <c r="AB697" s="285">
        <v>25338.165649999995</v>
      </c>
      <c r="AC697" s="290">
        <v>1931.42</v>
      </c>
      <c r="AD697" s="192">
        <v>12</v>
      </c>
      <c r="AE697" s="290">
        <v>1942.67</v>
      </c>
      <c r="AF697" s="194">
        <v>25119.71</v>
      </c>
      <c r="AG697" s="215"/>
      <c r="AJ697" s="388">
        <f t="shared" si="66"/>
        <v>0</v>
      </c>
    </row>
    <row r="698" spans="1:36" x14ac:dyDescent="0.3">
      <c r="A698" s="192">
        <v>5831</v>
      </c>
      <c r="B698" s="192">
        <v>99</v>
      </c>
      <c r="C698" s="192">
        <v>0</v>
      </c>
      <c r="D698" s="192" t="s">
        <v>1699</v>
      </c>
      <c r="E698" s="192">
        <v>2242141</v>
      </c>
      <c r="F698" s="192" t="s">
        <v>1721</v>
      </c>
      <c r="G698" s="290">
        <v>0.52080000000000004</v>
      </c>
      <c r="H698" s="192">
        <v>3386.44</v>
      </c>
      <c r="I698" s="192">
        <v>0</v>
      </c>
      <c r="J698" s="192">
        <v>0</v>
      </c>
      <c r="K698" s="192">
        <v>0</v>
      </c>
      <c r="L698" s="192">
        <v>126.58</v>
      </c>
      <c r="M698" s="192">
        <v>0</v>
      </c>
      <c r="N698" s="192">
        <v>0</v>
      </c>
      <c r="O698" s="192">
        <v>3513.02</v>
      </c>
      <c r="P698" s="192">
        <v>0</v>
      </c>
      <c r="Q698" s="192">
        <v>274.73</v>
      </c>
      <c r="R698" s="192">
        <v>0</v>
      </c>
      <c r="S698" s="285">
        <f t="shared" si="65"/>
        <v>0.52080000000000004</v>
      </c>
      <c r="T698" s="192">
        <v>0</v>
      </c>
      <c r="U698" s="291">
        <v>3787.75</v>
      </c>
      <c r="V698" s="291">
        <v>3787.75</v>
      </c>
      <c r="W698" s="292">
        <v>45318</v>
      </c>
      <c r="X698" s="292">
        <v>45453</v>
      </c>
      <c r="Y698" s="292">
        <v>45363</v>
      </c>
      <c r="Z698" s="292">
        <v>52265</v>
      </c>
      <c r="AA698" s="290">
        <v>53467.094999999994</v>
      </c>
      <c r="AB698" s="285">
        <v>53048.974999999991</v>
      </c>
      <c r="AC698" s="290">
        <v>3776.5</v>
      </c>
      <c r="AD698" s="192">
        <v>12</v>
      </c>
      <c r="AE698" s="290">
        <v>3787.75</v>
      </c>
      <c r="AF698" s="194">
        <v>49105.75</v>
      </c>
      <c r="AG698" s="215"/>
      <c r="AJ698" s="388">
        <f t="shared" si="66"/>
        <v>0</v>
      </c>
    </row>
    <row r="699" spans="1:36" x14ac:dyDescent="0.3">
      <c r="A699" s="192">
        <v>5831</v>
      </c>
      <c r="B699" s="192">
        <v>99</v>
      </c>
      <c r="C699" s="192">
        <v>0</v>
      </c>
      <c r="D699" s="192" t="s">
        <v>1699</v>
      </c>
      <c r="E699" s="192">
        <v>2418162</v>
      </c>
      <c r="F699" s="192" t="s">
        <v>1722</v>
      </c>
      <c r="G699" s="290">
        <v>0.38766</v>
      </c>
      <c r="H699" s="192">
        <v>3569.11</v>
      </c>
      <c r="I699" s="192">
        <v>0</v>
      </c>
      <c r="J699" s="192">
        <v>0</v>
      </c>
      <c r="K699" s="192">
        <v>0</v>
      </c>
      <c r="L699" s="192">
        <v>203.69</v>
      </c>
      <c r="M699" s="192">
        <v>0</v>
      </c>
      <c r="N699" s="192">
        <v>0</v>
      </c>
      <c r="O699" s="192">
        <v>3772.8</v>
      </c>
      <c r="P699" s="192">
        <v>0</v>
      </c>
      <c r="Q699" s="192">
        <v>0</v>
      </c>
      <c r="R699" s="192">
        <v>0</v>
      </c>
      <c r="S699" s="285">
        <f t="shared" si="65"/>
        <v>0.38766000000000006</v>
      </c>
      <c r="T699" s="192">
        <v>0</v>
      </c>
      <c r="U699" s="291">
        <v>3772.8</v>
      </c>
      <c r="V699" s="291">
        <v>3772.8</v>
      </c>
      <c r="W699" s="292">
        <v>45273.600000000006</v>
      </c>
      <c r="X699" s="292">
        <v>45273.600000000006</v>
      </c>
      <c r="Y699" s="292">
        <v>45273.599999999999</v>
      </c>
      <c r="Z699" s="292">
        <v>47160.85</v>
      </c>
      <c r="AA699" s="290">
        <v>48245.549549999996</v>
      </c>
      <c r="AB699" s="285">
        <v>47868.262749999994</v>
      </c>
      <c r="AC699" s="290">
        <v>3772.8</v>
      </c>
      <c r="AD699" s="192">
        <v>12</v>
      </c>
      <c r="AE699" s="290">
        <v>3772.8</v>
      </c>
      <c r="AF699" s="194">
        <v>49046.400000000009</v>
      </c>
      <c r="AG699" s="215"/>
      <c r="AJ699" s="388">
        <f t="shared" si="66"/>
        <v>0</v>
      </c>
    </row>
    <row r="700" spans="1:36" x14ac:dyDescent="0.3">
      <c r="A700" s="192">
        <v>5831</v>
      </c>
      <c r="B700" s="192">
        <v>99</v>
      </c>
      <c r="C700" s="192">
        <v>0</v>
      </c>
      <c r="D700" s="192" t="s">
        <v>1699</v>
      </c>
      <c r="E700" s="192">
        <v>2672687</v>
      </c>
      <c r="F700" s="192" t="s">
        <v>1723</v>
      </c>
      <c r="G700" s="290">
        <v>0.21299999999999999</v>
      </c>
      <c r="H700" s="192">
        <v>1196.5899999999999</v>
      </c>
      <c r="I700" s="192">
        <v>0</v>
      </c>
      <c r="J700" s="192">
        <v>0</v>
      </c>
      <c r="K700" s="192">
        <v>0</v>
      </c>
      <c r="L700" s="192">
        <v>30.56</v>
      </c>
      <c r="M700" s="192">
        <v>0</v>
      </c>
      <c r="N700" s="192">
        <v>0</v>
      </c>
      <c r="O700" s="192">
        <v>1227.1500000000001</v>
      </c>
      <c r="P700" s="192">
        <v>0</v>
      </c>
      <c r="Q700" s="192">
        <v>0</v>
      </c>
      <c r="R700" s="192">
        <v>0</v>
      </c>
      <c r="S700" s="285">
        <f t="shared" si="65"/>
        <v>0.21299999999999999</v>
      </c>
      <c r="T700" s="192">
        <v>0</v>
      </c>
      <c r="U700" s="291">
        <v>1227.1500000000001</v>
      </c>
      <c r="V700" s="291">
        <v>1227.1500000000001</v>
      </c>
      <c r="W700" s="292">
        <v>14725.800000000001</v>
      </c>
      <c r="X700" s="292">
        <v>14725.800000000001</v>
      </c>
      <c r="Y700" s="292">
        <v>14725.8</v>
      </c>
      <c r="Z700" s="292">
        <v>16611.3</v>
      </c>
      <c r="AA700" s="290">
        <v>16993.359899999999</v>
      </c>
      <c r="AB700" s="285">
        <v>16860.469499999999</v>
      </c>
      <c r="AC700" s="290">
        <v>1227.1500000000001</v>
      </c>
      <c r="AD700" s="192">
        <v>12</v>
      </c>
      <c r="AE700" s="290">
        <v>1227.1500000000001</v>
      </c>
      <c r="AF700" s="194">
        <v>15952.95</v>
      </c>
      <c r="AG700" s="215"/>
      <c r="AJ700" s="388">
        <f t="shared" si="66"/>
        <v>0</v>
      </c>
    </row>
    <row r="701" spans="1:36" x14ac:dyDescent="0.3">
      <c r="A701" s="192">
        <v>5831</v>
      </c>
      <c r="B701" s="192">
        <v>99</v>
      </c>
      <c r="C701" s="192">
        <v>0</v>
      </c>
      <c r="D701" s="192" t="s">
        <v>1699</v>
      </c>
      <c r="E701" s="192">
        <v>2674295</v>
      </c>
      <c r="F701" s="192" t="s">
        <v>1724</v>
      </c>
      <c r="G701" s="290">
        <v>0.7</v>
      </c>
      <c r="H701" s="192">
        <v>8672.4</v>
      </c>
      <c r="I701" s="192">
        <v>2331</v>
      </c>
      <c r="J701" s="192">
        <v>0</v>
      </c>
      <c r="K701" s="192">
        <v>0</v>
      </c>
      <c r="L701" s="192">
        <v>343.15</v>
      </c>
      <c r="M701" s="192">
        <v>0</v>
      </c>
      <c r="N701" s="192">
        <v>0</v>
      </c>
      <c r="O701" s="192">
        <v>11346.55</v>
      </c>
      <c r="P701" s="192">
        <v>0</v>
      </c>
      <c r="Q701" s="192">
        <v>862.24</v>
      </c>
      <c r="R701" s="192">
        <v>0</v>
      </c>
      <c r="S701" s="285">
        <f t="shared" si="65"/>
        <v>0.69999999999999984</v>
      </c>
      <c r="T701" s="192">
        <v>0</v>
      </c>
      <c r="U701" s="291">
        <v>12208.79</v>
      </c>
      <c r="V701" s="291">
        <v>12208.79</v>
      </c>
      <c r="W701" s="292">
        <v>146370.48000000001</v>
      </c>
      <c r="X701" s="292">
        <v>146505.48000000001</v>
      </c>
      <c r="Y701" s="292">
        <v>146415.48000000001</v>
      </c>
      <c r="Z701" s="292">
        <v>159396.64000000001</v>
      </c>
      <c r="AA701" s="290">
        <v>163062.76271999997</v>
      </c>
      <c r="AB701" s="285">
        <v>161787.58959999998</v>
      </c>
      <c r="AC701" s="290">
        <v>12197.54</v>
      </c>
      <c r="AD701" s="192">
        <v>12</v>
      </c>
      <c r="AE701" s="290">
        <v>12208.79</v>
      </c>
      <c r="AF701" s="194">
        <v>158579.27000000002</v>
      </c>
      <c r="AG701" s="215"/>
      <c r="AJ701" s="388">
        <f t="shared" si="66"/>
        <v>0</v>
      </c>
    </row>
    <row r="702" spans="1:36" x14ac:dyDescent="0.3">
      <c r="A702" s="192">
        <v>5831</v>
      </c>
      <c r="B702" s="192">
        <v>99</v>
      </c>
      <c r="C702" s="192">
        <v>0</v>
      </c>
      <c r="D702" s="192" t="s">
        <v>1699</v>
      </c>
      <c r="E702" s="192">
        <v>2682390</v>
      </c>
      <c r="F702" s="192" t="s">
        <v>1725</v>
      </c>
      <c r="G702" s="290">
        <v>0.4</v>
      </c>
      <c r="H702" s="192">
        <v>2896.77</v>
      </c>
      <c r="I702" s="192">
        <v>0</v>
      </c>
      <c r="J702" s="192">
        <v>0</v>
      </c>
      <c r="K702" s="192">
        <v>0</v>
      </c>
      <c r="L702" s="192">
        <v>135.04</v>
      </c>
      <c r="M702" s="192">
        <v>0</v>
      </c>
      <c r="N702" s="192">
        <v>196</v>
      </c>
      <c r="O702" s="192">
        <v>3227.81</v>
      </c>
      <c r="P702" s="192">
        <v>0</v>
      </c>
      <c r="Q702" s="192">
        <v>0</v>
      </c>
      <c r="R702" s="192">
        <v>0</v>
      </c>
      <c r="S702" s="285">
        <f t="shared" si="65"/>
        <v>0.40000000000000008</v>
      </c>
      <c r="T702" s="192">
        <v>0</v>
      </c>
      <c r="U702" s="291">
        <v>3227.81</v>
      </c>
      <c r="V702" s="291">
        <v>3227.81</v>
      </c>
      <c r="W702" s="292">
        <v>38733.72</v>
      </c>
      <c r="X702" s="292">
        <v>38733.72</v>
      </c>
      <c r="Y702" s="292">
        <v>38733.72</v>
      </c>
      <c r="Z702" s="292">
        <v>41954.65</v>
      </c>
      <c r="AA702" s="290">
        <v>42919.606950000001</v>
      </c>
      <c r="AB702" s="285">
        <v>42583.969749999997</v>
      </c>
      <c r="AC702" s="290">
        <v>3227.81</v>
      </c>
      <c r="AD702" s="192">
        <v>12</v>
      </c>
      <c r="AE702" s="290">
        <v>3227.81</v>
      </c>
      <c r="AF702" s="194">
        <v>41961.53</v>
      </c>
      <c r="AG702" s="215"/>
      <c r="AJ702" s="388">
        <f t="shared" si="66"/>
        <v>0</v>
      </c>
    </row>
    <row r="703" spans="1:36" x14ac:dyDescent="0.3">
      <c r="A703" s="192">
        <v>5831</v>
      </c>
      <c r="B703" s="192">
        <v>99</v>
      </c>
      <c r="C703" s="192">
        <v>0</v>
      </c>
      <c r="D703" s="192" t="s">
        <v>1699</v>
      </c>
      <c r="E703" s="192">
        <v>2682393</v>
      </c>
      <c r="F703" s="192" t="s">
        <v>1726</v>
      </c>
      <c r="G703" s="290">
        <v>0.13500000000000001</v>
      </c>
      <c r="H703" s="192">
        <v>748.49</v>
      </c>
      <c r="I703" s="192">
        <v>0</v>
      </c>
      <c r="J703" s="192">
        <v>0</v>
      </c>
      <c r="K703" s="192">
        <v>0</v>
      </c>
      <c r="L703" s="192">
        <v>19.55</v>
      </c>
      <c r="M703" s="192">
        <v>0</v>
      </c>
      <c r="N703" s="192">
        <v>0</v>
      </c>
      <c r="O703" s="192">
        <v>768.04</v>
      </c>
      <c r="P703" s="192">
        <v>0</v>
      </c>
      <c r="Q703" s="192">
        <v>68.849999999999994</v>
      </c>
      <c r="R703" s="192">
        <v>0</v>
      </c>
      <c r="S703" s="285">
        <f t="shared" si="65"/>
        <v>0.13500000000000001</v>
      </c>
      <c r="T703" s="192">
        <v>0</v>
      </c>
      <c r="U703" s="291">
        <v>836.89</v>
      </c>
      <c r="V703" s="291">
        <v>836.89</v>
      </c>
      <c r="W703" s="292">
        <v>9907.68</v>
      </c>
      <c r="X703" s="292">
        <v>10042.68</v>
      </c>
      <c r="Y703" s="292">
        <v>9952.68</v>
      </c>
      <c r="Z703" s="292">
        <v>11201.12</v>
      </c>
      <c r="AA703" s="290">
        <v>11458.74576</v>
      </c>
      <c r="AB703" s="285">
        <v>11369.1368</v>
      </c>
      <c r="AC703" s="290">
        <v>825.64</v>
      </c>
      <c r="AD703" s="192">
        <v>12</v>
      </c>
      <c r="AE703" s="290">
        <v>836.89</v>
      </c>
      <c r="AF703" s="194">
        <v>10744.57</v>
      </c>
      <c r="AG703" s="215"/>
      <c r="AJ703" s="388">
        <f t="shared" si="66"/>
        <v>0</v>
      </c>
    </row>
    <row r="704" spans="1:36" x14ac:dyDescent="0.3">
      <c r="A704" s="192">
        <v>5831</v>
      </c>
      <c r="B704" s="192">
        <v>99</v>
      </c>
      <c r="C704" s="192">
        <v>0</v>
      </c>
      <c r="D704" s="192" t="s">
        <v>1699</v>
      </c>
      <c r="E704" s="192">
        <v>2682395</v>
      </c>
      <c r="F704" s="192" t="s">
        <v>1727</v>
      </c>
      <c r="G704" s="290">
        <v>0.42</v>
      </c>
      <c r="H704" s="192">
        <v>2252.42</v>
      </c>
      <c r="I704" s="192">
        <v>0</v>
      </c>
      <c r="J704" s="192">
        <v>0</v>
      </c>
      <c r="K704" s="192">
        <v>0</v>
      </c>
      <c r="L704" s="192">
        <v>72.510000000000005</v>
      </c>
      <c r="M704" s="192">
        <v>0</v>
      </c>
      <c r="N704" s="192">
        <v>0</v>
      </c>
      <c r="O704" s="192">
        <v>2324.9299999999998</v>
      </c>
      <c r="P704" s="192">
        <v>0</v>
      </c>
      <c r="Q704" s="192">
        <v>0</v>
      </c>
      <c r="R704" s="192">
        <v>0</v>
      </c>
      <c r="S704" s="285">
        <f t="shared" si="65"/>
        <v>0.42</v>
      </c>
      <c r="T704" s="192">
        <v>0</v>
      </c>
      <c r="U704" s="291">
        <v>2324.9299999999998</v>
      </c>
      <c r="V704" s="291">
        <v>2324.9299999999998</v>
      </c>
      <c r="W704" s="292">
        <v>27899.159999999996</v>
      </c>
      <c r="X704" s="292">
        <v>27899.159999999996</v>
      </c>
      <c r="Y704" s="292">
        <v>27899.159999999996</v>
      </c>
      <c r="Z704" s="292">
        <v>30903.51</v>
      </c>
      <c r="AA704" s="290">
        <v>31614.290729999997</v>
      </c>
      <c r="AB704" s="285">
        <v>31367.062649999996</v>
      </c>
      <c r="AC704" s="290">
        <v>2324.9299999999998</v>
      </c>
      <c r="AD704" s="192">
        <v>12</v>
      </c>
      <c r="AE704" s="290">
        <v>2324.9299999999998</v>
      </c>
      <c r="AF704" s="194">
        <v>30224.089999999997</v>
      </c>
      <c r="AG704" s="215"/>
      <c r="AJ704" s="388">
        <f t="shared" si="66"/>
        <v>0</v>
      </c>
    </row>
    <row r="705" spans="1:36" x14ac:dyDescent="0.3">
      <c r="A705" s="192">
        <v>5831</v>
      </c>
      <c r="B705" s="192">
        <v>99</v>
      </c>
      <c r="C705" s="192">
        <v>0</v>
      </c>
      <c r="D705" s="192" t="s">
        <v>1699</v>
      </c>
      <c r="E705" s="192">
        <v>2682756</v>
      </c>
      <c r="F705" s="192" t="s">
        <v>1728</v>
      </c>
      <c r="G705" s="290">
        <v>0.39500000000000002</v>
      </c>
      <c r="H705" s="192">
        <v>2466.9499999999998</v>
      </c>
      <c r="I705" s="192">
        <v>0</v>
      </c>
      <c r="J705" s="192">
        <v>0</v>
      </c>
      <c r="K705" s="192">
        <v>0</v>
      </c>
      <c r="L705" s="192">
        <v>141</v>
      </c>
      <c r="M705" s="192">
        <v>0</v>
      </c>
      <c r="N705" s="192">
        <v>0</v>
      </c>
      <c r="O705" s="192">
        <v>2607.9499999999998</v>
      </c>
      <c r="P705" s="192">
        <v>0</v>
      </c>
      <c r="Q705" s="192">
        <v>206.85</v>
      </c>
      <c r="R705" s="192">
        <v>0</v>
      </c>
      <c r="S705" s="285">
        <f t="shared" si="65"/>
        <v>0.39500000000000002</v>
      </c>
      <c r="T705" s="192">
        <v>0</v>
      </c>
      <c r="U705" s="291">
        <v>2814.8</v>
      </c>
      <c r="V705" s="291">
        <v>2814.8</v>
      </c>
      <c r="W705" s="292">
        <v>33642.600000000006</v>
      </c>
      <c r="X705" s="292">
        <v>33777.600000000006</v>
      </c>
      <c r="Y705" s="292">
        <v>33687.599999999999</v>
      </c>
      <c r="Z705" s="292">
        <v>36279.269999999997</v>
      </c>
      <c r="AA705" s="290">
        <v>37113.69320999999</v>
      </c>
      <c r="AB705" s="285">
        <v>36823.45904999999</v>
      </c>
      <c r="AC705" s="290">
        <v>2803.55</v>
      </c>
      <c r="AD705" s="192">
        <v>12</v>
      </c>
      <c r="AE705" s="290">
        <v>2814.8</v>
      </c>
      <c r="AF705" s="194">
        <v>36457.400000000009</v>
      </c>
      <c r="AG705" s="215"/>
      <c r="AJ705" s="388">
        <f t="shared" si="66"/>
        <v>0</v>
      </c>
    </row>
    <row r="706" spans="1:36" x14ac:dyDescent="0.3">
      <c r="A706" s="192">
        <v>5831</v>
      </c>
      <c r="B706" s="192">
        <v>99</v>
      </c>
      <c r="C706" s="192">
        <v>0</v>
      </c>
      <c r="D706" s="192" t="s">
        <v>1699</v>
      </c>
      <c r="E706" s="192">
        <v>2683284</v>
      </c>
      <c r="F706" s="192" t="s">
        <v>1729</v>
      </c>
      <c r="G706" s="290">
        <v>0.63</v>
      </c>
      <c r="H706" s="192">
        <v>4033.77</v>
      </c>
      <c r="I706" s="192">
        <v>0</v>
      </c>
      <c r="J706" s="192">
        <v>0</v>
      </c>
      <c r="K706" s="192">
        <v>0</v>
      </c>
      <c r="L706" s="192">
        <v>150.1</v>
      </c>
      <c r="M706" s="192">
        <v>0</v>
      </c>
      <c r="N706" s="192">
        <v>0</v>
      </c>
      <c r="O706" s="192">
        <v>4183.87</v>
      </c>
      <c r="P706" s="192">
        <v>0</v>
      </c>
      <c r="Q706" s="192">
        <v>325.04000000000002</v>
      </c>
      <c r="R706" s="192">
        <v>0</v>
      </c>
      <c r="S706" s="285">
        <f t="shared" si="65"/>
        <v>0.63</v>
      </c>
      <c r="T706" s="192">
        <v>0</v>
      </c>
      <c r="U706" s="291">
        <v>4508.91</v>
      </c>
      <c r="V706" s="291">
        <v>4508.91</v>
      </c>
      <c r="W706" s="292">
        <v>53971.92</v>
      </c>
      <c r="X706" s="292">
        <v>54106.92</v>
      </c>
      <c r="Y706" s="292">
        <v>54016.92</v>
      </c>
      <c r="Z706" s="292">
        <v>62427.22</v>
      </c>
      <c r="AA706" s="290">
        <v>63863.046059999993</v>
      </c>
      <c r="AB706" s="285">
        <v>63363.628299999997</v>
      </c>
      <c r="AC706" s="290">
        <v>4497.66</v>
      </c>
      <c r="AD706" s="192">
        <v>12</v>
      </c>
      <c r="AE706" s="290">
        <v>4508.91</v>
      </c>
      <c r="AF706" s="194">
        <v>58480.83</v>
      </c>
      <c r="AG706" s="215"/>
      <c r="AJ706" s="388">
        <f t="shared" si="66"/>
        <v>0</v>
      </c>
    </row>
    <row r="707" spans="1:36" x14ac:dyDescent="0.3">
      <c r="A707" s="192">
        <v>5831</v>
      </c>
      <c r="B707" s="192">
        <v>99</v>
      </c>
      <c r="C707" s="192">
        <v>0</v>
      </c>
      <c r="D707" s="192" t="s">
        <v>1699</v>
      </c>
      <c r="E707" s="192">
        <v>2683657</v>
      </c>
      <c r="F707" s="192" t="s">
        <v>1730</v>
      </c>
      <c r="G707" s="290">
        <v>0.40799999999999997</v>
      </c>
      <c r="H707" s="192">
        <v>3605.55</v>
      </c>
      <c r="I707" s="192">
        <v>0</v>
      </c>
      <c r="J707" s="192">
        <v>0</v>
      </c>
      <c r="K707" s="192">
        <v>0</v>
      </c>
      <c r="L707" s="192">
        <v>103.99</v>
      </c>
      <c r="M707" s="192">
        <v>0</v>
      </c>
      <c r="N707" s="192">
        <v>124</v>
      </c>
      <c r="O707" s="192">
        <v>3833.54</v>
      </c>
      <c r="P707" s="192">
        <v>0</v>
      </c>
      <c r="Q707" s="192">
        <v>0</v>
      </c>
      <c r="R707" s="192">
        <v>0</v>
      </c>
      <c r="S707" s="285">
        <f t="shared" si="65"/>
        <v>0.40799999999999997</v>
      </c>
      <c r="T707" s="192">
        <v>0</v>
      </c>
      <c r="U707" s="291">
        <v>3833.54</v>
      </c>
      <c r="V707" s="291">
        <v>3833.54</v>
      </c>
      <c r="W707" s="292">
        <v>46002.479999999996</v>
      </c>
      <c r="X707" s="292">
        <v>46002.479999999996</v>
      </c>
      <c r="Y707" s="292">
        <v>46002.48</v>
      </c>
      <c r="Z707" s="292">
        <v>51887.14</v>
      </c>
      <c r="AA707" s="290">
        <v>53080.544219999996</v>
      </c>
      <c r="AB707" s="285">
        <v>52665.447099999998</v>
      </c>
      <c r="AC707" s="290">
        <v>3833.54</v>
      </c>
      <c r="AD707" s="192">
        <v>12</v>
      </c>
      <c r="AE707" s="290">
        <v>3833.54</v>
      </c>
      <c r="AF707" s="194">
        <v>49836.02</v>
      </c>
      <c r="AG707" s="215"/>
      <c r="AJ707" s="388">
        <f t="shared" si="66"/>
        <v>0</v>
      </c>
    </row>
    <row r="708" spans="1:36" x14ac:dyDescent="0.3">
      <c r="A708" s="192">
        <v>5831</v>
      </c>
      <c r="B708" s="192">
        <v>99</v>
      </c>
      <c r="C708" s="192">
        <v>0</v>
      </c>
      <c r="D708" s="192" t="s">
        <v>1699</v>
      </c>
      <c r="E708" s="192">
        <v>2686265</v>
      </c>
      <c r="F708" s="192" t="s">
        <v>1731</v>
      </c>
      <c r="G708" s="290">
        <v>0.35499999999999998</v>
      </c>
      <c r="H708" s="192">
        <v>2110.5300000000002</v>
      </c>
      <c r="I708" s="192">
        <v>0</v>
      </c>
      <c r="J708" s="192">
        <v>0</v>
      </c>
      <c r="K708" s="192">
        <v>0</v>
      </c>
      <c r="L708" s="192">
        <v>221.14</v>
      </c>
      <c r="M708" s="192">
        <v>0</v>
      </c>
      <c r="N708" s="192">
        <v>0</v>
      </c>
      <c r="O708" s="192">
        <v>2331.67</v>
      </c>
      <c r="P708" s="192">
        <v>0</v>
      </c>
      <c r="Q708" s="192">
        <v>186.13</v>
      </c>
      <c r="R708" s="192">
        <v>0</v>
      </c>
      <c r="S708" s="285">
        <f t="shared" si="65"/>
        <v>0.35499999999999998</v>
      </c>
      <c r="T708" s="192">
        <v>0</v>
      </c>
      <c r="U708" s="291">
        <v>2517.8000000000002</v>
      </c>
      <c r="V708" s="291">
        <v>2517.8000000000002</v>
      </c>
      <c r="W708" s="292">
        <v>30078.600000000002</v>
      </c>
      <c r="X708" s="292">
        <v>30213.600000000002</v>
      </c>
      <c r="Y708" s="292">
        <v>30123.599999999999</v>
      </c>
      <c r="Z708" s="292">
        <v>32827.800000000003</v>
      </c>
      <c r="AA708" s="290">
        <v>33582.83939999999</v>
      </c>
      <c r="AB708" s="285">
        <v>33320.21699999999</v>
      </c>
      <c r="AC708" s="290">
        <v>2506.5500000000002</v>
      </c>
      <c r="AD708" s="192">
        <v>12</v>
      </c>
      <c r="AE708" s="290">
        <v>2517.8000000000002</v>
      </c>
      <c r="AF708" s="194">
        <v>32596.400000000001</v>
      </c>
      <c r="AG708" s="215"/>
      <c r="AJ708" s="388">
        <f t="shared" si="66"/>
        <v>0</v>
      </c>
    </row>
    <row r="709" spans="1:36" x14ac:dyDescent="0.3">
      <c r="A709" s="192">
        <v>5831</v>
      </c>
      <c r="B709" s="192">
        <v>99</v>
      </c>
      <c r="C709" s="192">
        <v>0</v>
      </c>
      <c r="D709" s="192" t="s">
        <v>1699</v>
      </c>
      <c r="E709" s="192">
        <v>2700339</v>
      </c>
      <c r="F709" s="192" t="s">
        <v>1732</v>
      </c>
      <c r="G709" s="290">
        <v>0.7</v>
      </c>
      <c r="H709" s="192">
        <v>5089.3500000000004</v>
      </c>
      <c r="I709" s="192">
        <v>986.21</v>
      </c>
      <c r="J709" s="192">
        <v>0</v>
      </c>
      <c r="K709" s="192">
        <v>0</v>
      </c>
      <c r="L709" s="192">
        <v>388.97</v>
      </c>
      <c r="M709" s="192">
        <v>0</v>
      </c>
      <c r="N709" s="192">
        <v>0</v>
      </c>
      <c r="O709" s="192">
        <v>6464.53</v>
      </c>
      <c r="P709" s="192">
        <v>0</v>
      </c>
      <c r="Q709" s="192">
        <v>496.09</v>
      </c>
      <c r="R709" s="192">
        <v>0</v>
      </c>
      <c r="S709" s="285">
        <f t="shared" si="65"/>
        <v>0.69999999999999984</v>
      </c>
      <c r="T709" s="192">
        <v>0</v>
      </c>
      <c r="U709" s="291">
        <v>6960.62</v>
      </c>
      <c r="V709" s="291">
        <v>6960.62</v>
      </c>
      <c r="W709" s="292">
        <v>83392.44</v>
      </c>
      <c r="X709" s="292">
        <v>83527.44</v>
      </c>
      <c r="Y709" s="292">
        <v>83437.440000000002</v>
      </c>
      <c r="Z709" s="292">
        <v>92879.360000000001</v>
      </c>
      <c r="AA709" s="290">
        <v>95015.585279999999</v>
      </c>
      <c r="AB709" s="285">
        <v>94272.550399999993</v>
      </c>
      <c r="AC709" s="290">
        <v>6949.37</v>
      </c>
      <c r="AD709" s="192">
        <v>12</v>
      </c>
      <c r="AE709" s="290">
        <v>6960.62</v>
      </c>
      <c r="AF709" s="194">
        <v>90353.06</v>
      </c>
      <c r="AG709" s="215"/>
      <c r="AJ709" s="388">
        <f t="shared" si="66"/>
        <v>0</v>
      </c>
    </row>
    <row r="710" spans="1:36" x14ac:dyDescent="0.3">
      <c r="A710" s="192">
        <v>5831</v>
      </c>
      <c r="B710" s="192">
        <v>99</v>
      </c>
      <c r="C710" s="192">
        <v>0</v>
      </c>
      <c r="D710" s="192" t="s">
        <v>1699</v>
      </c>
      <c r="E710" s="192">
        <v>2700341</v>
      </c>
      <c r="F710" s="192" t="s">
        <v>1733</v>
      </c>
      <c r="G710" s="290">
        <v>0.7</v>
      </c>
      <c r="H710" s="192">
        <v>4493.12</v>
      </c>
      <c r="I710" s="192">
        <v>0</v>
      </c>
      <c r="J710" s="192">
        <v>0</v>
      </c>
      <c r="K710" s="192">
        <v>0</v>
      </c>
      <c r="L710" s="192">
        <v>169.55</v>
      </c>
      <c r="M710" s="192">
        <v>0</v>
      </c>
      <c r="N710" s="192">
        <v>0</v>
      </c>
      <c r="O710" s="192">
        <v>4662.67</v>
      </c>
      <c r="P710" s="192">
        <v>0</v>
      </c>
      <c r="Q710" s="192">
        <v>360.95</v>
      </c>
      <c r="R710" s="192">
        <v>0</v>
      </c>
      <c r="S710" s="285">
        <f t="shared" si="65"/>
        <v>0.69999999999999984</v>
      </c>
      <c r="T710" s="192">
        <v>0</v>
      </c>
      <c r="U710" s="291">
        <v>5023.62</v>
      </c>
      <c r="V710" s="291">
        <v>5023.62</v>
      </c>
      <c r="W710" s="292">
        <v>60148.44</v>
      </c>
      <c r="X710" s="292">
        <v>60283.44</v>
      </c>
      <c r="Y710" s="292">
        <v>60193.440000000002</v>
      </c>
      <c r="Z710" s="292">
        <v>69303.17</v>
      </c>
      <c r="AA710" s="290">
        <v>70897.142909999995</v>
      </c>
      <c r="AB710" s="285">
        <v>70342.717549999987</v>
      </c>
      <c r="AC710" s="290">
        <v>5012.37</v>
      </c>
      <c r="AD710" s="192">
        <v>12</v>
      </c>
      <c r="AE710" s="290">
        <v>5023.62</v>
      </c>
      <c r="AF710" s="194">
        <v>65172.060000000005</v>
      </c>
      <c r="AG710" s="215"/>
      <c r="AJ710" s="388">
        <f t="shared" si="66"/>
        <v>0</v>
      </c>
    </row>
    <row r="711" spans="1:36" x14ac:dyDescent="0.3">
      <c r="A711" s="192">
        <v>5831</v>
      </c>
      <c r="B711" s="192">
        <v>99</v>
      </c>
      <c r="C711" s="192">
        <v>0</v>
      </c>
      <c r="D711" s="192" t="s">
        <v>1699</v>
      </c>
      <c r="E711" s="192">
        <v>2700502</v>
      </c>
      <c r="F711" s="192" t="s">
        <v>1734</v>
      </c>
      <c r="G711" s="290">
        <v>0.41</v>
      </c>
      <c r="H711" s="192">
        <v>2486.5</v>
      </c>
      <c r="I711" s="192">
        <v>0</v>
      </c>
      <c r="J711" s="192">
        <v>0</v>
      </c>
      <c r="K711" s="192">
        <v>0</v>
      </c>
      <c r="L711" s="192">
        <v>229.81</v>
      </c>
      <c r="M711" s="192">
        <v>0</v>
      </c>
      <c r="N711" s="192">
        <v>0</v>
      </c>
      <c r="O711" s="192">
        <v>2716.31</v>
      </c>
      <c r="P711" s="192">
        <v>0</v>
      </c>
      <c r="Q711" s="192">
        <v>0</v>
      </c>
      <c r="R711" s="192">
        <v>0</v>
      </c>
      <c r="S711" s="285">
        <f t="shared" si="65"/>
        <v>0.41</v>
      </c>
      <c r="T711" s="192">
        <v>0</v>
      </c>
      <c r="U711" s="291">
        <v>2716.31</v>
      </c>
      <c r="V711" s="291">
        <v>2716.31</v>
      </c>
      <c r="W711" s="292">
        <v>32595.72</v>
      </c>
      <c r="X711" s="292">
        <v>32595.72</v>
      </c>
      <c r="Y711" s="292">
        <v>32595.72</v>
      </c>
      <c r="Z711" s="292">
        <v>35688.480000000003</v>
      </c>
      <c r="AA711" s="290">
        <v>36509.315040000001</v>
      </c>
      <c r="AB711" s="285">
        <v>36223.807200000003</v>
      </c>
      <c r="AC711" s="290">
        <v>2716.31</v>
      </c>
      <c r="AD711" s="192">
        <v>12</v>
      </c>
      <c r="AE711" s="290">
        <v>2716.31</v>
      </c>
      <c r="AF711" s="194">
        <v>35312.03</v>
      </c>
      <c r="AG711" s="215"/>
      <c r="AJ711" s="388">
        <f t="shared" si="66"/>
        <v>0</v>
      </c>
    </row>
    <row r="712" spans="1:36" x14ac:dyDescent="0.3">
      <c r="A712" s="192">
        <v>5831</v>
      </c>
      <c r="B712" s="192">
        <v>99</v>
      </c>
      <c r="C712" s="192">
        <v>0</v>
      </c>
      <c r="D712" s="192" t="s">
        <v>1699</v>
      </c>
      <c r="E712" s="192">
        <v>2701216</v>
      </c>
      <c r="F712" s="192" t="s">
        <v>1735</v>
      </c>
      <c r="G712" s="290">
        <v>0.7</v>
      </c>
      <c r="H712" s="192">
        <v>10838.1</v>
      </c>
      <c r="I712" s="192">
        <v>5206.8599999999997</v>
      </c>
      <c r="J712" s="192">
        <v>0</v>
      </c>
      <c r="K712" s="192">
        <v>0</v>
      </c>
      <c r="L712" s="192">
        <v>751.51</v>
      </c>
      <c r="M712" s="192">
        <v>0</v>
      </c>
      <c r="N712" s="192">
        <v>0</v>
      </c>
      <c r="O712" s="192">
        <v>16796.47</v>
      </c>
      <c r="P712" s="192">
        <v>0</v>
      </c>
      <c r="Q712" s="192">
        <v>1270.99</v>
      </c>
      <c r="R712" s="192">
        <v>0</v>
      </c>
      <c r="S712" s="285">
        <f t="shared" si="65"/>
        <v>0.69999999999999984</v>
      </c>
      <c r="T712" s="192">
        <v>0</v>
      </c>
      <c r="U712" s="291">
        <v>18067.46</v>
      </c>
      <c r="V712" s="291">
        <v>18067.46</v>
      </c>
      <c r="W712" s="292">
        <v>216674.52</v>
      </c>
      <c r="X712" s="292">
        <v>216809.52</v>
      </c>
      <c r="Y712" s="292">
        <v>216719.52</v>
      </c>
      <c r="Z712" s="292">
        <v>232630.65</v>
      </c>
      <c r="AA712" s="290">
        <v>237981.15495</v>
      </c>
      <c r="AB712" s="285">
        <v>236120.10975</v>
      </c>
      <c r="AC712" s="290">
        <v>18056.21</v>
      </c>
      <c r="AD712" s="192">
        <v>12</v>
      </c>
      <c r="AE712" s="290">
        <v>18067.46</v>
      </c>
      <c r="AF712" s="194">
        <v>234741.97999999998</v>
      </c>
      <c r="AG712" s="215"/>
      <c r="AJ712" s="388">
        <f t="shared" si="66"/>
        <v>0</v>
      </c>
    </row>
    <row r="713" spans="1:36" x14ac:dyDescent="0.3">
      <c r="A713" s="192">
        <v>5831</v>
      </c>
      <c r="B713" s="192">
        <v>99</v>
      </c>
      <c r="C713" s="192">
        <v>0</v>
      </c>
      <c r="D713" s="192" t="s">
        <v>1699</v>
      </c>
      <c r="E713" s="192">
        <v>2701449</v>
      </c>
      <c r="F713" s="192" t="s">
        <v>1736</v>
      </c>
      <c r="G713" s="290">
        <v>0.65</v>
      </c>
      <c r="H713" s="192">
        <v>2307.65</v>
      </c>
      <c r="I713" s="192">
        <v>0</v>
      </c>
      <c r="J713" s="192">
        <v>0</v>
      </c>
      <c r="K713" s="192">
        <v>0</v>
      </c>
      <c r="L713" s="192">
        <v>68.59</v>
      </c>
      <c r="M713" s="192">
        <v>0</v>
      </c>
      <c r="N713" s="192">
        <v>0</v>
      </c>
      <c r="O713" s="192">
        <v>2376.2399999999998</v>
      </c>
      <c r="P713" s="192">
        <v>0</v>
      </c>
      <c r="Q713" s="192">
        <v>189.47</v>
      </c>
      <c r="R713" s="192">
        <v>0</v>
      </c>
      <c r="S713" s="285">
        <f t="shared" si="65"/>
        <v>0.65</v>
      </c>
      <c r="T713" s="192">
        <v>0</v>
      </c>
      <c r="U713" s="291">
        <v>2565.71</v>
      </c>
      <c r="V713" s="291">
        <v>2565.71</v>
      </c>
      <c r="W713" s="292">
        <v>30653.52</v>
      </c>
      <c r="X713" s="292">
        <v>30788.52</v>
      </c>
      <c r="Y713" s="292">
        <v>30698.52</v>
      </c>
      <c r="Z713" s="292">
        <v>33472.97</v>
      </c>
      <c r="AA713" s="290">
        <v>34242.848310000001</v>
      </c>
      <c r="AB713" s="285">
        <v>33975.064549999996</v>
      </c>
      <c r="AC713" s="290">
        <v>2554.46</v>
      </c>
      <c r="AD713" s="192">
        <v>12</v>
      </c>
      <c r="AE713" s="290">
        <v>2565.71</v>
      </c>
      <c r="AF713" s="194">
        <v>33219.230000000003</v>
      </c>
      <c r="AG713" s="215"/>
      <c r="AJ713" s="388">
        <f t="shared" si="66"/>
        <v>0</v>
      </c>
    </row>
    <row r="714" spans="1:36" x14ac:dyDescent="0.3">
      <c r="A714" s="192">
        <v>5831</v>
      </c>
      <c r="B714" s="192">
        <v>99</v>
      </c>
      <c r="C714" s="192">
        <v>0</v>
      </c>
      <c r="D714" s="192" t="s">
        <v>1699</v>
      </c>
      <c r="E714" s="192">
        <v>2705599</v>
      </c>
      <c r="F714" s="192" t="s">
        <v>1737</v>
      </c>
      <c r="G714" s="290">
        <v>0.15</v>
      </c>
      <c r="H714" s="192">
        <v>891.41</v>
      </c>
      <c r="I714" s="192">
        <v>0</v>
      </c>
      <c r="J714" s="192">
        <v>0</v>
      </c>
      <c r="K714" s="192">
        <v>0</v>
      </c>
      <c r="L714" s="192">
        <v>58.74</v>
      </c>
      <c r="M714" s="192">
        <v>0</v>
      </c>
      <c r="N714" s="192">
        <v>77</v>
      </c>
      <c r="O714" s="192">
        <v>1027.1500000000001</v>
      </c>
      <c r="P714" s="192">
        <v>0</v>
      </c>
      <c r="Q714" s="192">
        <v>88.29</v>
      </c>
      <c r="R714" s="192">
        <v>0</v>
      </c>
      <c r="S714" s="285">
        <f t="shared" si="65"/>
        <v>0.15</v>
      </c>
      <c r="T714" s="192">
        <v>0</v>
      </c>
      <c r="U714" s="291">
        <v>1115.44</v>
      </c>
      <c r="V714" s="291">
        <v>1115.44</v>
      </c>
      <c r="W714" s="292">
        <v>13250.28</v>
      </c>
      <c r="X714" s="292">
        <v>13385.28</v>
      </c>
      <c r="Y714" s="292">
        <v>13295.28</v>
      </c>
      <c r="Z714" s="292">
        <v>14660.96</v>
      </c>
      <c r="AA714" s="290">
        <v>14998.162079999998</v>
      </c>
      <c r="AB714" s="285">
        <v>14880.874399999997</v>
      </c>
      <c r="AC714" s="290">
        <v>1104.19</v>
      </c>
      <c r="AD714" s="192">
        <v>12</v>
      </c>
      <c r="AE714" s="290">
        <v>1115.44</v>
      </c>
      <c r="AF714" s="194">
        <v>14365.720000000001</v>
      </c>
      <c r="AG714" s="215"/>
      <c r="AJ714" s="388">
        <f t="shared" si="66"/>
        <v>0</v>
      </c>
    </row>
    <row r="715" spans="1:36" x14ac:dyDescent="0.3">
      <c r="A715" s="192">
        <v>5831</v>
      </c>
      <c r="B715" s="192">
        <v>99</v>
      </c>
      <c r="C715" s="192">
        <v>0</v>
      </c>
      <c r="D715" s="192" t="s">
        <v>1699</v>
      </c>
      <c r="E715" s="192">
        <v>2706591</v>
      </c>
      <c r="F715" s="192" t="s">
        <v>1738</v>
      </c>
      <c r="G715" s="290">
        <v>0.62</v>
      </c>
      <c r="H715" s="192">
        <v>4601.29</v>
      </c>
      <c r="I715" s="192">
        <v>0</v>
      </c>
      <c r="J715" s="192">
        <v>0</v>
      </c>
      <c r="K715" s="192">
        <v>0</v>
      </c>
      <c r="L715" s="192">
        <v>136.85</v>
      </c>
      <c r="M715" s="192">
        <v>0</v>
      </c>
      <c r="N715" s="192">
        <v>217</v>
      </c>
      <c r="O715" s="192">
        <v>4955.1400000000003</v>
      </c>
      <c r="P715" s="192">
        <v>0</v>
      </c>
      <c r="Q715" s="192">
        <v>382.89</v>
      </c>
      <c r="R715" s="192">
        <v>0</v>
      </c>
      <c r="S715" s="285">
        <f t="shared" si="65"/>
        <v>0.62</v>
      </c>
      <c r="T715" s="192">
        <v>0</v>
      </c>
      <c r="U715" s="291">
        <v>5338.03</v>
      </c>
      <c r="V715" s="291">
        <v>5338.03</v>
      </c>
      <c r="W715" s="292">
        <v>63921.36</v>
      </c>
      <c r="X715" s="292">
        <v>64056.36</v>
      </c>
      <c r="Y715" s="292">
        <v>63966.36</v>
      </c>
      <c r="Z715" s="292">
        <v>72249.350000000006</v>
      </c>
      <c r="AA715" s="290">
        <v>73911.085049999994</v>
      </c>
      <c r="AB715" s="285">
        <v>73333.090249999994</v>
      </c>
      <c r="AC715" s="290">
        <v>5326.78</v>
      </c>
      <c r="AD715" s="192">
        <v>12</v>
      </c>
      <c r="AE715" s="290">
        <v>5338.03</v>
      </c>
      <c r="AF715" s="194">
        <v>69259.39</v>
      </c>
      <c r="AG715" s="215"/>
      <c r="AJ715" s="388">
        <f t="shared" si="66"/>
        <v>0</v>
      </c>
    </row>
    <row r="716" spans="1:36" x14ac:dyDescent="0.3">
      <c r="A716" s="192">
        <v>5831</v>
      </c>
      <c r="B716" s="192">
        <v>99</v>
      </c>
      <c r="C716" s="192">
        <v>0</v>
      </c>
      <c r="D716" s="192" t="s">
        <v>1699</v>
      </c>
      <c r="E716" s="192">
        <v>2708326</v>
      </c>
      <c r="F716" s="192" t="s">
        <v>1739</v>
      </c>
      <c r="G716" s="290">
        <v>0.42</v>
      </c>
      <c r="H716" s="192">
        <v>2878.3</v>
      </c>
      <c r="I716" s="192">
        <v>169.72</v>
      </c>
      <c r="J716" s="192">
        <v>0</v>
      </c>
      <c r="K716" s="192">
        <v>0</v>
      </c>
      <c r="L716" s="192">
        <v>116.43</v>
      </c>
      <c r="M716" s="192">
        <v>0</v>
      </c>
      <c r="N716" s="192">
        <v>0</v>
      </c>
      <c r="O716" s="192">
        <v>3164.45</v>
      </c>
      <c r="P716" s="192">
        <v>0</v>
      </c>
      <c r="Q716" s="192">
        <v>0</v>
      </c>
      <c r="R716" s="192">
        <v>0</v>
      </c>
      <c r="S716" s="285">
        <f t="shared" si="65"/>
        <v>0.42</v>
      </c>
      <c r="T716" s="192">
        <v>0</v>
      </c>
      <c r="U716" s="291">
        <v>3164.45</v>
      </c>
      <c r="V716" s="291">
        <v>3164.45</v>
      </c>
      <c r="W716" s="292">
        <v>0</v>
      </c>
      <c r="X716" s="292">
        <v>37973.399999999994</v>
      </c>
      <c r="Y716" s="292">
        <v>12657.8</v>
      </c>
      <c r="Z716" s="292">
        <v>0</v>
      </c>
      <c r="AA716" s="290">
        <v>0</v>
      </c>
      <c r="AB716" s="285">
        <v>0</v>
      </c>
      <c r="AC716" s="290">
        <v>3314.45</v>
      </c>
      <c r="AD716" s="192">
        <v>12</v>
      </c>
      <c r="AE716" s="290">
        <v>3164.45</v>
      </c>
      <c r="AF716" s="194">
        <v>42937.849999999991</v>
      </c>
      <c r="AG716" s="215"/>
      <c r="AJ716" s="388">
        <f t="shared" si="66"/>
        <v>0</v>
      </c>
    </row>
    <row r="717" spans="1:36" x14ac:dyDescent="0.3">
      <c r="A717" s="192">
        <v>5831</v>
      </c>
      <c r="B717" s="192">
        <v>99</v>
      </c>
      <c r="C717" s="192">
        <v>0</v>
      </c>
      <c r="D717" s="192" t="s">
        <v>1699</v>
      </c>
      <c r="E717" s="192">
        <v>2708709</v>
      </c>
      <c r="F717" s="192" t="s">
        <v>1740</v>
      </c>
      <c r="G717" s="290">
        <v>0.7</v>
      </c>
      <c r="H717" s="192">
        <v>5090.47</v>
      </c>
      <c r="I717" s="192">
        <v>791.59</v>
      </c>
      <c r="J717" s="192">
        <v>0</v>
      </c>
      <c r="K717" s="192">
        <v>0</v>
      </c>
      <c r="L717" s="192">
        <v>410.44</v>
      </c>
      <c r="M717" s="192">
        <v>0</v>
      </c>
      <c r="N717" s="192">
        <v>196</v>
      </c>
      <c r="O717" s="192">
        <v>6488.5</v>
      </c>
      <c r="P717" s="192">
        <v>0</v>
      </c>
      <c r="Q717" s="192">
        <v>497.89</v>
      </c>
      <c r="R717" s="192">
        <v>0</v>
      </c>
      <c r="S717" s="285">
        <f t="shared" si="65"/>
        <v>0.69999999999999984</v>
      </c>
      <c r="T717" s="192">
        <v>0</v>
      </c>
      <c r="U717" s="291">
        <v>6986.39</v>
      </c>
      <c r="V717" s="291">
        <v>6986.39</v>
      </c>
      <c r="W717" s="292">
        <v>83701.680000000008</v>
      </c>
      <c r="X717" s="292">
        <v>83836.680000000008</v>
      </c>
      <c r="Y717" s="292">
        <v>83746.679999999993</v>
      </c>
      <c r="Z717" s="292">
        <v>93148.5</v>
      </c>
      <c r="AA717" s="290">
        <v>95290.915499999988</v>
      </c>
      <c r="AB717" s="285">
        <v>94545.727499999994</v>
      </c>
      <c r="AC717" s="290">
        <v>6975.14</v>
      </c>
      <c r="AD717" s="192">
        <v>12</v>
      </c>
      <c r="AE717" s="290">
        <v>6986.39</v>
      </c>
      <c r="AF717" s="194">
        <v>90688.07</v>
      </c>
      <c r="AG717" s="215"/>
      <c r="AJ717" s="388">
        <f t="shared" si="66"/>
        <v>0</v>
      </c>
    </row>
    <row r="718" spans="1:36" x14ac:dyDescent="0.3">
      <c r="A718" s="192">
        <v>5831</v>
      </c>
      <c r="B718" s="192">
        <v>99</v>
      </c>
      <c r="C718" s="192">
        <v>0</v>
      </c>
      <c r="D718" s="192" t="s">
        <v>1699</v>
      </c>
      <c r="E718" s="192">
        <v>2709981</v>
      </c>
      <c r="F718" s="192" t="s">
        <v>1741</v>
      </c>
      <c r="G718" s="290">
        <v>0.7</v>
      </c>
      <c r="H718" s="192">
        <v>4779.3</v>
      </c>
      <c r="I718" s="192">
        <v>0</v>
      </c>
      <c r="J718" s="192">
        <v>0</v>
      </c>
      <c r="K718" s="192">
        <v>0</v>
      </c>
      <c r="L718" s="192">
        <v>180.6</v>
      </c>
      <c r="M718" s="192">
        <v>0</v>
      </c>
      <c r="N718" s="192">
        <v>0</v>
      </c>
      <c r="O718" s="192">
        <v>4959.8999999999996</v>
      </c>
      <c r="P718" s="192">
        <v>0</v>
      </c>
      <c r="Q718" s="192">
        <v>383.24</v>
      </c>
      <c r="R718" s="192">
        <v>0</v>
      </c>
      <c r="S718" s="285">
        <f t="shared" si="65"/>
        <v>0.69999999999999984</v>
      </c>
      <c r="T718" s="192">
        <v>0</v>
      </c>
      <c r="U718" s="291">
        <v>5343.14</v>
      </c>
      <c r="V718" s="291">
        <v>5343.14</v>
      </c>
      <c r="W718" s="292">
        <v>63982.680000000008</v>
      </c>
      <c r="X718" s="292">
        <v>64117.680000000008</v>
      </c>
      <c r="Y718" s="292">
        <v>64027.680000000008</v>
      </c>
      <c r="Z718" s="292">
        <v>73609.210000000006</v>
      </c>
      <c r="AA718" s="290">
        <v>75302.22182999998</v>
      </c>
      <c r="AB718" s="285">
        <v>74713.348149999991</v>
      </c>
      <c r="AC718" s="290">
        <v>5331.89</v>
      </c>
      <c r="AD718" s="192">
        <v>12</v>
      </c>
      <c r="AE718" s="290">
        <v>5343.14</v>
      </c>
      <c r="AF718" s="194">
        <v>69325.820000000007</v>
      </c>
      <c r="AG718" s="215"/>
      <c r="AJ718" s="388">
        <f t="shared" si="66"/>
        <v>0</v>
      </c>
    </row>
    <row r="719" spans="1:36" x14ac:dyDescent="0.3">
      <c r="A719" s="192">
        <v>5831</v>
      </c>
      <c r="B719" s="192">
        <v>99</v>
      </c>
      <c r="C719" s="192">
        <v>0</v>
      </c>
      <c r="D719" s="192" t="s">
        <v>1699</v>
      </c>
      <c r="E719" s="192">
        <v>2709982</v>
      </c>
      <c r="F719" s="192" t="s">
        <v>1742</v>
      </c>
      <c r="G719" s="290">
        <v>0.21</v>
      </c>
      <c r="H719" s="192">
        <v>1216.6099999999999</v>
      </c>
      <c r="I719" s="192">
        <v>0</v>
      </c>
      <c r="J719" s="192">
        <v>0</v>
      </c>
      <c r="K719" s="192">
        <v>0</v>
      </c>
      <c r="L719" s="192">
        <v>44.92</v>
      </c>
      <c r="M719" s="192">
        <v>0</v>
      </c>
      <c r="N719" s="192">
        <v>0</v>
      </c>
      <c r="O719" s="192">
        <v>1261.53</v>
      </c>
      <c r="P719" s="192">
        <v>0</v>
      </c>
      <c r="Q719" s="192">
        <v>105.86</v>
      </c>
      <c r="R719" s="192">
        <v>0</v>
      </c>
      <c r="S719" s="285">
        <f t="shared" si="65"/>
        <v>0.21</v>
      </c>
      <c r="T719" s="192">
        <v>0</v>
      </c>
      <c r="U719" s="291">
        <v>1367.39</v>
      </c>
      <c r="V719" s="291">
        <v>1367.39</v>
      </c>
      <c r="W719" s="292">
        <v>16273.68</v>
      </c>
      <c r="X719" s="292">
        <v>16408.68</v>
      </c>
      <c r="Y719" s="292">
        <v>16318.68</v>
      </c>
      <c r="Z719" s="292">
        <v>18187.29</v>
      </c>
      <c r="AA719" s="290">
        <v>18605.597669999999</v>
      </c>
      <c r="AB719" s="285">
        <v>18460.09935</v>
      </c>
      <c r="AC719" s="290">
        <v>1356.14</v>
      </c>
      <c r="AD719" s="192">
        <v>12</v>
      </c>
      <c r="AE719" s="290">
        <v>1367.39</v>
      </c>
      <c r="AF719" s="194">
        <v>17641.07</v>
      </c>
      <c r="AG719" s="215"/>
      <c r="AJ719" s="388">
        <f t="shared" si="66"/>
        <v>0</v>
      </c>
    </row>
    <row r="720" spans="1:36" x14ac:dyDescent="0.3">
      <c r="A720" s="192">
        <v>5831</v>
      </c>
      <c r="B720" s="192">
        <v>99</v>
      </c>
      <c r="C720" s="192">
        <v>0</v>
      </c>
      <c r="D720" s="192" t="s">
        <v>1699</v>
      </c>
      <c r="E720" s="192">
        <v>2808609</v>
      </c>
      <c r="F720" s="192" t="s">
        <v>1743</v>
      </c>
      <c r="G720" s="290">
        <v>0.44</v>
      </c>
      <c r="H720" s="192">
        <v>3535.1</v>
      </c>
      <c r="I720" s="192">
        <v>90.06</v>
      </c>
      <c r="J720" s="192">
        <v>0</v>
      </c>
      <c r="K720" s="192">
        <v>0</v>
      </c>
      <c r="L720" s="192">
        <v>136.35</v>
      </c>
      <c r="M720" s="192">
        <v>0</v>
      </c>
      <c r="N720" s="192">
        <v>0</v>
      </c>
      <c r="O720" s="192">
        <v>3761.51</v>
      </c>
      <c r="P720" s="192">
        <v>0</v>
      </c>
      <c r="Q720" s="192">
        <v>293.36</v>
      </c>
      <c r="R720" s="192">
        <v>0</v>
      </c>
      <c r="S720" s="285">
        <f t="shared" si="65"/>
        <v>0.44</v>
      </c>
      <c r="T720" s="192">
        <v>0</v>
      </c>
      <c r="U720" s="291">
        <v>4054.87</v>
      </c>
      <c r="V720" s="291">
        <v>4054.87</v>
      </c>
      <c r="W720" s="292">
        <v>48523.44</v>
      </c>
      <c r="X720" s="292">
        <v>48658.44</v>
      </c>
      <c r="Y720" s="292">
        <v>48568.44</v>
      </c>
      <c r="Z720" s="292">
        <v>54607.49</v>
      </c>
      <c r="AA720" s="290">
        <v>55863.462269999996</v>
      </c>
      <c r="AB720" s="285">
        <v>55426.602349999994</v>
      </c>
      <c r="AC720" s="290">
        <v>4043.62</v>
      </c>
      <c r="AD720" s="192">
        <v>12</v>
      </c>
      <c r="AE720" s="290">
        <v>4054.87</v>
      </c>
      <c r="AF720" s="194">
        <v>52578.310000000005</v>
      </c>
      <c r="AG720" s="215"/>
      <c r="AJ720" s="388">
        <f t="shared" si="66"/>
        <v>0</v>
      </c>
    </row>
    <row r="721" spans="1:36" x14ac:dyDescent="0.3">
      <c r="A721" s="192">
        <v>5831</v>
      </c>
      <c r="B721" s="192">
        <v>99</v>
      </c>
      <c r="C721" s="192">
        <v>0</v>
      </c>
      <c r="D721" s="192" t="s">
        <v>1699</v>
      </c>
      <c r="E721" s="192">
        <v>2903592</v>
      </c>
      <c r="F721" s="192" t="s">
        <v>1744</v>
      </c>
      <c r="G721" s="290">
        <v>0.252</v>
      </c>
      <c r="H721" s="192">
        <v>1422.58</v>
      </c>
      <c r="I721" s="192">
        <v>0</v>
      </c>
      <c r="J721" s="192">
        <v>0</v>
      </c>
      <c r="K721" s="192">
        <v>0</v>
      </c>
      <c r="L721" s="192">
        <v>54.18</v>
      </c>
      <c r="M721" s="192">
        <v>0</v>
      </c>
      <c r="N721" s="192">
        <v>0</v>
      </c>
      <c r="O721" s="192">
        <v>1476.76</v>
      </c>
      <c r="P721" s="192">
        <v>0</v>
      </c>
      <c r="Q721" s="192">
        <v>122.01</v>
      </c>
      <c r="R721" s="192">
        <v>0</v>
      </c>
      <c r="S721" s="285">
        <f t="shared" si="65"/>
        <v>0.252</v>
      </c>
      <c r="T721" s="192">
        <v>0</v>
      </c>
      <c r="U721" s="291">
        <v>1598.77</v>
      </c>
      <c r="V721" s="291">
        <v>1598.77</v>
      </c>
      <c r="W721" s="292">
        <v>19050.239999999998</v>
      </c>
      <c r="X721" s="292">
        <v>19185.239999999998</v>
      </c>
      <c r="Y721" s="292">
        <v>19095.240000000002</v>
      </c>
      <c r="Z721" s="292">
        <v>21314.12</v>
      </c>
      <c r="AA721" s="290">
        <v>21795.178680000001</v>
      </c>
      <c r="AB721" s="285">
        <v>21624.737400000002</v>
      </c>
      <c r="AC721" s="290">
        <v>1587.52</v>
      </c>
      <c r="AD721" s="192">
        <v>12</v>
      </c>
      <c r="AE721" s="290">
        <v>1598.77</v>
      </c>
      <c r="AF721" s="194">
        <v>20649.009999999998</v>
      </c>
      <c r="AG721" s="215"/>
      <c r="AJ721" s="388">
        <f t="shared" si="66"/>
        <v>0</v>
      </c>
    </row>
    <row r="722" spans="1:36" x14ac:dyDescent="0.3">
      <c r="A722" s="192">
        <v>5831</v>
      </c>
      <c r="B722" s="192">
        <v>99</v>
      </c>
      <c r="C722" s="192">
        <v>0</v>
      </c>
      <c r="D722" s="192" t="s">
        <v>1699</v>
      </c>
      <c r="E722" s="192">
        <v>3017541</v>
      </c>
      <c r="F722" s="192" t="s">
        <v>1745</v>
      </c>
      <c r="G722" s="290">
        <v>0.69499999999999995</v>
      </c>
      <c r="H722" s="192">
        <v>10726.28</v>
      </c>
      <c r="I722" s="192">
        <v>0</v>
      </c>
      <c r="J722" s="192">
        <v>0</v>
      </c>
      <c r="K722" s="192">
        <v>0</v>
      </c>
      <c r="L722" s="192">
        <v>247.6</v>
      </c>
      <c r="M722" s="192">
        <v>0</v>
      </c>
      <c r="N722" s="192">
        <v>0</v>
      </c>
      <c r="O722" s="192">
        <v>10973.88</v>
      </c>
      <c r="P722" s="192">
        <v>0</v>
      </c>
      <c r="Q722" s="192">
        <v>0</v>
      </c>
      <c r="R722" s="192">
        <v>0</v>
      </c>
      <c r="S722" s="285">
        <f t="shared" si="65"/>
        <v>0.69499999999999995</v>
      </c>
      <c r="T722" s="192">
        <v>0</v>
      </c>
      <c r="U722" s="291">
        <v>10973.88</v>
      </c>
      <c r="V722" s="291">
        <v>10973.88</v>
      </c>
      <c r="W722" s="292">
        <v>99603.839999999997</v>
      </c>
      <c r="X722" s="292">
        <v>131686.56</v>
      </c>
      <c r="Y722" s="292">
        <v>99603.839999999997</v>
      </c>
      <c r="Z722" s="292">
        <v>253530.6</v>
      </c>
      <c r="AA722" s="290">
        <v>259361.80379999999</v>
      </c>
      <c r="AB722" s="285">
        <v>257333.55899999998</v>
      </c>
      <c r="AC722" s="290">
        <v>10900</v>
      </c>
      <c r="AD722" s="192">
        <v>12</v>
      </c>
      <c r="AE722" s="290">
        <v>10973.88</v>
      </c>
      <c r="AF722" s="194">
        <v>141773.88</v>
      </c>
      <c r="AG722" s="215"/>
      <c r="AJ722" s="388">
        <f t="shared" si="66"/>
        <v>0</v>
      </c>
    </row>
    <row r="723" spans="1:36" x14ac:dyDescent="0.3">
      <c r="A723" s="192">
        <v>5831</v>
      </c>
      <c r="B723" s="192">
        <v>99</v>
      </c>
      <c r="C723" s="192">
        <v>0</v>
      </c>
      <c r="D723" s="192" t="s">
        <v>1699</v>
      </c>
      <c r="E723" s="192">
        <v>3065779</v>
      </c>
      <c r="F723" s="192" t="s">
        <v>1746</v>
      </c>
      <c r="G723" s="290">
        <v>0.40423999999999999</v>
      </c>
      <c r="H723" s="192">
        <v>2622.54</v>
      </c>
      <c r="I723" s="192">
        <v>0</v>
      </c>
      <c r="J723" s="192">
        <v>0</v>
      </c>
      <c r="K723" s="192">
        <v>0</v>
      </c>
      <c r="L723" s="192">
        <v>167.77</v>
      </c>
      <c r="M723" s="192">
        <v>0</v>
      </c>
      <c r="N723" s="192">
        <v>104</v>
      </c>
      <c r="O723" s="192">
        <v>2894.31</v>
      </c>
      <c r="P723" s="192">
        <v>0</v>
      </c>
      <c r="Q723" s="192">
        <v>228.32</v>
      </c>
      <c r="R723" s="192">
        <v>0</v>
      </c>
      <c r="S723" s="285">
        <f t="shared" si="65"/>
        <v>0.40423999999999999</v>
      </c>
      <c r="T723" s="192">
        <v>0</v>
      </c>
      <c r="U723" s="291">
        <v>3122.63</v>
      </c>
      <c r="V723" s="291">
        <v>3122.63</v>
      </c>
      <c r="W723" s="292">
        <v>37336.559999999998</v>
      </c>
      <c r="X723" s="292">
        <v>37471.56</v>
      </c>
      <c r="Y723" s="292">
        <v>37381.56</v>
      </c>
      <c r="Z723" s="292">
        <v>40833.22</v>
      </c>
      <c r="AA723" s="290">
        <v>41772.384059999997</v>
      </c>
      <c r="AB723" s="285">
        <v>41445.7183</v>
      </c>
      <c r="AC723" s="290">
        <v>3111.38</v>
      </c>
      <c r="AD723" s="192">
        <v>12</v>
      </c>
      <c r="AE723" s="290">
        <v>3122.63</v>
      </c>
      <c r="AF723" s="194">
        <v>40459.189999999995</v>
      </c>
      <c r="AG723" s="215"/>
      <c r="AJ723" s="388">
        <f t="shared" si="66"/>
        <v>0</v>
      </c>
    </row>
    <row r="724" spans="1:36" x14ac:dyDescent="0.3">
      <c r="A724" s="192">
        <v>5831</v>
      </c>
      <c r="B724" s="192">
        <v>99</v>
      </c>
      <c r="C724" s="192">
        <v>0</v>
      </c>
      <c r="D724" s="192" t="s">
        <v>1699</v>
      </c>
      <c r="E724" s="192">
        <v>3195549</v>
      </c>
      <c r="F724" s="192" t="s">
        <v>1747</v>
      </c>
      <c r="G724" s="290">
        <v>0.3</v>
      </c>
      <c r="H724" s="192">
        <v>2180.85</v>
      </c>
      <c r="I724" s="192">
        <v>30.81</v>
      </c>
      <c r="J724" s="192">
        <v>0</v>
      </c>
      <c r="K724" s="192">
        <v>0</v>
      </c>
      <c r="L724" s="192">
        <v>83.19</v>
      </c>
      <c r="M724" s="192">
        <v>0</v>
      </c>
      <c r="N724" s="192">
        <v>0</v>
      </c>
      <c r="O724" s="192">
        <v>2294.85</v>
      </c>
      <c r="P724" s="192">
        <v>0</v>
      </c>
      <c r="Q724" s="192">
        <v>183.36</v>
      </c>
      <c r="R724" s="192">
        <v>0</v>
      </c>
      <c r="S724" s="285">
        <f t="shared" si="65"/>
        <v>0.3</v>
      </c>
      <c r="T724" s="192">
        <v>0</v>
      </c>
      <c r="U724" s="291">
        <v>2478.21</v>
      </c>
      <c r="V724" s="291">
        <v>2478.21</v>
      </c>
      <c r="W724" s="292">
        <v>29603.52</v>
      </c>
      <c r="X724" s="292">
        <v>29738.52</v>
      </c>
      <c r="Y724" s="292">
        <v>29648.52</v>
      </c>
      <c r="Z724" s="292">
        <v>32240.94</v>
      </c>
      <c r="AA724" s="290">
        <v>32982.481619999999</v>
      </c>
      <c r="AB724" s="285">
        <v>32724.554099999998</v>
      </c>
      <c r="AC724" s="290">
        <v>2466.96</v>
      </c>
      <c r="AD724" s="192">
        <v>12</v>
      </c>
      <c r="AE724" s="290">
        <v>2478.21</v>
      </c>
      <c r="AF724" s="194">
        <v>32081.73</v>
      </c>
      <c r="AG724" s="215"/>
      <c r="AJ724" s="388">
        <f t="shared" si="66"/>
        <v>0</v>
      </c>
    </row>
    <row r="725" spans="1:36" x14ac:dyDescent="0.3">
      <c r="A725" s="192">
        <v>5831</v>
      </c>
      <c r="B725" s="192">
        <v>99</v>
      </c>
      <c r="C725" s="192">
        <v>0</v>
      </c>
      <c r="D725" s="192" t="s">
        <v>1699</v>
      </c>
      <c r="E725" s="192">
        <v>4061359</v>
      </c>
      <c r="F725" s="192" t="s">
        <v>1748</v>
      </c>
      <c r="G725" s="290">
        <v>0.7</v>
      </c>
      <c r="H725" s="192">
        <v>4980.53</v>
      </c>
      <c r="I725" s="192">
        <v>290.66000000000003</v>
      </c>
      <c r="J725" s="192">
        <v>34.020000000000003</v>
      </c>
      <c r="K725" s="192">
        <v>0</v>
      </c>
      <c r="L725" s="192">
        <v>0</v>
      </c>
      <c r="M725" s="192">
        <v>0</v>
      </c>
      <c r="N725" s="192">
        <v>0</v>
      </c>
      <c r="O725" s="192">
        <v>5305.21</v>
      </c>
      <c r="P725" s="192">
        <v>194</v>
      </c>
      <c r="Q725" s="192">
        <v>409.14</v>
      </c>
      <c r="R725" s="192">
        <v>0</v>
      </c>
      <c r="S725" s="285">
        <f t="shared" si="65"/>
        <v>0.69999999999999984</v>
      </c>
      <c r="T725" s="192">
        <v>0</v>
      </c>
      <c r="U725" s="291">
        <v>5908.35</v>
      </c>
      <c r="V725" s="291">
        <v>5908.35</v>
      </c>
      <c r="W725" s="292">
        <v>69125.88</v>
      </c>
      <c r="X725" s="292">
        <v>70900.200000000012</v>
      </c>
      <c r="Y725" s="292">
        <v>100212.80000000002</v>
      </c>
      <c r="Z725" s="292">
        <v>5090.59</v>
      </c>
      <c r="AA725" s="290">
        <v>0</v>
      </c>
      <c r="AB725" s="285">
        <v>0</v>
      </c>
      <c r="AC725" s="290">
        <v>5760.49</v>
      </c>
      <c r="AD725" s="192">
        <v>12</v>
      </c>
      <c r="AE725" s="290">
        <v>5908.35</v>
      </c>
      <c r="AF725" s="194">
        <v>75034.23000000001</v>
      </c>
      <c r="AG725" s="215"/>
      <c r="AJ725" s="388">
        <f t="shared" si="66"/>
        <v>0</v>
      </c>
    </row>
    <row r="726" spans="1:36" x14ac:dyDescent="0.3">
      <c r="A726" s="192">
        <v>5831</v>
      </c>
      <c r="B726" s="192">
        <v>99</v>
      </c>
      <c r="C726" s="192">
        <v>0</v>
      </c>
      <c r="D726" s="192" t="s">
        <v>1699</v>
      </c>
      <c r="E726" s="192">
        <v>4274397</v>
      </c>
      <c r="F726" s="192" t="s">
        <v>1109</v>
      </c>
      <c r="G726" s="290">
        <v>0.7</v>
      </c>
      <c r="H726" s="192">
        <v>5878.92</v>
      </c>
      <c r="I726" s="192">
        <v>1535.1</v>
      </c>
      <c r="J726" s="192">
        <v>0</v>
      </c>
      <c r="K726" s="192">
        <v>0</v>
      </c>
      <c r="L726" s="192">
        <v>280.92</v>
      </c>
      <c r="M726" s="192">
        <v>0</v>
      </c>
      <c r="N726" s="192">
        <v>0</v>
      </c>
      <c r="O726" s="192">
        <v>7694.94</v>
      </c>
      <c r="P726" s="192">
        <v>0</v>
      </c>
      <c r="Q726" s="192">
        <v>588.37</v>
      </c>
      <c r="R726" s="192">
        <v>0</v>
      </c>
      <c r="S726" s="285">
        <f t="shared" si="65"/>
        <v>0.69999999999999984</v>
      </c>
      <c r="T726" s="192">
        <v>0</v>
      </c>
      <c r="U726" s="291">
        <v>8283.31</v>
      </c>
      <c r="V726" s="291">
        <v>8283.31</v>
      </c>
      <c r="W726" s="292">
        <v>99264.72</v>
      </c>
      <c r="X726" s="292">
        <v>99399.72</v>
      </c>
      <c r="Y726" s="292">
        <v>99309.72</v>
      </c>
      <c r="Z726" s="292">
        <v>110768.42</v>
      </c>
      <c r="AA726" s="290">
        <v>113316.09365999998</v>
      </c>
      <c r="AB726" s="285">
        <v>112429.94629999998</v>
      </c>
      <c r="AC726" s="290">
        <v>8272.06</v>
      </c>
      <c r="AD726" s="192">
        <v>12</v>
      </c>
      <c r="AE726" s="290">
        <v>8283.31</v>
      </c>
      <c r="AF726" s="194">
        <v>107548.03</v>
      </c>
      <c r="AG726" s="215"/>
      <c r="AJ726" s="388">
        <f t="shared" si="66"/>
        <v>0</v>
      </c>
    </row>
    <row r="727" spans="1:36" x14ac:dyDescent="0.3">
      <c r="A727" s="192">
        <v>5831</v>
      </c>
      <c r="B727" s="192">
        <v>99</v>
      </c>
      <c r="C727" s="192">
        <v>0</v>
      </c>
      <c r="D727" s="192" t="s">
        <v>1699</v>
      </c>
      <c r="E727" s="192">
        <v>4281547</v>
      </c>
      <c r="F727" s="192" t="s">
        <v>1749</v>
      </c>
      <c r="G727" s="290">
        <v>0.55574999999999997</v>
      </c>
      <c r="H727" s="192">
        <v>3803.52</v>
      </c>
      <c r="I727" s="192">
        <v>0</v>
      </c>
      <c r="J727" s="192">
        <v>0</v>
      </c>
      <c r="K727" s="192">
        <v>0</v>
      </c>
      <c r="L727" s="192">
        <v>178.71</v>
      </c>
      <c r="M727" s="192">
        <v>0</v>
      </c>
      <c r="N727" s="192">
        <v>164</v>
      </c>
      <c r="O727" s="192">
        <v>4146.2299999999996</v>
      </c>
      <c r="P727" s="192">
        <v>0</v>
      </c>
      <c r="Q727" s="192">
        <v>322.22000000000003</v>
      </c>
      <c r="R727" s="192">
        <v>0</v>
      </c>
      <c r="S727" s="285">
        <f t="shared" si="65"/>
        <v>0.55574999999999997</v>
      </c>
      <c r="T727" s="192">
        <v>0</v>
      </c>
      <c r="U727" s="291">
        <v>4468.45</v>
      </c>
      <c r="V727" s="291">
        <v>4468.45</v>
      </c>
      <c r="W727" s="292">
        <v>53486.399999999994</v>
      </c>
      <c r="X727" s="292">
        <v>53621.399999999994</v>
      </c>
      <c r="Y727" s="292">
        <v>53531.399999999994</v>
      </c>
      <c r="Z727" s="292">
        <v>58108.49</v>
      </c>
      <c r="AA727" s="290">
        <v>59444.98526999999</v>
      </c>
      <c r="AB727" s="285">
        <v>58980.117349999993</v>
      </c>
      <c r="AC727" s="290">
        <v>4457.2</v>
      </c>
      <c r="AD727" s="192">
        <v>12</v>
      </c>
      <c r="AE727" s="290">
        <v>4468.45</v>
      </c>
      <c r="AF727" s="194">
        <v>57954.849999999991</v>
      </c>
      <c r="AG727" s="215"/>
      <c r="AJ727" s="388">
        <f t="shared" si="66"/>
        <v>0</v>
      </c>
    </row>
    <row r="728" spans="1:36" x14ac:dyDescent="0.3">
      <c r="A728" s="192">
        <v>5831</v>
      </c>
      <c r="B728" s="192">
        <v>99</v>
      </c>
      <c r="C728" s="192">
        <v>0</v>
      </c>
      <c r="D728" s="192" t="s">
        <v>1699</v>
      </c>
      <c r="E728" s="192">
        <v>4326873</v>
      </c>
      <c r="F728" s="192" t="s">
        <v>1750</v>
      </c>
      <c r="G728" s="290">
        <v>0.14499999999999999</v>
      </c>
      <c r="H728" s="192">
        <v>847.98</v>
      </c>
      <c r="I728" s="192">
        <v>0</v>
      </c>
      <c r="J728" s="192">
        <v>0</v>
      </c>
      <c r="K728" s="192">
        <v>0</v>
      </c>
      <c r="L728" s="192">
        <v>45.73</v>
      </c>
      <c r="M728" s="192">
        <v>0</v>
      </c>
      <c r="N728" s="192">
        <v>0</v>
      </c>
      <c r="O728" s="192">
        <v>893.71</v>
      </c>
      <c r="P728" s="192">
        <v>0</v>
      </c>
      <c r="Q728" s="192">
        <v>0</v>
      </c>
      <c r="R728" s="192">
        <v>0</v>
      </c>
      <c r="S728" s="285">
        <f t="shared" si="65"/>
        <v>0.14499999999999999</v>
      </c>
      <c r="T728" s="192">
        <v>0</v>
      </c>
      <c r="U728" s="291">
        <v>893.71</v>
      </c>
      <c r="V728" s="291">
        <v>893.71</v>
      </c>
      <c r="W728" s="292">
        <v>10724.52</v>
      </c>
      <c r="X728" s="292">
        <v>10724.52</v>
      </c>
      <c r="Y728" s="292">
        <v>10724.52</v>
      </c>
      <c r="Z728" s="292">
        <v>12008.65</v>
      </c>
      <c r="AA728" s="290">
        <v>12284.848949999998</v>
      </c>
      <c r="AB728" s="285">
        <v>12188.779749999998</v>
      </c>
      <c r="AC728" s="290">
        <v>893.71</v>
      </c>
      <c r="AD728" s="192">
        <v>12</v>
      </c>
      <c r="AE728" s="290">
        <v>893.71</v>
      </c>
      <c r="AF728" s="194">
        <v>11618.23</v>
      </c>
      <c r="AG728" s="215"/>
      <c r="AJ728" s="388">
        <f t="shared" si="66"/>
        <v>0</v>
      </c>
    </row>
    <row r="729" spans="1:36" x14ac:dyDescent="0.3">
      <c r="A729" s="192">
        <v>5831</v>
      </c>
      <c r="B729" s="192">
        <v>99</v>
      </c>
      <c r="C729" s="192">
        <v>0</v>
      </c>
      <c r="D729" s="192" t="s">
        <v>1699</v>
      </c>
      <c r="E729" s="192">
        <v>4331561</v>
      </c>
      <c r="F729" s="192" t="s">
        <v>1751</v>
      </c>
      <c r="G729" s="290">
        <v>0.36</v>
      </c>
      <c r="H729" s="192">
        <v>2217.73</v>
      </c>
      <c r="I729" s="192">
        <v>0</v>
      </c>
      <c r="J729" s="192">
        <v>0</v>
      </c>
      <c r="K729" s="192">
        <v>0</v>
      </c>
      <c r="L729" s="192">
        <v>99.25</v>
      </c>
      <c r="M729" s="192">
        <v>0</v>
      </c>
      <c r="N729" s="192">
        <v>0</v>
      </c>
      <c r="O729" s="192">
        <v>2316.98</v>
      </c>
      <c r="P729" s="192">
        <v>0</v>
      </c>
      <c r="Q729" s="192">
        <v>0</v>
      </c>
      <c r="R729" s="192">
        <v>0</v>
      </c>
      <c r="S729" s="285">
        <f t="shared" si="65"/>
        <v>0.36000000000000004</v>
      </c>
      <c r="T729" s="192">
        <v>0</v>
      </c>
      <c r="U729" s="291">
        <v>2316.98</v>
      </c>
      <c r="V729" s="291">
        <v>2316.98</v>
      </c>
      <c r="W729" s="292">
        <v>27803.760000000002</v>
      </c>
      <c r="X729" s="292">
        <v>27803.760000000002</v>
      </c>
      <c r="Y729" s="292">
        <v>27803.760000000002</v>
      </c>
      <c r="Z729" s="292">
        <v>30336.87</v>
      </c>
      <c r="AA729" s="290">
        <v>31034.618009999998</v>
      </c>
      <c r="AB729" s="285">
        <v>30791.923050000001</v>
      </c>
      <c r="AC729" s="290">
        <v>2316.98</v>
      </c>
      <c r="AD729" s="192">
        <v>12</v>
      </c>
      <c r="AE729" s="290">
        <v>2316.98</v>
      </c>
      <c r="AF729" s="194">
        <v>30120.74</v>
      </c>
      <c r="AG729" s="215"/>
      <c r="AJ729" s="388">
        <f t="shared" si="66"/>
        <v>0</v>
      </c>
    </row>
    <row r="730" spans="1:36" x14ac:dyDescent="0.3">
      <c r="A730" s="192">
        <v>5831</v>
      </c>
      <c r="B730" s="192">
        <v>99</v>
      </c>
      <c r="C730" s="192">
        <v>0</v>
      </c>
      <c r="D730" s="192" t="s">
        <v>1699</v>
      </c>
      <c r="E730" s="192">
        <v>4352091</v>
      </c>
      <c r="F730" s="192" t="s">
        <v>1334</v>
      </c>
      <c r="G730" s="290">
        <v>0.5</v>
      </c>
      <c r="H730" s="192">
        <v>2997.65</v>
      </c>
      <c r="I730" s="192">
        <v>0</v>
      </c>
      <c r="J730" s="192">
        <v>0</v>
      </c>
      <c r="K730" s="192">
        <v>0</v>
      </c>
      <c r="L730" s="192">
        <v>115.02</v>
      </c>
      <c r="M730" s="192">
        <v>0</v>
      </c>
      <c r="N730" s="192">
        <v>0</v>
      </c>
      <c r="O730" s="192">
        <v>3112.67</v>
      </c>
      <c r="P730" s="192">
        <v>0</v>
      </c>
      <c r="Q730" s="192">
        <v>244.7</v>
      </c>
      <c r="R730" s="192">
        <v>0</v>
      </c>
      <c r="S730" s="285">
        <f t="shared" si="65"/>
        <v>0.5</v>
      </c>
      <c r="T730" s="192">
        <v>0</v>
      </c>
      <c r="U730" s="291">
        <v>3357.37</v>
      </c>
      <c r="V730" s="291">
        <v>3357.37</v>
      </c>
      <c r="W730" s="292">
        <v>40153.440000000002</v>
      </c>
      <c r="X730" s="292">
        <v>40288.44</v>
      </c>
      <c r="Y730" s="292">
        <v>40198.44</v>
      </c>
      <c r="Z730" s="292">
        <v>46869.62</v>
      </c>
      <c r="AA730" s="290">
        <v>47947.62126</v>
      </c>
      <c r="AB730" s="285">
        <v>47572.664299999997</v>
      </c>
      <c r="AC730" s="290">
        <v>3346.12</v>
      </c>
      <c r="AD730" s="192">
        <v>12</v>
      </c>
      <c r="AE730" s="290">
        <v>3357.37</v>
      </c>
      <c r="AF730" s="194">
        <v>43510.810000000005</v>
      </c>
      <c r="AG730" s="215"/>
      <c r="AJ730" s="388">
        <f t="shared" si="66"/>
        <v>0</v>
      </c>
    </row>
    <row r="731" spans="1:36" x14ac:dyDescent="0.3">
      <c r="A731" s="192">
        <v>5831</v>
      </c>
      <c r="B731" s="192">
        <v>99</v>
      </c>
      <c r="C731" s="192">
        <v>0</v>
      </c>
      <c r="D731" s="192" t="s">
        <v>1699</v>
      </c>
      <c r="E731" s="192">
        <v>4352092</v>
      </c>
      <c r="F731" s="192" t="s">
        <v>1752</v>
      </c>
      <c r="G731" s="290">
        <v>0.16250000000000001</v>
      </c>
      <c r="H731" s="192">
        <v>959.18</v>
      </c>
      <c r="I731" s="192">
        <v>0</v>
      </c>
      <c r="J731" s="192">
        <v>0</v>
      </c>
      <c r="K731" s="192">
        <v>0</v>
      </c>
      <c r="L731" s="192">
        <v>26.57</v>
      </c>
      <c r="M731" s="192">
        <v>0</v>
      </c>
      <c r="N731" s="192">
        <v>91.5</v>
      </c>
      <c r="O731" s="192">
        <v>1077.25</v>
      </c>
      <c r="P731" s="192">
        <v>0</v>
      </c>
      <c r="Q731" s="192">
        <v>92.04</v>
      </c>
      <c r="R731" s="192">
        <v>0</v>
      </c>
      <c r="S731" s="285">
        <f t="shared" si="65"/>
        <v>0.16250000000000001</v>
      </c>
      <c r="T731" s="192">
        <v>0</v>
      </c>
      <c r="U731" s="291">
        <v>1169.29</v>
      </c>
      <c r="V731" s="291">
        <v>1169.29</v>
      </c>
      <c r="W731" s="292">
        <v>13896.48</v>
      </c>
      <c r="X731" s="292">
        <v>14031.48</v>
      </c>
      <c r="Y731" s="292">
        <v>13941.48</v>
      </c>
      <c r="Z731" s="292">
        <v>15464.1</v>
      </c>
      <c r="AA731" s="290">
        <v>15819.774299999999</v>
      </c>
      <c r="AB731" s="285">
        <v>15696.061499999998</v>
      </c>
      <c r="AC731" s="290">
        <v>1158.04</v>
      </c>
      <c r="AD731" s="192">
        <v>12</v>
      </c>
      <c r="AE731" s="290">
        <v>1169.29</v>
      </c>
      <c r="AF731" s="194">
        <v>15065.77</v>
      </c>
      <c r="AG731" s="215"/>
      <c r="AJ731" s="388">
        <f t="shared" si="66"/>
        <v>0</v>
      </c>
    </row>
    <row r="732" spans="1:36" x14ac:dyDescent="0.3">
      <c r="A732" s="192">
        <v>5831</v>
      </c>
      <c r="B732" s="192">
        <v>99</v>
      </c>
      <c r="C732" s="192">
        <v>0</v>
      </c>
      <c r="D732" s="192" t="s">
        <v>1699</v>
      </c>
      <c r="E732" s="192">
        <v>4352203</v>
      </c>
      <c r="F732" s="192" t="s">
        <v>1753</v>
      </c>
      <c r="G732" s="290">
        <v>0.28499999999999998</v>
      </c>
      <c r="H732" s="192">
        <v>1862.11</v>
      </c>
      <c r="I732" s="192">
        <v>0</v>
      </c>
      <c r="J732" s="192">
        <v>0</v>
      </c>
      <c r="K732" s="192">
        <v>0</v>
      </c>
      <c r="L732" s="192">
        <v>129.77000000000001</v>
      </c>
      <c r="M732" s="192">
        <v>0</v>
      </c>
      <c r="N732" s="192">
        <v>80</v>
      </c>
      <c r="O732" s="192">
        <v>2071.88</v>
      </c>
      <c r="P732" s="192">
        <v>0</v>
      </c>
      <c r="Q732" s="192">
        <v>166.64</v>
      </c>
      <c r="R732" s="192">
        <v>0</v>
      </c>
      <c r="S732" s="285">
        <f t="shared" si="65"/>
        <v>0.28499999999999998</v>
      </c>
      <c r="T732" s="192">
        <v>0</v>
      </c>
      <c r="U732" s="291">
        <v>2238.52</v>
      </c>
      <c r="V732" s="291">
        <v>2238.52</v>
      </c>
      <c r="W732" s="292">
        <v>26727.239999999998</v>
      </c>
      <c r="X732" s="292">
        <v>26862.239999999998</v>
      </c>
      <c r="Y732" s="292">
        <v>26772.239999999998</v>
      </c>
      <c r="Z732" s="292">
        <v>29073.040000000001</v>
      </c>
      <c r="AA732" s="290">
        <v>29741.71992</v>
      </c>
      <c r="AB732" s="285">
        <v>29509.135599999998</v>
      </c>
      <c r="AC732" s="290">
        <v>2227.27</v>
      </c>
      <c r="AD732" s="192">
        <v>12</v>
      </c>
      <c r="AE732" s="290">
        <v>2238.52</v>
      </c>
      <c r="AF732" s="194">
        <v>28965.759999999998</v>
      </c>
      <c r="AG732" s="215"/>
      <c r="AJ732" s="388">
        <f t="shared" si="66"/>
        <v>0</v>
      </c>
    </row>
    <row r="733" spans="1:36" x14ac:dyDescent="0.3">
      <c r="A733" s="192">
        <v>5831</v>
      </c>
      <c r="B733" s="192">
        <v>99</v>
      </c>
      <c r="C733" s="192">
        <v>0</v>
      </c>
      <c r="D733" s="192" t="s">
        <v>1699</v>
      </c>
      <c r="E733" s="192">
        <v>4352230</v>
      </c>
      <c r="F733" s="192" t="s">
        <v>1754</v>
      </c>
      <c r="G733" s="290">
        <v>0.6</v>
      </c>
      <c r="H733" s="192">
        <v>4972.3999999999996</v>
      </c>
      <c r="I733" s="192">
        <v>935.06</v>
      </c>
      <c r="J733" s="192">
        <v>0</v>
      </c>
      <c r="K733" s="192">
        <v>0</v>
      </c>
      <c r="L733" s="192">
        <v>791.46</v>
      </c>
      <c r="M733" s="192">
        <v>0</v>
      </c>
      <c r="N733" s="192">
        <v>0</v>
      </c>
      <c r="O733" s="192">
        <v>6698.92</v>
      </c>
      <c r="P733" s="192">
        <v>0</v>
      </c>
      <c r="Q733" s="192">
        <v>513.66999999999996</v>
      </c>
      <c r="R733" s="192">
        <v>0</v>
      </c>
      <c r="S733" s="285">
        <f t="shared" si="65"/>
        <v>0.6</v>
      </c>
      <c r="T733" s="192">
        <v>0</v>
      </c>
      <c r="U733" s="291">
        <v>7212.59</v>
      </c>
      <c r="V733" s="291">
        <v>7212.59</v>
      </c>
      <c r="W733" s="292">
        <v>86416.08</v>
      </c>
      <c r="X733" s="292">
        <v>86551.08</v>
      </c>
      <c r="Y733" s="292">
        <v>86461.08</v>
      </c>
      <c r="Z733" s="292">
        <v>95943.66</v>
      </c>
      <c r="AA733" s="290">
        <v>98150.36417999999</v>
      </c>
      <c r="AB733" s="285">
        <v>97382.814899999998</v>
      </c>
      <c r="AC733" s="290">
        <v>7201.34</v>
      </c>
      <c r="AD733" s="192">
        <v>12</v>
      </c>
      <c r="AE733" s="290">
        <v>7212.59</v>
      </c>
      <c r="AF733" s="194">
        <v>93628.67</v>
      </c>
      <c r="AG733" s="215"/>
      <c r="AJ733" s="388">
        <f t="shared" si="66"/>
        <v>0</v>
      </c>
    </row>
    <row r="734" spans="1:36" x14ac:dyDescent="0.3">
      <c r="A734" s="192">
        <v>5831</v>
      </c>
      <c r="B734" s="192">
        <v>99</v>
      </c>
      <c r="C734" s="192">
        <v>0</v>
      </c>
      <c r="D734" s="192" t="s">
        <v>1699</v>
      </c>
      <c r="E734" s="192">
        <v>4367863</v>
      </c>
      <c r="F734" s="192" t="s">
        <v>1755</v>
      </c>
      <c r="G734" s="290">
        <v>0.29899999999999999</v>
      </c>
      <c r="H734" s="192">
        <v>1859.7</v>
      </c>
      <c r="I734" s="192">
        <v>0</v>
      </c>
      <c r="J734" s="192">
        <v>0</v>
      </c>
      <c r="K734" s="192">
        <v>0</v>
      </c>
      <c r="L734" s="192">
        <v>110.46</v>
      </c>
      <c r="M734" s="192">
        <v>0</v>
      </c>
      <c r="N734" s="192">
        <v>62</v>
      </c>
      <c r="O734" s="192">
        <v>2032.16</v>
      </c>
      <c r="P734" s="192">
        <v>0</v>
      </c>
      <c r="Q734" s="192">
        <v>163.66</v>
      </c>
      <c r="R734" s="192">
        <v>0</v>
      </c>
      <c r="S734" s="285">
        <f t="shared" ref="S734:S797" si="67">G734*AD734/$AG$1</f>
        <v>0.29899999999999999</v>
      </c>
      <c r="T734" s="192">
        <v>0</v>
      </c>
      <c r="U734" s="291">
        <v>2195.8200000000002</v>
      </c>
      <c r="V734" s="291">
        <v>2195.8200000000002</v>
      </c>
      <c r="W734" s="292">
        <v>26214.840000000004</v>
      </c>
      <c r="X734" s="292">
        <v>26349.840000000004</v>
      </c>
      <c r="Y734" s="292">
        <v>26259.840000000004</v>
      </c>
      <c r="Z734" s="292">
        <v>28601.03</v>
      </c>
      <c r="AA734" s="290">
        <v>29258.853689999996</v>
      </c>
      <c r="AB734" s="285">
        <v>29030.045449999998</v>
      </c>
      <c r="AC734" s="290">
        <v>2184.5700000000002</v>
      </c>
      <c r="AD734" s="192">
        <v>12</v>
      </c>
      <c r="AE734" s="290">
        <v>2195.8200000000002</v>
      </c>
      <c r="AF734" s="194">
        <v>28410.660000000003</v>
      </c>
      <c r="AG734" s="215"/>
      <c r="AJ734" s="388">
        <f t="shared" ref="AJ734:AJ797" si="68">G734-S734</f>
        <v>0</v>
      </c>
    </row>
    <row r="735" spans="1:36" x14ac:dyDescent="0.3">
      <c r="A735" s="192">
        <v>5831</v>
      </c>
      <c r="B735" s="192">
        <v>99</v>
      </c>
      <c r="C735" s="192">
        <v>0</v>
      </c>
      <c r="D735" s="192" t="s">
        <v>1699</v>
      </c>
      <c r="E735" s="192">
        <v>4547353</v>
      </c>
      <c r="F735" s="192" t="s">
        <v>1756</v>
      </c>
      <c r="G735" s="290">
        <v>0.46</v>
      </c>
      <c r="H735" s="192">
        <v>3085.8</v>
      </c>
      <c r="I735" s="192">
        <v>0</v>
      </c>
      <c r="J735" s="192">
        <v>0</v>
      </c>
      <c r="K735" s="192">
        <v>0</v>
      </c>
      <c r="L735" s="192">
        <v>115.49</v>
      </c>
      <c r="M735" s="192">
        <v>0</v>
      </c>
      <c r="N735" s="192">
        <v>0</v>
      </c>
      <c r="O735" s="192">
        <v>3201.29</v>
      </c>
      <c r="P735" s="192">
        <v>0</v>
      </c>
      <c r="Q735" s="192">
        <v>251.35</v>
      </c>
      <c r="R735" s="192">
        <v>0</v>
      </c>
      <c r="S735" s="285">
        <f t="shared" si="67"/>
        <v>0.46</v>
      </c>
      <c r="T735" s="192">
        <v>0</v>
      </c>
      <c r="U735" s="291">
        <v>3452.64</v>
      </c>
      <c r="V735" s="291">
        <v>3452.64</v>
      </c>
      <c r="W735" s="292">
        <v>41296.68</v>
      </c>
      <c r="X735" s="292">
        <v>41431.68</v>
      </c>
      <c r="Y735" s="292">
        <v>41341.68</v>
      </c>
      <c r="Z735" s="292">
        <v>47534.04</v>
      </c>
      <c r="AA735" s="290">
        <v>48627.322919999999</v>
      </c>
      <c r="AB735" s="285">
        <v>48247.050599999995</v>
      </c>
      <c r="AC735" s="290">
        <v>3441.39</v>
      </c>
      <c r="AD735" s="192">
        <v>12</v>
      </c>
      <c r="AE735" s="290">
        <v>3452.64</v>
      </c>
      <c r="AF735" s="194">
        <v>44749.32</v>
      </c>
      <c r="AG735" s="215"/>
      <c r="AJ735" s="388">
        <f t="shared" si="68"/>
        <v>0</v>
      </c>
    </row>
    <row r="736" spans="1:36" x14ac:dyDescent="0.3">
      <c r="A736" s="192">
        <v>5831</v>
      </c>
      <c r="B736" s="192">
        <v>99</v>
      </c>
      <c r="C736" s="192">
        <v>0</v>
      </c>
      <c r="D736" s="192" t="s">
        <v>1699</v>
      </c>
      <c r="E736" s="192">
        <v>4562744</v>
      </c>
      <c r="F736" s="192" t="s">
        <v>1757</v>
      </c>
      <c r="G736" s="290">
        <v>0.44</v>
      </c>
      <c r="H736" s="192">
        <v>18428.189999999999</v>
      </c>
      <c r="I736" s="192">
        <v>0</v>
      </c>
      <c r="J736" s="192">
        <v>0</v>
      </c>
      <c r="K736" s="192">
        <v>0</v>
      </c>
      <c r="L736" s="192">
        <v>0</v>
      </c>
      <c r="M736" s="192">
        <v>0</v>
      </c>
      <c r="N736" s="192">
        <v>187.5</v>
      </c>
      <c r="O736" s="192">
        <v>18615.689999999999</v>
      </c>
      <c r="P736" s="192">
        <v>0</v>
      </c>
      <c r="Q736" s="192">
        <v>1407.43</v>
      </c>
      <c r="R736" s="192">
        <v>0</v>
      </c>
      <c r="S736" s="285">
        <f t="shared" si="67"/>
        <v>0.44</v>
      </c>
      <c r="T736" s="192">
        <v>0</v>
      </c>
      <c r="U736" s="291">
        <v>20023.12</v>
      </c>
      <c r="V736" s="291">
        <v>20023.12</v>
      </c>
      <c r="W736" s="292">
        <v>240142.44</v>
      </c>
      <c r="X736" s="292">
        <v>240277.44</v>
      </c>
      <c r="Y736" s="292">
        <v>240187.44</v>
      </c>
      <c r="Z736" s="292">
        <v>240625.35</v>
      </c>
      <c r="AA736" s="290">
        <v>246159.73304999998</v>
      </c>
      <c r="AB736" s="285">
        <v>244234.73024999999</v>
      </c>
      <c r="AC736" s="290">
        <v>20011.87</v>
      </c>
      <c r="AD736" s="192">
        <v>12</v>
      </c>
      <c r="AE736" s="290">
        <v>20023.12</v>
      </c>
      <c r="AF736" s="194">
        <v>260165.56</v>
      </c>
      <c r="AG736" s="215"/>
      <c r="AJ736" s="388">
        <f t="shared" si="68"/>
        <v>0</v>
      </c>
    </row>
    <row r="737" spans="1:36" x14ac:dyDescent="0.3">
      <c r="A737" s="192">
        <v>5831</v>
      </c>
      <c r="B737" s="192">
        <v>99</v>
      </c>
      <c r="C737" s="192">
        <v>0</v>
      </c>
      <c r="D737" s="192" t="s">
        <v>1699</v>
      </c>
      <c r="E737" s="192">
        <v>4570594</v>
      </c>
      <c r="F737" s="192" t="s">
        <v>1758</v>
      </c>
      <c r="G737" s="290">
        <v>0.42699999999999999</v>
      </c>
      <c r="H737" s="192">
        <v>2495.3000000000002</v>
      </c>
      <c r="I737" s="192">
        <v>0</v>
      </c>
      <c r="J737" s="192">
        <v>0</v>
      </c>
      <c r="K737" s="192">
        <v>0</v>
      </c>
      <c r="L737" s="192">
        <v>95.88</v>
      </c>
      <c r="M737" s="192">
        <v>0</v>
      </c>
      <c r="N737" s="192">
        <v>0</v>
      </c>
      <c r="O737" s="192">
        <v>2591.1799999999998</v>
      </c>
      <c r="P737" s="192">
        <v>0</v>
      </c>
      <c r="Q737" s="192">
        <v>205.59</v>
      </c>
      <c r="R737" s="192">
        <v>0</v>
      </c>
      <c r="S737" s="285">
        <f t="shared" si="67"/>
        <v>0.42699999999999999</v>
      </c>
      <c r="T737" s="192">
        <v>0</v>
      </c>
      <c r="U737" s="291">
        <v>2796.77</v>
      </c>
      <c r="V737" s="291">
        <v>2796.77</v>
      </c>
      <c r="W737" s="292">
        <v>33426.239999999998</v>
      </c>
      <c r="X737" s="292">
        <v>33561.24</v>
      </c>
      <c r="Y737" s="292">
        <v>33471.24</v>
      </c>
      <c r="Z737" s="292">
        <v>37491.699999999997</v>
      </c>
      <c r="AA737" s="290">
        <v>38354.009099999996</v>
      </c>
      <c r="AB737" s="285">
        <v>38054.075499999992</v>
      </c>
      <c r="AC737" s="290">
        <v>2785.52</v>
      </c>
      <c r="AD737" s="192">
        <v>12</v>
      </c>
      <c r="AE737" s="290">
        <v>2796.77</v>
      </c>
      <c r="AF737" s="194">
        <v>36223.009999999995</v>
      </c>
      <c r="AG737" s="215"/>
      <c r="AJ737" s="388">
        <f t="shared" si="68"/>
        <v>0</v>
      </c>
    </row>
    <row r="738" spans="1:36" x14ac:dyDescent="0.3">
      <c r="A738" s="192">
        <v>5831</v>
      </c>
      <c r="B738" s="192">
        <v>99</v>
      </c>
      <c r="C738" s="192">
        <v>0</v>
      </c>
      <c r="D738" s="192" t="s">
        <v>1699</v>
      </c>
      <c r="E738" s="192">
        <v>4578282</v>
      </c>
      <c r="F738" s="192" t="s">
        <v>1759</v>
      </c>
      <c r="G738" s="290">
        <v>0.26</v>
      </c>
      <c r="H738" s="192">
        <v>1474.33</v>
      </c>
      <c r="I738" s="192">
        <v>0</v>
      </c>
      <c r="J738" s="192">
        <v>0</v>
      </c>
      <c r="K738" s="192">
        <v>0</v>
      </c>
      <c r="L738" s="192">
        <v>130.03</v>
      </c>
      <c r="M738" s="192">
        <v>0</v>
      </c>
      <c r="N738" s="192">
        <v>0</v>
      </c>
      <c r="O738" s="192">
        <v>1604.36</v>
      </c>
      <c r="P738" s="192">
        <v>0</v>
      </c>
      <c r="Q738" s="192">
        <v>131.58000000000001</v>
      </c>
      <c r="R738" s="192">
        <v>0</v>
      </c>
      <c r="S738" s="285">
        <f t="shared" si="67"/>
        <v>0.26</v>
      </c>
      <c r="T738" s="192">
        <v>0</v>
      </c>
      <c r="U738" s="291">
        <v>1735.94</v>
      </c>
      <c r="V738" s="291">
        <v>1735.94</v>
      </c>
      <c r="W738" s="292">
        <v>20696.28</v>
      </c>
      <c r="X738" s="292">
        <v>20831.28</v>
      </c>
      <c r="Y738" s="292">
        <v>20741.28</v>
      </c>
      <c r="Z738" s="292">
        <v>22722.959999999999</v>
      </c>
      <c r="AA738" s="290">
        <v>23245.588080000001</v>
      </c>
      <c r="AB738" s="285">
        <v>23063.804400000001</v>
      </c>
      <c r="AC738" s="290">
        <v>1724.69</v>
      </c>
      <c r="AD738" s="192">
        <v>12</v>
      </c>
      <c r="AE738" s="290">
        <v>1735.94</v>
      </c>
      <c r="AF738" s="194">
        <v>22432.219999999998</v>
      </c>
      <c r="AG738" s="215"/>
      <c r="AJ738" s="388">
        <f t="shared" si="68"/>
        <v>0</v>
      </c>
    </row>
    <row r="739" spans="1:36" x14ac:dyDescent="0.3">
      <c r="A739" s="192">
        <v>5831</v>
      </c>
      <c r="B739" s="192">
        <v>99</v>
      </c>
      <c r="C739" s="192">
        <v>0</v>
      </c>
      <c r="D739" s="192" t="s">
        <v>1699</v>
      </c>
      <c r="E739" s="192">
        <v>4581694</v>
      </c>
      <c r="F739" s="192" t="s">
        <v>1760</v>
      </c>
      <c r="G739" s="290">
        <v>0.56699999999999995</v>
      </c>
      <c r="H739" s="192">
        <v>3193.75</v>
      </c>
      <c r="I739" s="192">
        <v>0</v>
      </c>
      <c r="J739" s="192">
        <v>0</v>
      </c>
      <c r="K739" s="192">
        <v>0</v>
      </c>
      <c r="L739" s="192">
        <v>370.87</v>
      </c>
      <c r="M739" s="192">
        <v>0</v>
      </c>
      <c r="N739" s="192">
        <v>0</v>
      </c>
      <c r="O739" s="192">
        <v>3564.62</v>
      </c>
      <c r="P739" s="192">
        <v>0</v>
      </c>
      <c r="Q739" s="192">
        <v>278.60000000000002</v>
      </c>
      <c r="R739" s="192">
        <v>0</v>
      </c>
      <c r="S739" s="285">
        <f t="shared" si="67"/>
        <v>0.56699999999999995</v>
      </c>
      <c r="T739" s="192">
        <v>0</v>
      </c>
      <c r="U739" s="291">
        <v>3843.22</v>
      </c>
      <c r="V739" s="291">
        <v>3843.22</v>
      </c>
      <c r="W739" s="292">
        <v>45983.64</v>
      </c>
      <c r="X739" s="292">
        <v>46118.64</v>
      </c>
      <c r="Y739" s="292">
        <v>46028.639999999999</v>
      </c>
      <c r="Z739" s="292">
        <v>50097.19</v>
      </c>
      <c r="AA739" s="290">
        <v>51249.425369999997</v>
      </c>
      <c r="AB739" s="285">
        <v>50848.647849999994</v>
      </c>
      <c r="AC739" s="290">
        <v>3831.97</v>
      </c>
      <c r="AD739" s="192">
        <v>12</v>
      </c>
      <c r="AE739" s="290">
        <v>3843.22</v>
      </c>
      <c r="AF739" s="194">
        <v>49826.86</v>
      </c>
      <c r="AG739" s="215"/>
      <c r="AJ739" s="388">
        <f t="shared" si="68"/>
        <v>0</v>
      </c>
    </row>
    <row r="740" spans="1:36" x14ac:dyDescent="0.3">
      <c r="A740" s="192">
        <v>5831</v>
      </c>
      <c r="B740" s="192">
        <v>99</v>
      </c>
      <c r="C740" s="192">
        <v>0</v>
      </c>
      <c r="D740" s="192" t="s">
        <v>1699</v>
      </c>
      <c r="E740" s="192">
        <v>4589545</v>
      </c>
      <c r="F740" s="192" t="s">
        <v>1761</v>
      </c>
      <c r="G740" s="290">
        <v>0.36899999999999999</v>
      </c>
      <c r="H740" s="192">
        <v>2310.94</v>
      </c>
      <c r="I740" s="192">
        <v>0</v>
      </c>
      <c r="J740" s="192">
        <v>0</v>
      </c>
      <c r="K740" s="192">
        <v>0</v>
      </c>
      <c r="L740" s="192">
        <v>137.72999999999999</v>
      </c>
      <c r="M740" s="192">
        <v>0</v>
      </c>
      <c r="N740" s="192">
        <v>80</v>
      </c>
      <c r="O740" s="192">
        <v>2528.67</v>
      </c>
      <c r="P740" s="192">
        <v>0</v>
      </c>
      <c r="Q740" s="192">
        <v>200.9</v>
      </c>
      <c r="R740" s="192">
        <v>0</v>
      </c>
      <c r="S740" s="285">
        <f t="shared" si="67"/>
        <v>0.36899999999999999</v>
      </c>
      <c r="T740" s="192">
        <v>0</v>
      </c>
      <c r="U740" s="291">
        <v>2729.57</v>
      </c>
      <c r="V740" s="291">
        <v>2729.57</v>
      </c>
      <c r="W740" s="292">
        <v>32619.840000000004</v>
      </c>
      <c r="X740" s="292">
        <v>32754.840000000004</v>
      </c>
      <c r="Y740" s="292">
        <v>32664.840000000004</v>
      </c>
      <c r="Z740" s="292">
        <v>35450.410000000003</v>
      </c>
      <c r="AA740" s="290">
        <v>36265.76943</v>
      </c>
      <c r="AB740" s="285">
        <v>35982.166149999997</v>
      </c>
      <c r="AC740" s="290">
        <v>2718.32</v>
      </c>
      <c r="AD740" s="192">
        <v>12</v>
      </c>
      <c r="AE740" s="290">
        <v>2729.57</v>
      </c>
      <c r="AF740" s="194">
        <v>35349.410000000003</v>
      </c>
      <c r="AG740" s="215"/>
      <c r="AJ740" s="388">
        <f t="shared" si="68"/>
        <v>0</v>
      </c>
    </row>
    <row r="741" spans="1:36" x14ac:dyDescent="0.3">
      <c r="A741" s="192">
        <v>5831</v>
      </c>
      <c r="B741" s="192">
        <v>99</v>
      </c>
      <c r="C741" s="192">
        <v>0</v>
      </c>
      <c r="D741" s="192" t="s">
        <v>1699</v>
      </c>
      <c r="E741" s="192">
        <v>4634021</v>
      </c>
      <c r="F741" s="192" t="s">
        <v>1762</v>
      </c>
      <c r="G741" s="290">
        <v>0.27200000000000002</v>
      </c>
      <c r="H741" s="192">
        <v>1560.48</v>
      </c>
      <c r="I741" s="192">
        <v>0</v>
      </c>
      <c r="J741" s="192">
        <v>0</v>
      </c>
      <c r="K741" s="192">
        <v>0</v>
      </c>
      <c r="L741" s="192">
        <v>138.30000000000001</v>
      </c>
      <c r="M741" s="192">
        <v>0</v>
      </c>
      <c r="N741" s="192">
        <v>0</v>
      </c>
      <c r="O741" s="192">
        <v>1698.78</v>
      </c>
      <c r="P741" s="192">
        <v>0</v>
      </c>
      <c r="Q741" s="192">
        <v>138.66</v>
      </c>
      <c r="R741" s="192">
        <v>0</v>
      </c>
      <c r="S741" s="285">
        <f t="shared" si="67"/>
        <v>0.27200000000000002</v>
      </c>
      <c r="T741" s="192">
        <v>0</v>
      </c>
      <c r="U741" s="291">
        <v>1837.44</v>
      </c>
      <c r="V741" s="291">
        <v>1837.44</v>
      </c>
      <c r="W741" s="292">
        <v>21914.28</v>
      </c>
      <c r="X741" s="292">
        <v>22049.279999999999</v>
      </c>
      <c r="Y741" s="292">
        <v>21959.279999999999</v>
      </c>
      <c r="Z741" s="292">
        <v>24011.64</v>
      </c>
      <c r="AA741" s="290">
        <v>24563.907719999996</v>
      </c>
      <c r="AB741" s="285">
        <v>24371.814599999998</v>
      </c>
      <c r="AC741" s="290">
        <v>1826.19</v>
      </c>
      <c r="AD741" s="192">
        <v>12</v>
      </c>
      <c r="AE741" s="290">
        <v>1837.44</v>
      </c>
      <c r="AF741" s="194">
        <v>23751.719999999998</v>
      </c>
      <c r="AG741" s="215"/>
      <c r="AJ741" s="388">
        <f t="shared" si="68"/>
        <v>0</v>
      </c>
    </row>
    <row r="742" spans="1:36" x14ac:dyDescent="0.3">
      <c r="A742" s="192">
        <v>5831</v>
      </c>
      <c r="B742" s="192">
        <v>99</v>
      </c>
      <c r="C742" s="192">
        <v>0</v>
      </c>
      <c r="D742" s="192" t="s">
        <v>1699</v>
      </c>
      <c r="E742" s="192">
        <v>4638504</v>
      </c>
      <c r="F742" s="192" t="s">
        <v>1763</v>
      </c>
      <c r="G742" s="290">
        <v>0.7</v>
      </c>
      <c r="H742" s="192">
        <v>5989.85</v>
      </c>
      <c r="I742" s="192">
        <v>0</v>
      </c>
      <c r="J742" s="192">
        <v>0</v>
      </c>
      <c r="K742" s="192">
        <v>0</v>
      </c>
      <c r="L742" s="192">
        <v>173.32</v>
      </c>
      <c r="M742" s="192">
        <v>0</v>
      </c>
      <c r="N742" s="192">
        <v>0</v>
      </c>
      <c r="O742" s="192">
        <v>6163.17</v>
      </c>
      <c r="P742" s="192">
        <v>0</v>
      </c>
      <c r="Q742" s="192">
        <v>473.49</v>
      </c>
      <c r="R742" s="192">
        <v>0</v>
      </c>
      <c r="S742" s="285">
        <f t="shared" si="67"/>
        <v>0.69999999999999984</v>
      </c>
      <c r="T742" s="192">
        <v>0</v>
      </c>
      <c r="U742" s="291">
        <v>6636.66</v>
      </c>
      <c r="V742" s="291">
        <v>6636.66</v>
      </c>
      <c r="W742" s="292">
        <v>79504.92</v>
      </c>
      <c r="X742" s="292">
        <v>79639.92</v>
      </c>
      <c r="Y742" s="292">
        <v>79549.919999999998</v>
      </c>
      <c r="Z742" s="292">
        <v>89470.96</v>
      </c>
      <c r="AA742" s="290">
        <v>91528.792079999999</v>
      </c>
      <c r="AB742" s="285">
        <v>90813.024399999995</v>
      </c>
      <c r="AC742" s="290">
        <v>6625.41</v>
      </c>
      <c r="AD742" s="192">
        <v>12</v>
      </c>
      <c r="AE742" s="290">
        <v>6636.66</v>
      </c>
      <c r="AF742" s="194">
        <v>86141.58</v>
      </c>
      <c r="AG742" s="215"/>
      <c r="AJ742" s="388">
        <f t="shared" si="68"/>
        <v>0</v>
      </c>
    </row>
    <row r="743" spans="1:36" x14ac:dyDescent="0.3">
      <c r="A743" s="192">
        <v>5831</v>
      </c>
      <c r="B743" s="192">
        <v>99</v>
      </c>
      <c r="C743" s="192">
        <v>0</v>
      </c>
      <c r="D743" s="192" t="s">
        <v>1699</v>
      </c>
      <c r="E743" s="192">
        <v>4640273</v>
      </c>
      <c r="F743" s="192" t="s">
        <v>1764</v>
      </c>
      <c r="G743" s="290">
        <v>0.7</v>
      </c>
      <c r="H743" s="192">
        <v>5855.48</v>
      </c>
      <c r="I743" s="192">
        <v>1198.8399999999999</v>
      </c>
      <c r="J743" s="192">
        <v>0</v>
      </c>
      <c r="K743" s="192">
        <v>0</v>
      </c>
      <c r="L743" s="192">
        <v>405.14</v>
      </c>
      <c r="M743" s="192">
        <v>0</v>
      </c>
      <c r="N743" s="192">
        <v>0</v>
      </c>
      <c r="O743" s="192">
        <v>7459.46</v>
      </c>
      <c r="P743" s="192">
        <v>0</v>
      </c>
      <c r="Q743" s="192">
        <v>570.71</v>
      </c>
      <c r="R743" s="192">
        <v>0</v>
      </c>
      <c r="S743" s="285">
        <f t="shared" si="67"/>
        <v>0.69999999999999984</v>
      </c>
      <c r="T743" s="192">
        <v>0</v>
      </c>
      <c r="U743" s="291">
        <v>8030.17</v>
      </c>
      <c r="V743" s="291">
        <v>8030.17</v>
      </c>
      <c r="W743" s="292">
        <v>96227.040000000008</v>
      </c>
      <c r="X743" s="292">
        <v>96362.040000000008</v>
      </c>
      <c r="Y743" s="292">
        <v>96272.04</v>
      </c>
      <c r="Z743" s="292">
        <v>106506.16</v>
      </c>
      <c r="AA743" s="290">
        <v>108955.80167999999</v>
      </c>
      <c r="AB743" s="285">
        <v>108103.7524</v>
      </c>
      <c r="AC743" s="290">
        <v>8018.92</v>
      </c>
      <c r="AD743" s="192">
        <v>12</v>
      </c>
      <c r="AE743" s="290">
        <v>8030.17</v>
      </c>
      <c r="AF743" s="194">
        <v>104257.21</v>
      </c>
      <c r="AG743" s="215"/>
      <c r="AJ743" s="388">
        <f t="shared" si="68"/>
        <v>0</v>
      </c>
    </row>
    <row r="744" spans="1:36" x14ac:dyDescent="0.3">
      <c r="A744" s="192">
        <v>5831</v>
      </c>
      <c r="B744" s="192">
        <v>99</v>
      </c>
      <c r="C744" s="192">
        <v>0</v>
      </c>
      <c r="D744" s="192" t="s">
        <v>1699</v>
      </c>
      <c r="E744" s="192">
        <v>4658024</v>
      </c>
      <c r="F744" s="192" t="s">
        <v>1765</v>
      </c>
      <c r="G744" s="290">
        <v>0.7</v>
      </c>
      <c r="H744" s="192">
        <v>5825.8</v>
      </c>
      <c r="I744" s="192">
        <v>0</v>
      </c>
      <c r="J744" s="192">
        <v>0</v>
      </c>
      <c r="K744" s="192">
        <v>0</v>
      </c>
      <c r="L744" s="192">
        <v>171.39</v>
      </c>
      <c r="M744" s="192">
        <v>0</v>
      </c>
      <c r="N744" s="192">
        <v>0</v>
      </c>
      <c r="O744" s="192">
        <v>5997.19</v>
      </c>
      <c r="P744" s="192">
        <v>0</v>
      </c>
      <c r="Q744" s="192">
        <v>461.04</v>
      </c>
      <c r="R744" s="192">
        <v>0</v>
      </c>
      <c r="S744" s="285">
        <f t="shared" si="67"/>
        <v>0.69999999999999984</v>
      </c>
      <c r="T744" s="192">
        <v>0</v>
      </c>
      <c r="U744" s="291">
        <v>6458.23</v>
      </c>
      <c r="V744" s="291">
        <v>6458.23</v>
      </c>
      <c r="W744" s="292">
        <v>77363.759999999995</v>
      </c>
      <c r="X744" s="292">
        <v>77498.759999999995</v>
      </c>
      <c r="Y744" s="292">
        <v>77408.759999999995</v>
      </c>
      <c r="Z744" s="292">
        <v>87162.57</v>
      </c>
      <c r="AA744" s="290">
        <v>89167.309110000002</v>
      </c>
      <c r="AB744" s="285">
        <v>88470.008549999999</v>
      </c>
      <c r="AC744" s="290">
        <v>6446.98</v>
      </c>
      <c r="AD744" s="192">
        <v>12</v>
      </c>
      <c r="AE744" s="290">
        <v>6458.23</v>
      </c>
      <c r="AF744" s="194">
        <v>83821.989999999991</v>
      </c>
      <c r="AG744" s="215"/>
      <c r="AJ744" s="388">
        <f t="shared" si="68"/>
        <v>0</v>
      </c>
    </row>
    <row r="745" spans="1:36" x14ac:dyDescent="0.3">
      <c r="A745" s="192">
        <v>5831</v>
      </c>
      <c r="B745" s="192">
        <v>99</v>
      </c>
      <c r="C745" s="192">
        <v>0</v>
      </c>
      <c r="D745" s="192" t="s">
        <v>1699</v>
      </c>
      <c r="E745" s="192">
        <v>4659813</v>
      </c>
      <c r="F745" s="192" t="s">
        <v>1766</v>
      </c>
      <c r="G745" s="290">
        <v>0.105</v>
      </c>
      <c r="H745" s="192">
        <v>610.9</v>
      </c>
      <c r="I745" s="192">
        <v>0</v>
      </c>
      <c r="J745" s="192">
        <v>0</v>
      </c>
      <c r="K745" s="192">
        <v>0</v>
      </c>
      <c r="L745" s="192">
        <v>44.93</v>
      </c>
      <c r="M745" s="192">
        <v>0</v>
      </c>
      <c r="N745" s="192">
        <v>0</v>
      </c>
      <c r="O745" s="192">
        <v>655.83</v>
      </c>
      <c r="P745" s="192">
        <v>0</v>
      </c>
      <c r="Q745" s="192">
        <v>60.44</v>
      </c>
      <c r="R745" s="192">
        <v>0</v>
      </c>
      <c r="S745" s="285">
        <f t="shared" si="67"/>
        <v>0.105</v>
      </c>
      <c r="T745" s="192">
        <v>0</v>
      </c>
      <c r="U745" s="291">
        <v>716.27</v>
      </c>
      <c r="V745" s="291">
        <v>716.27</v>
      </c>
      <c r="W745" s="292">
        <v>8460.24</v>
      </c>
      <c r="X745" s="292">
        <v>8595.24</v>
      </c>
      <c r="Y745" s="292">
        <v>8505.24</v>
      </c>
      <c r="Z745" s="292">
        <v>9518.4599999999991</v>
      </c>
      <c r="AA745" s="290">
        <v>9737.3845799999999</v>
      </c>
      <c r="AB745" s="285">
        <v>9661.2368999999999</v>
      </c>
      <c r="AC745" s="290">
        <v>705.02</v>
      </c>
      <c r="AD745" s="192">
        <v>12</v>
      </c>
      <c r="AE745" s="290">
        <v>716.27</v>
      </c>
      <c r="AF745" s="194">
        <v>9176.51</v>
      </c>
      <c r="AG745" s="215"/>
      <c r="AJ745" s="388">
        <f t="shared" si="68"/>
        <v>0</v>
      </c>
    </row>
    <row r="746" spans="1:36" x14ac:dyDescent="0.3">
      <c r="A746" s="192">
        <v>5831</v>
      </c>
      <c r="B746" s="192">
        <v>99</v>
      </c>
      <c r="C746" s="192">
        <v>0</v>
      </c>
      <c r="D746" s="192" t="s">
        <v>1699</v>
      </c>
      <c r="E746" s="192">
        <v>4659944</v>
      </c>
      <c r="F746" s="192" t="s">
        <v>1767</v>
      </c>
      <c r="G746" s="290">
        <v>0.38</v>
      </c>
      <c r="H746" s="192">
        <v>3105.09</v>
      </c>
      <c r="I746" s="192">
        <v>444.4</v>
      </c>
      <c r="J746" s="192">
        <v>0</v>
      </c>
      <c r="K746" s="192">
        <v>0</v>
      </c>
      <c r="L746" s="192">
        <v>218.43</v>
      </c>
      <c r="M746" s="192">
        <v>0</v>
      </c>
      <c r="N746" s="192">
        <v>0</v>
      </c>
      <c r="O746" s="192">
        <v>3767.92</v>
      </c>
      <c r="P746" s="192">
        <v>0</v>
      </c>
      <c r="Q746" s="192">
        <v>0</v>
      </c>
      <c r="R746" s="192">
        <v>0</v>
      </c>
      <c r="S746" s="285">
        <f t="shared" si="67"/>
        <v>0.38000000000000006</v>
      </c>
      <c r="T746" s="192">
        <v>0</v>
      </c>
      <c r="U746" s="291">
        <v>3767.92</v>
      </c>
      <c r="V746" s="291">
        <v>3767.92</v>
      </c>
      <c r="W746" s="292">
        <v>45215.040000000001</v>
      </c>
      <c r="X746" s="292">
        <v>45215.040000000001</v>
      </c>
      <c r="Y746" s="292">
        <v>45215.040000000001</v>
      </c>
      <c r="Z746" s="292">
        <v>48659.4</v>
      </c>
      <c r="AA746" s="290">
        <v>49778.566199999994</v>
      </c>
      <c r="AB746" s="285">
        <v>49389.290999999997</v>
      </c>
      <c r="AC746" s="290">
        <v>3767.92</v>
      </c>
      <c r="AD746" s="192">
        <v>12</v>
      </c>
      <c r="AE746" s="290">
        <v>3767.92</v>
      </c>
      <c r="AF746" s="194">
        <v>48982.96</v>
      </c>
      <c r="AG746" s="215"/>
      <c r="AJ746" s="388">
        <f t="shared" si="68"/>
        <v>0</v>
      </c>
    </row>
    <row r="747" spans="1:36" x14ac:dyDescent="0.3">
      <c r="A747" s="192">
        <v>5831</v>
      </c>
      <c r="B747" s="192">
        <v>99</v>
      </c>
      <c r="C747" s="192">
        <v>0</v>
      </c>
      <c r="D747" s="192" t="s">
        <v>1699</v>
      </c>
      <c r="E747" s="192">
        <v>4690651</v>
      </c>
      <c r="F747" s="192" t="s">
        <v>1768</v>
      </c>
      <c r="G747" s="290">
        <v>0.55000000000000004</v>
      </c>
      <c r="H747" s="192">
        <v>3219.29</v>
      </c>
      <c r="I747" s="192">
        <v>0</v>
      </c>
      <c r="J747" s="192">
        <v>0</v>
      </c>
      <c r="K747" s="192">
        <v>0</v>
      </c>
      <c r="L747" s="192">
        <v>495.4</v>
      </c>
      <c r="M747" s="192">
        <v>0</v>
      </c>
      <c r="N747" s="192">
        <v>0</v>
      </c>
      <c r="O747" s="192">
        <v>3714.69</v>
      </c>
      <c r="P747" s="192">
        <v>0</v>
      </c>
      <c r="Q747" s="192">
        <v>289.85000000000002</v>
      </c>
      <c r="R747" s="192">
        <v>0</v>
      </c>
      <c r="S747" s="285">
        <f t="shared" si="67"/>
        <v>0.55000000000000004</v>
      </c>
      <c r="T747" s="192">
        <v>0</v>
      </c>
      <c r="U747" s="291">
        <v>4004.54</v>
      </c>
      <c r="V747" s="291">
        <v>4004.54</v>
      </c>
      <c r="W747" s="292">
        <v>47919.479999999996</v>
      </c>
      <c r="X747" s="292">
        <v>48054.479999999996</v>
      </c>
      <c r="Y747" s="292">
        <v>47964.480000000003</v>
      </c>
      <c r="Z747" s="292">
        <v>51658.57</v>
      </c>
      <c r="AA747" s="290">
        <v>52846.717109999998</v>
      </c>
      <c r="AB747" s="285">
        <v>52433.448549999994</v>
      </c>
      <c r="AC747" s="290">
        <v>3993.29</v>
      </c>
      <c r="AD747" s="192">
        <v>12</v>
      </c>
      <c r="AE747" s="290">
        <v>4004.54</v>
      </c>
      <c r="AF747" s="194">
        <v>51924.02</v>
      </c>
      <c r="AG747" s="215"/>
      <c r="AJ747" s="388">
        <f t="shared" si="68"/>
        <v>0</v>
      </c>
    </row>
    <row r="748" spans="1:36" x14ac:dyDescent="0.3">
      <c r="A748" s="192">
        <v>5831</v>
      </c>
      <c r="B748" s="192">
        <v>99</v>
      </c>
      <c r="C748" s="192">
        <v>0</v>
      </c>
      <c r="D748" s="192" t="s">
        <v>1699</v>
      </c>
      <c r="E748" s="192">
        <v>4752131</v>
      </c>
      <c r="F748" s="192" t="s">
        <v>1769</v>
      </c>
      <c r="G748" s="290">
        <v>0.40899999999999997</v>
      </c>
      <c r="H748" s="192">
        <v>2586.27</v>
      </c>
      <c r="I748" s="192">
        <v>0</v>
      </c>
      <c r="J748" s="192">
        <v>0</v>
      </c>
      <c r="K748" s="192">
        <v>0</v>
      </c>
      <c r="L748" s="192">
        <v>277.43</v>
      </c>
      <c r="M748" s="192">
        <v>0</v>
      </c>
      <c r="N748" s="192">
        <v>0</v>
      </c>
      <c r="O748" s="192">
        <v>2863.7</v>
      </c>
      <c r="P748" s="192">
        <v>0</v>
      </c>
      <c r="Q748" s="192">
        <v>226.03</v>
      </c>
      <c r="R748" s="192">
        <v>0</v>
      </c>
      <c r="S748" s="285">
        <f t="shared" si="67"/>
        <v>0.40899999999999997</v>
      </c>
      <c r="T748" s="192">
        <v>0</v>
      </c>
      <c r="U748" s="291">
        <v>3089.73</v>
      </c>
      <c r="V748" s="291">
        <v>3089.73</v>
      </c>
      <c r="W748" s="292">
        <v>36941.760000000002</v>
      </c>
      <c r="X748" s="292">
        <v>37076.76</v>
      </c>
      <c r="Y748" s="292">
        <v>36986.76</v>
      </c>
      <c r="Z748" s="292">
        <v>41892.28</v>
      </c>
      <c r="AA748" s="290">
        <v>42855.802439999992</v>
      </c>
      <c r="AB748" s="285">
        <v>42520.664199999992</v>
      </c>
      <c r="AC748" s="290">
        <v>3078.48</v>
      </c>
      <c r="AD748" s="192">
        <v>12</v>
      </c>
      <c r="AE748" s="290">
        <v>3089.73</v>
      </c>
      <c r="AF748" s="194">
        <v>40031.490000000005</v>
      </c>
      <c r="AG748" s="215"/>
      <c r="AJ748" s="388">
        <f t="shared" si="68"/>
        <v>0</v>
      </c>
    </row>
    <row r="749" spans="1:36" x14ac:dyDescent="0.3">
      <c r="A749" s="192">
        <v>5831</v>
      </c>
      <c r="B749" s="192">
        <v>99</v>
      </c>
      <c r="C749" s="192">
        <v>0</v>
      </c>
      <c r="D749" s="192" t="s">
        <v>1699</v>
      </c>
      <c r="E749" s="192">
        <v>4790423</v>
      </c>
      <c r="F749" s="192" t="s">
        <v>1770</v>
      </c>
      <c r="G749" s="290">
        <v>0.50963000000000003</v>
      </c>
      <c r="H749" s="192">
        <v>3388.84</v>
      </c>
      <c r="I749" s="192">
        <v>0</v>
      </c>
      <c r="J749" s="192">
        <v>0</v>
      </c>
      <c r="K749" s="192">
        <v>0</v>
      </c>
      <c r="L749" s="192">
        <v>211.05</v>
      </c>
      <c r="M749" s="192">
        <v>0</v>
      </c>
      <c r="N749" s="192">
        <v>0</v>
      </c>
      <c r="O749" s="192">
        <v>3599.89</v>
      </c>
      <c r="P749" s="192">
        <v>0</v>
      </c>
      <c r="Q749" s="192">
        <v>281.24</v>
      </c>
      <c r="R749" s="192">
        <v>0</v>
      </c>
      <c r="S749" s="285">
        <f t="shared" si="67"/>
        <v>0.50963000000000003</v>
      </c>
      <c r="T749" s="192">
        <v>0</v>
      </c>
      <c r="U749" s="291">
        <v>3881.13</v>
      </c>
      <c r="V749" s="291">
        <v>3881.13</v>
      </c>
      <c r="W749" s="292">
        <v>46438.559999999998</v>
      </c>
      <c r="X749" s="292">
        <v>46573.56</v>
      </c>
      <c r="Y749" s="292">
        <v>46483.56</v>
      </c>
      <c r="Z749" s="292">
        <v>50731.78</v>
      </c>
      <c r="AA749" s="290">
        <v>51898.610939999991</v>
      </c>
      <c r="AB749" s="285">
        <v>51492.756699999991</v>
      </c>
      <c r="AC749" s="290">
        <v>3869.88</v>
      </c>
      <c r="AD749" s="192">
        <v>12</v>
      </c>
      <c r="AE749" s="290">
        <v>3881.13</v>
      </c>
      <c r="AF749" s="194">
        <v>50319.689999999995</v>
      </c>
      <c r="AG749" s="215"/>
      <c r="AJ749" s="388">
        <f t="shared" si="68"/>
        <v>0</v>
      </c>
    </row>
    <row r="750" spans="1:36" x14ac:dyDescent="0.3">
      <c r="A750" s="192">
        <v>5831</v>
      </c>
      <c r="B750" s="192">
        <v>99</v>
      </c>
      <c r="C750" s="192">
        <v>0</v>
      </c>
      <c r="D750" s="192" t="s">
        <v>1699</v>
      </c>
      <c r="E750" s="192">
        <v>4812663</v>
      </c>
      <c r="F750" s="192" t="s">
        <v>1771</v>
      </c>
      <c r="G750" s="290">
        <v>0</v>
      </c>
      <c r="H750" s="192">
        <v>-356.63</v>
      </c>
      <c r="I750" s="192">
        <v>0</v>
      </c>
      <c r="J750" s="192">
        <v>0</v>
      </c>
      <c r="K750" s="192">
        <v>0</v>
      </c>
      <c r="L750" s="192">
        <v>-15.96</v>
      </c>
      <c r="M750" s="192">
        <v>0</v>
      </c>
      <c r="N750" s="192">
        <v>0</v>
      </c>
      <c r="O750" s="192">
        <v>-372.59</v>
      </c>
      <c r="P750" s="192">
        <v>0</v>
      </c>
      <c r="Q750" s="192">
        <v>-27.95</v>
      </c>
      <c r="R750" s="192">
        <v>0</v>
      </c>
      <c r="S750" s="285">
        <f t="shared" si="67"/>
        <v>0</v>
      </c>
      <c r="T750" s="192">
        <v>0</v>
      </c>
      <c r="U750" s="291">
        <v>-400.54</v>
      </c>
      <c r="V750" s="291">
        <v>-400.54</v>
      </c>
      <c r="W750" s="292">
        <v>67746.600000000006</v>
      </c>
      <c r="X750" s="292">
        <v>-4806.4800000000005</v>
      </c>
      <c r="Y750" s="292">
        <v>43562.239999999998</v>
      </c>
      <c r="Z750" s="292">
        <v>76537.13</v>
      </c>
      <c r="AA750" s="290">
        <v>78297.483989999993</v>
      </c>
      <c r="AB750" s="285">
        <v>77685.186950000003</v>
      </c>
      <c r="AC750" s="290">
        <v>5645.55</v>
      </c>
      <c r="AD750" s="192">
        <v>12</v>
      </c>
      <c r="AE750" s="290">
        <v>-400.54</v>
      </c>
      <c r="AF750" s="194">
        <v>67346.060000000012</v>
      </c>
      <c r="AG750" s="215"/>
      <c r="AJ750" s="388">
        <f t="shared" si="68"/>
        <v>0</v>
      </c>
    </row>
    <row r="751" spans="1:36" x14ac:dyDescent="0.3">
      <c r="A751" s="192">
        <v>5831</v>
      </c>
      <c r="B751" s="192">
        <v>99</v>
      </c>
      <c r="C751" s="192">
        <v>0</v>
      </c>
      <c r="D751" s="192" t="s">
        <v>1699</v>
      </c>
      <c r="E751" s="192">
        <v>4825185</v>
      </c>
      <c r="F751" s="192" t="s">
        <v>1772</v>
      </c>
      <c r="G751" s="290">
        <v>0.24</v>
      </c>
      <c r="H751" s="192">
        <v>1646.99</v>
      </c>
      <c r="I751" s="192">
        <v>0</v>
      </c>
      <c r="J751" s="192">
        <v>0</v>
      </c>
      <c r="K751" s="192">
        <v>0</v>
      </c>
      <c r="L751" s="192">
        <v>67.52</v>
      </c>
      <c r="M751" s="192">
        <v>0</v>
      </c>
      <c r="N751" s="192">
        <v>0</v>
      </c>
      <c r="O751" s="192">
        <v>1714.51</v>
      </c>
      <c r="P751" s="192">
        <v>0</v>
      </c>
      <c r="Q751" s="192">
        <v>0</v>
      </c>
      <c r="R751" s="192">
        <v>0</v>
      </c>
      <c r="S751" s="285">
        <f t="shared" si="67"/>
        <v>0.24</v>
      </c>
      <c r="T751" s="192">
        <v>0</v>
      </c>
      <c r="U751" s="291">
        <v>1714.51</v>
      </c>
      <c r="V751" s="291">
        <v>1714.51</v>
      </c>
      <c r="W751" s="292">
        <v>20574.12</v>
      </c>
      <c r="X751" s="292">
        <v>20574.12</v>
      </c>
      <c r="Y751" s="292">
        <v>20574.12</v>
      </c>
      <c r="Z751" s="292">
        <v>22724.07</v>
      </c>
      <c r="AA751" s="290">
        <v>23246.723609999997</v>
      </c>
      <c r="AB751" s="285">
        <v>23064.931049999999</v>
      </c>
      <c r="AC751" s="290">
        <v>1714.51</v>
      </c>
      <c r="AD751" s="192">
        <v>12</v>
      </c>
      <c r="AE751" s="290">
        <v>1714.51</v>
      </c>
      <c r="AF751" s="194">
        <v>22288.629999999997</v>
      </c>
      <c r="AG751" s="215"/>
      <c r="AJ751" s="388">
        <f t="shared" si="68"/>
        <v>0</v>
      </c>
    </row>
    <row r="752" spans="1:36" x14ac:dyDescent="0.3">
      <c r="A752" s="192">
        <v>5831</v>
      </c>
      <c r="B752" s="192">
        <v>99</v>
      </c>
      <c r="C752" s="192">
        <v>0</v>
      </c>
      <c r="D752" s="192" t="s">
        <v>1699</v>
      </c>
      <c r="E752" s="192">
        <v>4883274</v>
      </c>
      <c r="F752" s="192" t="s">
        <v>1773</v>
      </c>
      <c r="G752" s="290">
        <v>0.7</v>
      </c>
      <c r="H752" s="192">
        <v>14766.17</v>
      </c>
      <c r="I752" s="192">
        <v>0</v>
      </c>
      <c r="J752" s="192">
        <v>0</v>
      </c>
      <c r="K752" s="192">
        <v>0</v>
      </c>
      <c r="L752" s="192">
        <v>428.62</v>
      </c>
      <c r="M752" s="192">
        <v>0</v>
      </c>
      <c r="N752" s="192">
        <v>0</v>
      </c>
      <c r="O752" s="192">
        <v>15194.79</v>
      </c>
      <c r="P752" s="192">
        <v>0</v>
      </c>
      <c r="Q752" s="192">
        <v>1150.8599999999999</v>
      </c>
      <c r="R752" s="192">
        <v>0</v>
      </c>
      <c r="S752" s="285">
        <f t="shared" si="67"/>
        <v>0.69999999999999984</v>
      </c>
      <c r="T752" s="192">
        <v>0</v>
      </c>
      <c r="U752" s="291">
        <v>16345.65</v>
      </c>
      <c r="V752" s="291">
        <v>16345.65</v>
      </c>
      <c r="W752" s="292">
        <v>196012.79999999999</v>
      </c>
      <c r="X752" s="292">
        <v>196147.8</v>
      </c>
      <c r="Y752" s="292">
        <v>196057.8</v>
      </c>
      <c r="Z752" s="292">
        <v>211045.34</v>
      </c>
      <c r="AA752" s="290">
        <v>215899.38282</v>
      </c>
      <c r="AB752" s="285">
        <v>214211.02009999999</v>
      </c>
      <c r="AC752" s="290">
        <v>16334.4</v>
      </c>
      <c r="AD752" s="192">
        <v>12</v>
      </c>
      <c r="AE752" s="290">
        <v>16345.65</v>
      </c>
      <c r="AF752" s="194">
        <v>212358.44999999998</v>
      </c>
      <c r="AG752" s="215"/>
      <c r="AJ752" s="388">
        <f t="shared" si="68"/>
        <v>0</v>
      </c>
    </row>
    <row r="753" spans="1:36" x14ac:dyDescent="0.3">
      <c r="A753" s="192">
        <v>5831</v>
      </c>
      <c r="B753" s="192">
        <v>99</v>
      </c>
      <c r="C753" s="192">
        <v>0</v>
      </c>
      <c r="D753" s="192" t="s">
        <v>1699</v>
      </c>
      <c r="E753" s="192">
        <v>4927354</v>
      </c>
      <c r="F753" s="192" t="s">
        <v>1774</v>
      </c>
      <c r="G753" s="290">
        <v>0.33</v>
      </c>
      <c r="H753" s="192">
        <v>2111.44</v>
      </c>
      <c r="I753" s="192">
        <v>0</v>
      </c>
      <c r="J753" s="192">
        <v>0</v>
      </c>
      <c r="K753" s="192">
        <v>0</v>
      </c>
      <c r="L753" s="192">
        <v>59.5</v>
      </c>
      <c r="M753" s="192">
        <v>0</v>
      </c>
      <c r="N753" s="192">
        <v>0</v>
      </c>
      <c r="O753" s="192">
        <v>2170.94</v>
      </c>
      <c r="P753" s="192">
        <v>0</v>
      </c>
      <c r="Q753" s="192">
        <v>174.07</v>
      </c>
      <c r="R753" s="192">
        <v>0</v>
      </c>
      <c r="S753" s="285">
        <f t="shared" si="67"/>
        <v>0.33</v>
      </c>
      <c r="T753" s="192">
        <v>0</v>
      </c>
      <c r="U753" s="291">
        <v>2345.0100000000002</v>
      </c>
      <c r="V753" s="291">
        <v>2345.0100000000002</v>
      </c>
      <c r="W753" s="292">
        <v>28005.120000000003</v>
      </c>
      <c r="X753" s="292">
        <v>28140.120000000003</v>
      </c>
      <c r="Y753" s="292">
        <v>28050.119999999995</v>
      </c>
      <c r="Z753" s="292">
        <v>30659.59</v>
      </c>
      <c r="AA753" s="290">
        <v>31364.760569999999</v>
      </c>
      <c r="AB753" s="285">
        <v>31119.483849999997</v>
      </c>
      <c r="AC753" s="290">
        <v>2333.7600000000002</v>
      </c>
      <c r="AD753" s="192">
        <v>12</v>
      </c>
      <c r="AE753" s="290">
        <v>2345.0100000000002</v>
      </c>
      <c r="AF753" s="194">
        <v>30350.130000000005</v>
      </c>
      <c r="AG753" s="215"/>
      <c r="AJ753" s="388">
        <f t="shared" si="68"/>
        <v>0</v>
      </c>
    </row>
    <row r="754" spans="1:36" x14ac:dyDescent="0.3">
      <c r="A754" s="192">
        <v>5831</v>
      </c>
      <c r="B754" s="192">
        <v>99</v>
      </c>
      <c r="C754" s="192">
        <v>0</v>
      </c>
      <c r="D754" s="192" t="s">
        <v>1699</v>
      </c>
      <c r="E754" s="192">
        <v>4927703</v>
      </c>
      <c r="F754" s="192" t="s">
        <v>1775</v>
      </c>
      <c r="G754" s="290">
        <v>0.15375</v>
      </c>
      <c r="H754" s="192">
        <v>932.43</v>
      </c>
      <c r="I754" s="192">
        <v>0</v>
      </c>
      <c r="J754" s="192">
        <v>0</v>
      </c>
      <c r="K754" s="192">
        <v>0</v>
      </c>
      <c r="L754" s="192">
        <v>58.54</v>
      </c>
      <c r="M754" s="192">
        <v>0</v>
      </c>
      <c r="N754" s="192">
        <v>34</v>
      </c>
      <c r="O754" s="192">
        <v>1024.97</v>
      </c>
      <c r="P754" s="192">
        <v>0</v>
      </c>
      <c r="Q754" s="192">
        <v>88.12</v>
      </c>
      <c r="R754" s="192">
        <v>0</v>
      </c>
      <c r="S754" s="285">
        <f t="shared" si="67"/>
        <v>0.15375</v>
      </c>
      <c r="T754" s="192">
        <v>0</v>
      </c>
      <c r="U754" s="291">
        <v>1113.0899999999999</v>
      </c>
      <c r="V754" s="291">
        <v>1113.0899999999999</v>
      </c>
      <c r="W754" s="292">
        <v>13222.079999999998</v>
      </c>
      <c r="X754" s="292">
        <v>13357.079999999998</v>
      </c>
      <c r="Y754" s="292">
        <v>13267.079999999998</v>
      </c>
      <c r="Z754" s="292">
        <v>14715.51</v>
      </c>
      <c r="AA754" s="290">
        <v>15053.966729999996</v>
      </c>
      <c r="AB754" s="285">
        <v>14936.242649999997</v>
      </c>
      <c r="AC754" s="290">
        <v>1101.8399999999999</v>
      </c>
      <c r="AD754" s="192">
        <v>12</v>
      </c>
      <c r="AE754" s="290">
        <v>1113.0899999999999</v>
      </c>
      <c r="AF754" s="194">
        <v>14335.169999999998</v>
      </c>
      <c r="AG754" s="215"/>
      <c r="AJ754" s="388">
        <f t="shared" si="68"/>
        <v>0</v>
      </c>
    </row>
    <row r="755" spans="1:36" x14ac:dyDescent="0.3">
      <c r="A755" s="192">
        <v>5831</v>
      </c>
      <c r="B755" s="192">
        <v>99</v>
      </c>
      <c r="C755" s="192">
        <v>0</v>
      </c>
      <c r="D755" s="192" t="s">
        <v>1699</v>
      </c>
      <c r="E755" s="192">
        <v>4944044</v>
      </c>
      <c r="F755" s="192" t="s">
        <v>1776</v>
      </c>
      <c r="G755" s="290">
        <v>0</v>
      </c>
      <c r="H755" s="192">
        <v>-367.11</v>
      </c>
      <c r="I755" s="192">
        <v>-72.17</v>
      </c>
      <c r="J755" s="192">
        <v>0</v>
      </c>
      <c r="K755" s="192">
        <v>0</v>
      </c>
      <c r="L755" s="192">
        <v>-17.100000000000001</v>
      </c>
      <c r="M755" s="192">
        <v>0</v>
      </c>
      <c r="N755" s="192">
        <v>0</v>
      </c>
      <c r="O755" s="192">
        <v>-456.38</v>
      </c>
      <c r="P755" s="192">
        <v>0</v>
      </c>
      <c r="Q755" s="192">
        <v>-34.229999999999997</v>
      </c>
      <c r="R755" s="192">
        <v>0</v>
      </c>
      <c r="S755" s="285">
        <f t="shared" si="67"/>
        <v>0</v>
      </c>
      <c r="T755" s="192">
        <v>0</v>
      </c>
      <c r="U755" s="291">
        <v>-490.61</v>
      </c>
      <c r="V755" s="291">
        <v>-490.61</v>
      </c>
      <c r="W755" s="292">
        <v>84596.88</v>
      </c>
      <c r="X755" s="292">
        <v>-5887.32</v>
      </c>
      <c r="Y755" s="292">
        <v>54435.479999999996</v>
      </c>
      <c r="Z755" s="292">
        <v>94393.12</v>
      </c>
      <c r="AA755" s="290">
        <v>96564.161760000003</v>
      </c>
      <c r="AB755" s="285">
        <v>95809.016799999998</v>
      </c>
      <c r="AC755" s="290">
        <v>7049.74</v>
      </c>
      <c r="AD755" s="192">
        <v>12</v>
      </c>
      <c r="AE755" s="290">
        <v>-490.61</v>
      </c>
      <c r="AF755" s="194">
        <v>84106.27</v>
      </c>
      <c r="AG755" s="215"/>
      <c r="AJ755" s="388">
        <f t="shared" si="68"/>
        <v>0</v>
      </c>
    </row>
    <row r="756" spans="1:36" x14ac:dyDescent="0.3">
      <c r="A756" s="192">
        <v>5831</v>
      </c>
      <c r="B756" s="192">
        <v>99</v>
      </c>
      <c r="C756" s="192">
        <v>0</v>
      </c>
      <c r="D756" s="192" t="s">
        <v>1699</v>
      </c>
      <c r="E756" s="192">
        <v>4949305</v>
      </c>
      <c r="F756" s="192" t="s">
        <v>1777</v>
      </c>
      <c r="G756" s="290">
        <v>0.7</v>
      </c>
      <c r="H756" s="192">
        <v>5371.07</v>
      </c>
      <c r="I756" s="192">
        <v>0</v>
      </c>
      <c r="J756" s="192">
        <v>0</v>
      </c>
      <c r="K756" s="192">
        <v>0</v>
      </c>
      <c r="L756" s="192">
        <v>158.43</v>
      </c>
      <c r="M756" s="192">
        <v>0</v>
      </c>
      <c r="N756" s="192">
        <v>0</v>
      </c>
      <c r="O756" s="192">
        <v>5529.5</v>
      </c>
      <c r="P756" s="192">
        <v>0</v>
      </c>
      <c r="Q756" s="192">
        <v>425.96</v>
      </c>
      <c r="R756" s="192">
        <v>0</v>
      </c>
      <c r="S756" s="285">
        <f t="shared" si="67"/>
        <v>0.69999999999999984</v>
      </c>
      <c r="T756" s="192">
        <v>0</v>
      </c>
      <c r="U756" s="291">
        <v>5955.46</v>
      </c>
      <c r="V756" s="291">
        <v>5955.46</v>
      </c>
      <c r="W756" s="292">
        <v>71330.52</v>
      </c>
      <c r="X756" s="292">
        <v>71465.52</v>
      </c>
      <c r="Y756" s="292">
        <v>71375.520000000004</v>
      </c>
      <c r="Z756" s="292">
        <v>80872.179999999993</v>
      </c>
      <c r="AA756" s="290">
        <v>82732.240139999994</v>
      </c>
      <c r="AB756" s="285">
        <v>82085.262700000007</v>
      </c>
      <c r="AC756" s="290">
        <v>5944.21</v>
      </c>
      <c r="AD756" s="192">
        <v>12</v>
      </c>
      <c r="AE756" s="290">
        <v>5955.46</v>
      </c>
      <c r="AF756" s="194">
        <v>77285.98000000001</v>
      </c>
      <c r="AG756" s="215"/>
      <c r="AJ756" s="388">
        <f t="shared" si="68"/>
        <v>0</v>
      </c>
    </row>
    <row r="757" spans="1:36" x14ac:dyDescent="0.3">
      <c r="A757" s="192">
        <v>5831</v>
      </c>
      <c r="B757" s="192">
        <v>99</v>
      </c>
      <c r="C757" s="192">
        <v>0</v>
      </c>
      <c r="D757" s="192" t="s">
        <v>1699</v>
      </c>
      <c r="E757" s="192">
        <v>4977311</v>
      </c>
      <c r="F757" s="192" t="s">
        <v>1778</v>
      </c>
      <c r="G757" s="290">
        <v>0.32400000000000001</v>
      </c>
      <c r="H757" s="192">
        <v>14286.21</v>
      </c>
      <c r="I757" s="192">
        <v>0</v>
      </c>
      <c r="J757" s="192">
        <v>0</v>
      </c>
      <c r="K757" s="192">
        <v>0</v>
      </c>
      <c r="L757" s="192">
        <v>0</v>
      </c>
      <c r="M757" s="192">
        <v>0</v>
      </c>
      <c r="N757" s="192">
        <v>0</v>
      </c>
      <c r="O757" s="192">
        <v>14286.21</v>
      </c>
      <c r="P757" s="192">
        <v>0</v>
      </c>
      <c r="Q757" s="192">
        <v>0</v>
      </c>
      <c r="R757" s="192">
        <v>0</v>
      </c>
      <c r="S757" s="285">
        <f t="shared" si="67"/>
        <v>0.32400000000000001</v>
      </c>
      <c r="T757" s="192">
        <v>0</v>
      </c>
      <c r="U757" s="291">
        <v>14286.21</v>
      </c>
      <c r="V757" s="291">
        <v>14286.21</v>
      </c>
      <c r="W757" s="292">
        <v>171434.52</v>
      </c>
      <c r="X757" s="292">
        <v>171434.52</v>
      </c>
      <c r="Y757" s="292">
        <v>171434.52</v>
      </c>
      <c r="Z757" s="292">
        <v>171918.15</v>
      </c>
      <c r="AA757" s="290">
        <v>175872.26744999998</v>
      </c>
      <c r="AB757" s="285">
        <v>174496.92224999997</v>
      </c>
      <c r="AC757" s="290">
        <v>14286.21</v>
      </c>
      <c r="AD757" s="192">
        <v>12</v>
      </c>
      <c r="AE757" s="290">
        <v>14286.21</v>
      </c>
      <c r="AF757" s="194">
        <v>185720.72999999998</v>
      </c>
      <c r="AG757" s="215"/>
      <c r="AJ757" s="388">
        <f t="shared" si="68"/>
        <v>0</v>
      </c>
    </row>
    <row r="758" spans="1:36" x14ac:dyDescent="0.3">
      <c r="A758" s="192">
        <v>5831</v>
      </c>
      <c r="B758" s="192">
        <v>99</v>
      </c>
      <c r="C758" s="192">
        <v>0</v>
      </c>
      <c r="D758" s="192" t="s">
        <v>1699</v>
      </c>
      <c r="E758" s="192">
        <v>4995421</v>
      </c>
      <c r="F758" s="192" t="s">
        <v>1779</v>
      </c>
      <c r="G758" s="290">
        <v>0.42</v>
      </c>
      <c r="H758" s="192">
        <v>3594.13</v>
      </c>
      <c r="I758" s="192">
        <v>402.33</v>
      </c>
      <c r="J758" s="192">
        <v>0</v>
      </c>
      <c r="K758" s="192">
        <v>0</v>
      </c>
      <c r="L758" s="192">
        <v>114.27</v>
      </c>
      <c r="M758" s="192">
        <v>0</v>
      </c>
      <c r="N758" s="192">
        <v>0</v>
      </c>
      <c r="O758" s="192">
        <v>4110.7299999999996</v>
      </c>
      <c r="P758" s="192">
        <v>0</v>
      </c>
      <c r="Q758" s="192">
        <v>0</v>
      </c>
      <c r="R758" s="192">
        <v>0</v>
      </c>
      <c r="S758" s="285">
        <f t="shared" si="67"/>
        <v>0.42</v>
      </c>
      <c r="T758" s="192">
        <v>0</v>
      </c>
      <c r="U758" s="291">
        <v>4110.7299999999996</v>
      </c>
      <c r="V758" s="291">
        <v>4110.7299999999996</v>
      </c>
      <c r="W758" s="292">
        <v>49328.759999999995</v>
      </c>
      <c r="X758" s="292">
        <v>49328.759999999995</v>
      </c>
      <c r="Y758" s="292">
        <v>49328.760000000009</v>
      </c>
      <c r="Z758" s="292">
        <v>55030.44</v>
      </c>
      <c r="AA758" s="290">
        <v>56296.140119999989</v>
      </c>
      <c r="AB758" s="285">
        <v>55855.896599999993</v>
      </c>
      <c r="AC758" s="290">
        <v>4110.7299999999996</v>
      </c>
      <c r="AD758" s="192">
        <v>12</v>
      </c>
      <c r="AE758" s="290">
        <v>4110.7299999999996</v>
      </c>
      <c r="AF758" s="194">
        <v>53439.489999999991</v>
      </c>
      <c r="AG758" s="215"/>
      <c r="AJ758" s="388">
        <f t="shared" si="68"/>
        <v>0</v>
      </c>
    </row>
    <row r="759" spans="1:36" x14ac:dyDescent="0.3">
      <c r="A759" s="192">
        <v>5831</v>
      </c>
      <c r="B759" s="192">
        <v>99</v>
      </c>
      <c r="C759" s="192">
        <v>0</v>
      </c>
      <c r="D759" s="192" t="s">
        <v>1699</v>
      </c>
      <c r="E759" s="192">
        <v>5018916</v>
      </c>
      <c r="F759" s="192" t="s">
        <v>1780</v>
      </c>
      <c r="G759" s="290">
        <v>0.28299999999999997</v>
      </c>
      <c r="H759" s="192">
        <v>3459.6</v>
      </c>
      <c r="I759" s="192">
        <v>183.19</v>
      </c>
      <c r="J759" s="192">
        <v>0</v>
      </c>
      <c r="K759" s="192">
        <v>0</v>
      </c>
      <c r="L759" s="192">
        <v>135.5</v>
      </c>
      <c r="M759" s="192">
        <v>0</v>
      </c>
      <c r="N759" s="192">
        <v>0</v>
      </c>
      <c r="O759" s="192">
        <v>3778.29</v>
      </c>
      <c r="P759" s="192">
        <v>0</v>
      </c>
      <c r="Q759" s="192">
        <v>294.62</v>
      </c>
      <c r="R759" s="192">
        <v>0</v>
      </c>
      <c r="S759" s="285">
        <f t="shared" si="67"/>
        <v>0.28299999999999997</v>
      </c>
      <c r="T759" s="192">
        <v>0</v>
      </c>
      <c r="U759" s="291">
        <v>4072.91</v>
      </c>
      <c r="V759" s="291">
        <v>4072.91</v>
      </c>
      <c r="W759" s="292">
        <v>48739.92</v>
      </c>
      <c r="X759" s="292">
        <v>48874.92</v>
      </c>
      <c r="Y759" s="292">
        <v>48784.92</v>
      </c>
      <c r="Z759" s="292">
        <v>48650.06</v>
      </c>
      <c r="AA759" s="290">
        <v>49598.129459999989</v>
      </c>
      <c r="AB759" s="285">
        <v>49210.265299999992</v>
      </c>
      <c r="AC759" s="290">
        <v>4061.66</v>
      </c>
      <c r="AD759" s="192">
        <v>12</v>
      </c>
      <c r="AE759" s="290">
        <v>4072.91</v>
      </c>
      <c r="AF759" s="194">
        <v>52812.83</v>
      </c>
      <c r="AG759" s="215"/>
      <c r="AJ759" s="388">
        <f t="shared" si="68"/>
        <v>0</v>
      </c>
    </row>
    <row r="760" spans="1:36" x14ac:dyDescent="0.3">
      <c r="A760" s="192">
        <v>5831</v>
      </c>
      <c r="B760" s="192">
        <v>99</v>
      </c>
      <c r="C760" s="192">
        <v>0</v>
      </c>
      <c r="D760" s="192" t="s">
        <v>1699</v>
      </c>
      <c r="E760" s="192">
        <v>5031520</v>
      </c>
      <c r="F760" s="192" t="s">
        <v>1781</v>
      </c>
      <c r="G760" s="290">
        <v>0.7</v>
      </c>
      <c r="H760" s="192">
        <v>5802.36</v>
      </c>
      <c r="I760" s="192">
        <v>0</v>
      </c>
      <c r="J760" s="192">
        <v>0</v>
      </c>
      <c r="K760" s="192">
        <v>0</v>
      </c>
      <c r="L760" s="192">
        <v>162.46</v>
      </c>
      <c r="M760" s="192">
        <v>0</v>
      </c>
      <c r="N760" s="192">
        <v>0</v>
      </c>
      <c r="O760" s="192">
        <v>5964.82</v>
      </c>
      <c r="P760" s="192">
        <v>0</v>
      </c>
      <c r="Q760" s="192">
        <v>458.61</v>
      </c>
      <c r="R760" s="192">
        <v>0</v>
      </c>
      <c r="S760" s="285">
        <f t="shared" si="67"/>
        <v>0.69999999999999984</v>
      </c>
      <c r="T760" s="192">
        <v>0</v>
      </c>
      <c r="U760" s="291">
        <v>6423.43</v>
      </c>
      <c r="V760" s="291">
        <v>6423.43</v>
      </c>
      <c r="W760" s="292">
        <v>76946.16</v>
      </c>
      <c r="X760" s="292">
        <v>77081.16</v>
      </c>
      <c r="Y760" s="292">
        <v>76991.16</v>
      </c>
      <c r="Z760" s="292">
        <v>86752.25</v>
      </c>
      <c r="AA760" s="290">
        <v>88747.551749999999</v>
      </c>
      <c r="AB760" s="285">
        <v>88053.533749999988</v>
      </c>
      <c r="AC760" s="290">
        <v>6412.18</v>
      </c>
      <c r="AD760" s="192">
        <v>12</v>
      </c>
      <c r="AE760" s="290">
        <v>6423.43</v>
      </c>
      <c r="AF760" s="194">
        <v>83369.59</v>
      </c>
      <c r="AG760" s="215"/>
      <c r="AJ760" s="388">
        <f t="shared" si="68"/>
        <v>0</v>
      </c>
    </row>
    <row r="761" spans="1:36" x14ac:dyDescent="0.3">
      <c r="A761" s="192">
        <v>5831</v>
      </c>
      <c r="B761" s="192">
        <v>99</v>
      </c>
      <c r="C761" s="192">
        <v>0</v>
      </c>
      <c r="D761" s="192" t="s">
        <v>1699</v>
      </c>
      <c r="E761" s="192">
        <v>5040582</v>
      </c>
      <c r="F761" s="192" t="s">
        <v>1782</v>
      </c>
      <c r="G761" s="290">
        <v>0.35286000000000001</v>
      </c>
      <c r="H761" s="192">
        <v>3643.51</v>
      </c>
      <c r="I761" s="192">
        <v>592.35</v>
      </c>
      <c r="J761" s="192">
        <v>0</v>
      </c>
      <c r="K761" s="192">
        <v>0</v>
      </c>
      <c r="L761" s="192">
        <v>251.97</v>
      </c>
      <c r="M761" s="192">
        <v>0</v>
      </c>
      <c r="N761" s="192">
        <v>0</v>
      </c>
      <c r="O761" s="192">
        <v>4487.83</v>
      </c>
      <c r="P761" s="192">
        <v>0</v>
      </c>
      <c r="Q761" s="192">
        <v>347.84</v>
      </c>
      <c r="R761" s="192">
        <v>0</v>
      </c>
      <c r="S761" s="285">
        <f t="shared" si="67"/>
        <v>0.35286000000000001</v>
      </c>
      <c r="T761" s="192">
        <v>0</v>
      </c>
      <c r="U761" s="291">
        <v>4835.67</v>
      </c>
      <c r="V761" s="291">
        <v>4835.67</v>
      </c>
      <c r="W761" s="292">
        <v>57893.04</v>
      </c>
      <c r="X761" s="292">
        <v>58028.04</v>
      </c>
      <c r="Y761" s="292">
        <v>57938.04</v>
      </c>
      <c r="Z761" s="292">
        <v>60391.040000000001</v>
      </c>
      <c r="AA761" s="290">
        <v>61780.033919999994</v>
      </c>
      <c r="AB761" s="285">
        <v>61296.905599999998</v>
      </c>
      <c r="AC761" s="290">
        <v>4824.42</v>
      </c>
      <c r="AD761" s="192">
        <v>12</v>
      </c>
      <c r="AE761" s="290">
        <v>4835.67</v>
      </c>
      <c r="AF761" s="194">
        <v>62728.71</v>
      </c>
      <c r="AG761" s="215"/>
      <c r="AJ761" s="388">
        <f t="shared" si="68"/>
        <v>0</v>
      </c>
    </row>
    <row r="762" spans="1:36" x14ac:dyDescent="0.3">
      <c r="A762" s="192">
        <v>5831</v>
      </c>
      <c r="B762" s="192">
        <v>99</v>
      </c>
      <c r="C762" s="192">
        <v>0</v>
      </c>
      <c r="D762" s="192" t="s">
        <v>1699</v>
      </c>
      <c r="E762" s="192">
        <v>5080082</v>
      </c>
      <c r="F762" s="192" t="s">
        <v>1783</v>
      </c>
      <c r="G762" s="290">
        <v>0.7</v>
      </c>
      <c r="H762" s="192">
        <v>5013.97</v>
      </c>
      <c r="I762" s="192">
        <v>0</v>
      </c>
      <c r="J762" s="192">
        <v>0</v>
      </c>
      <c r="K762" s="192">
        <v>0</v>
      </c>
      <c r="L762" s="192">
        <v>160.74</v>
      </c>
      <c r="M762" s="192">
        <v>0</v>
      </c>
      <c r="N762" s="192">
        <v>0</v>
      </c>
      <c r="O762" s="192">
        <v>5174.71</v>
      </c>
      <c r="P762" s="192">
        <v>0</v>
      </c>
      <c r="Q762" s="192">
        <v>399.35</v>
      </c>
      <c r="R762" s="192">
        <v>0</v>
      </c>
      <c r="S762" s="285">
        <f t="shared" si="67"/>
        <v>0.69999999999999984</v>
      </c>
      <c r="T762" s="192">
        <v>0</v>
      </c>
      <c r="U762" s="291">
        <v>5574.06</v>
      </c>
      <c r="V762" s="291">
        <v>5574.06</v>
      </c>
      <c r="W762" s="292">
        <v>66753.72</v>
      </c>
      <c r="X762" s="292">
        <v>66888.72</v>
      </c>
      <c r="Y762" s="292">
        <v>66798.720000000001</v>
      </c>
      <c r="Z762" s="292">
        <v>76226.06</v>
      </c>
      <c r="AA762" s="290">
        <v>77979.259379999989</v>
      </c>
      <c r="AB762" s="285">
        <v>77369.450899999996</v>
      </c>
      <c r="AC762" s="290">
        <v>5562.81</v>
      </c>
      <c r="AD762" s="192">
        <v>12</v>
      </c>
      <c r="AE762" s="290">
        <v>5574.06</v>
      </c>
      <c r="AF762" s="194">
        <v>72327.78</v>
      </c>
      <c r="AG762" s="215"/>
      <c r="AJ762" s="388">
        <f t="shared" si="68"/>
        <v>0</v>
      </c>
    </row>
    <row r="763" spans="1:36" x14ac:dyDescent="0.3">
      <c r="A763" s="192">
        <v>5831</v>
      </c>
      <c r="B763" s="192">
        <v>99</v>
      </c>
      <c r="C763" s="192">
        <v>0</v>
      </c>
      <c r="D763" s="192" t="s">
        <v>1699</v>
      </c>
      <c r="E763" s="192">
        <v>5125416</v>
      </c>
      <c r="F763" s="192" t="s">
        <v>1784</v>
      </c>
      <c r="G763" s="290">
        <v>0.41539999999999999</v>
      </c>
      <c r="H763" s="192">
        <v>6694.09</v>
      </c>
      <c r="I763" s="192">
        <v>0</v>
      </c>
      <c r="J763" s="192">
        <v>0</v>
      </c>
      <c r="K763" s="192">
        <v>0</v>
      </c>
      <c r="L763" s="192">
        <v>205.7</v>
      </c>
      <c r="M763" s="192">
        <v>0</v>
      </c>
      <c r="N763" s="192">
        <v>0</v>
      </c>
      <c r="O763" s="192">
        <v>6899.79</v>
      </c>
      <c r="P763" s="192">
        <v>0</v>
      </c>
      <c r="Q763" s="192">
        <v>528.73</v>
      </c>
      <c r="R763" s="192">
        <v>0</v>
      </c>
      <c r="S763" s="285">
        <f t="shared" si="67"/>
        <v>0.41539999999999999</v>
      </c>
      <c r="T763" s="192">
        <v>0</v>
      </c>
      <c r="U763" s="291">
        <v>7428.52</v>
      </c>
      <c r="V763" s="291">
        <v>7428.52</v>
      </c>
      <c r="W763" s="292">
        <v>89007.24</v>
      </c>
      <c r="X763" s="292">
        <v>89142.24</v>
      </c>
      <c r="Y763" s="292">
        <v>89052.24</v>
      </c>
      <c r="Z763" s="292">
        <v>96264.1</v>
      </c>
      <c r="AA763" s="290">
        <v>98478.174299999999</v>
      </c>
      <c r="AB763" s="285">
        <v>97708.061499999996</v>
      </c>
      <c r="AC763" s="290">
        <v>7417.27</v>
      </c>
      <c r="AD763" s="192">
        <v>12</v>
      </c>
      <c r="AE763" s="290">
        <v>7428.52</v>
      </c>
      <c r="AF763" s="194">
        <v>96435.760000000009</v>
      </c>
      <c r="AG763" s="215"/>
      <c r="AJ763" s="388">
        <f t="shared" si="68"/>
        <v>0</v>
      </c>
    </row>
    <row r="764" spans="1:36" x14ac:dyDescent="0.3">
      <c r="A764" s="192">
        <v>5831</v>
      </c>
      <c r="B764" s="192">
        <v>99</v>
      </c>
      <c r="C764" s="192">
        <v>0</v>
      </c>
      <c r="D764" s="192" t="s">
        <v>1699</v>
      </c>
      <c r="E764" s="192">
        <v>5143220</v>
      </c>
      <c r="F764" s="192" t="s">
        <v>1785</v>
      </c>
      <c r="G764" s="290">
        <v>0.7</v>
      </c>
      <c r="H764" s="192">
        <v>4634.1000000000004</v>
      </c>
      <c r="I764" s="192">
        <v>0</v>
      </c>
      <c r="J764" s="192">
        <v>0</v>
      </c>
      <c r="K764" s="192">
        <v>0</v>
      </c>
      <c r="L764" s="192">
        <v>178.01</v>
      </c>
      <c r="M764" s="192">
        <v>0</v>
      </c>
      <c r="N764" s="192">
        <v>0</v>
      </c>
      <c r="O764" s="192">
        <v>4812.1099999999997</v>
      </c>
      <c r="P764" s="192">
        <v>0</v>
      </c>
      <c r="Q764" s="192">
        <v>372.16</v>
      </c>
      <c r="R764" s="192">
        <v>0</v>
      </c>
      <c r="S764" s="285">
        <f t="shared" si="67"/>
        <v>0.69999999999999984</v>
      </c>
      <c r="T764" s="192">
        <v>0</v>
      </c>
      <c r="U764" s="291">
        <v>5184.2700000000004</v>
      </c>
      <c r="V764" s="291">
        <v>5184.2700000000004</v>
      </c>
      <c r="W764" s="292">
        <v>62076.240000000005</v>
      </c>
      <c r="X764" s="292">
        <v>62211.240000000005</v>
      </c>
      <c r="Y764" s="292">
        <v>62121.239999999991</v>
      </c>
      <c r="Z764" s="292">
        <v>71622.289999999994</v>
      </c>
      <c r="AA764" s="290">
        <v>73269.602669999993</v>
      </c>
      <c r="AB764" s="285">
        <v>72696.624349999984</v>
      </c>
      <c r="AC764" s="290">
        <v>5173.0200000000004</v>
      </c>
      <c r="AD764" s="192">
        <v>12</v>
      </c>
      <c r="AE764" s="290">
        <v>5184.2700000000004</v>
      </c>
      <c r="AF764" s="194">
        <v>67260.510000000009</v>
      </c>
      <c r="AG764" s="215"/>
      <c r="AJ764" s="388">
        <f t="shared" si="68"/>
        <v>0</v>
      </c>
    </row>
    <row r="765" spans="1:36" x14ac:dyDescent="0.3">
      <c r="A765" s="192">
        <v>5831</v>
      </c>
      <c r="B765" s="192">
        <v>99</v>
      </c>
      <c r="C765" s="192">
        <v>0</v>
      </c>
      <c r="D765" s="192" t="s">
        <v>1699</v>
      </c>
      <c r="E765" s="192">
        <v>5143836</v>
      </c>
      <c r="F765" s="192" t="s">
        <v>1786</v>
      </c>
      <c r="G765" s="290">
        <v>0.66</v>
      </c>
      <c r="H765" s="192">
        <v>6882.65</v>
      </c>
      <c r="I765" s="192">
        <v>0</v>
      </c>
      <c r="J765" s="192">
        <v>0</v>
      </c>
      <c r="K765" s="192">
        <v>0</v>
      </c>
      <c r="L765" s="192">
        <v>186.62</v>
      </c>
      <c r="M765" s="192">
        <v>0</v>
      </c>
      <c r="N765" s="192">
        <v>162</v>
      </c>
      <c r="O765" s="192">
        <v>7231.27</v>
      </c>
      <c r="P765" s="192">
        <v>0</v>
      </c>
      <c r="Q765" s="192">
        <v>553.6</v>
      </c>
      <c r="R765" s="192">
        <v>0</v>
      </c>
      <c r="S765" s="285">
        <f t="shared" si="67"/>
        <v>0.66</v>
      </c>
      <c r="T765" s="192">
        <v>0</v>
      </c>
      <c r="U765" s="291">
        <v>7784.87</v>
      </c>
      <c r="V765" s="291">
        <v>7784.87</v>
      </c>
      <c r="W765" s="292">
        <v>93283.44</v>
      </c>
      <c r="X765" s="292">
        <v>93418.44</v>
      </c>
      <c r="Y765" s="292">
        <v>93328.44</v>
      </c>
      <c r="Z765" s="292">
        <v>102535</v>
      </c>
      <c r="AA765" s="290">
        <v>104893.30499999999</v>
      </c>
      <c r="AB765" s="285">
        <v>104073.02499999999</v>
      </c>
      <c r="AC765" s="290">
        <v>7773.62</v>
      </c>
      <c r="AD765" s="192">
        <v>12</v>
      </c>
      <c r="AE765" s="290">
        <v>7784.87</v>
      </c>
      <c r="AF765" s="194">
        <v>101068.31</v>
      </c>
      <c r="AG765" s="215"/>
      <c r="AJ765" s="388">
        <f t="shared" si="68"/>
        <v>0</v>
      </c>
    </row>
    <row r="766" spans="1:36" x14ac:dyDescent="0.3">
      <c r="A766" s="192">
        <v>5831</v>
      </c>
      <c r="B766" s="192">
        <v>99</v>
      </c>
      <c r="C766" s="192">
        <v>0</v>
      </c>
      <c r="D766" s="192" t="s">
        <v>1699</v>
      </c>
      <c r="E766" s="192">
        <v>5144685</v>
      </c>
      <c r="F766" s="192" t="s">
        <v>1787</v>
      </c>
      <c r="G766" s="290">
        <v>0.5766</v>
      </c>
      <c r="H766" s="192">
        <v>3684.84</v>
      </c>
      <c r="I766" s="192">
        <v>0</v>
      </c>
      <c r="J766" s="192">
        <v>0</v>
      </c>
      <c r="K766" s="192">
        <v>0</v>
      </c>
      <c r="L766" s="192">
        <v>139.05000000000001</v>
      </c>
      <c r="M766" s="192">
        <v>0</v>
      </c>
      <c r="N766" s="192">
        <v>0</v>
      </c>
      <c r="O766" s="192">
        <v>3823.89</v>
      </c>
      <c r="P766" s="192">
        <v>0</v>
      </c>
      <c r="Q766" s="192">
        <v>298.04000000000002</v>
      </c>
      <c r="R766" s="192">
        <v>0</v>
      </c>
      <c r="S766" s="285">
        <f t="shared" si="67"/>
        <v>0.5766</v>
      </c>
      <c r="T766" s="192">
        <v>0</v>
      </c>
      <c r="U766" s="291">
        <v>4121.93</v>
      </c>
      <c r="V766" s="291">
        <v>4121.93</v>
      </c>
      <c r="W766" s="292">
        <v>49328.160000000003</v>
      </c>
      <c r="X766" s="292">
        <v>49463.16</v>
      </c>
      <c r="Y766" s="292">
        <v>49373.16</v>
      </c>
      <c r="Z766" s="292">
        <v>56951.77</v>
      </c>
      <c r="AA766" s="290">
        <v>58261.660709999989</v>
      </c>
      <c r="AB766" s="285">
        <v>57806.046549999992</v>
      </c>
      <c r="AC766" s="290">
        <v>4110.68</v>
      </c>
      <c r="AD766" s="192">
        <v>12</v>
      </c>
      <c r="AE766" s="290">
        <v>4121.93</v>
      </c>
      <c r="AF766" s="194">
        <v>53450.090000000004</v>
      </c>
      <c r="AG766" s="215"/>
      <c r="AJ766" s="388">
        <f t="shared" si="68"/>
        <v>0</v>
      </c>
    </row>
    <row r="767" spans="1:36" x14ac:dyDescent="0.3">
      <c r="A767" s="192">
        <v>5831</v>
      </c>
      <c r="B767" s="192">
        <v>99</v>
      </c>
      <c r="C767" s="192">
        <v>0</v>
      </c>
      <c r="D767" s="192" t="s">
        <v>1699</v>
      </c>
      <c r="E767" s="192">
        <v>5144926</v>
      </c>
      <c r="F767" s="192" t="s">
        <v>1788</v>
      </c>
      <c r="G767" s="290">
        <v>0.7</v>
      </c>
      <c r="H767" s="192">
        <v>5042.67</v>
      </c>
      <c r="I767" s="192">
        <v>207.68</v>
      </c>
      <c r="J767" s="192">
        <v>0</v>
      </c>
      <c r="K767" s="192">
        <v>0</v>
      </c>
      <c r="L767" s="192">
        <v>200.56</v>
      </c>
      <c r="M767" s="192">
        <v>0</v>
      </c>
      <c r="N767" s="192">
        <v>0</v>
      </c>
      <c r="O767" s="192">
        <v>5450.91</v>
      </c>
      <c r="P767" s="192">
        <v>0</v>
      </c>
      <c r="Q767" s="192">
        <v>420.07</v>
      </c>
      <c r="R767" s="192">
        <v>0</v>
      </c>
      <c r="S767" s="285">
        <f t="shared" si="67"/>
        <v>0.69999999999999984</v>
      </c>
      <c r="T767" s="192">
        <v>0</v>
      </c>
      <c r="U767" s="291">
        <v>5870.98</v>
      </c>
      <c r="V767" s="291">
        <v>5870.98</v>
      </c>
      <c r="W767" s="292">
        <v>70316.759999999995</v>
      </c>
      <c r="X767" s="292">
        <v>70451.759999999995</v>
      </c>
      <c r="Y767" s="292">
        <v>70361.759999999995</v>
      </c>
      <c r="Z767" s="292">
        <v>96109.66</v>
      </c>
      <c r="AA767" s="290">
        <v>0</v>
      </c>
      <c r="AB767" s="285">
        <v>0</v>
      </c>
      <c r="AC767" s="290">
        <v>6000</v>
      </c>
      <c r="AD767" s="192">
        <v>12</v>
      </c>
      <c r="AE767" s="290">
        <v>5870.98</v>
      </c>
      <c r="AF767" s="194">
        <v>77870.98</v>
      </c>
      <c r="AG767" s="215"/>
      <c r="AJ767" s="388">
        <f t="shared" si="68"/>
        <v>0</v>
      </c>
    </row>
    <row r="768" spans="1:36" x14ac:dyDescent="0.3">
      <c r="A768" s="192">
        <v>5831</v>
      </c>
      <c r="B768" s="192">
        <v>99</v>
      </c>
      <c r="C768" s="192">
        <v>0</v>
      </c>
      <c r="D768" s="192" t="s">
        <v>1699</v>
      </c>
      <c r="E768" s="192">
        <v>5144977</v>
      </c>
      <c r="F768" s="192" t="s">
        <v>1789</v>
      </c>
      <c r="G768" s="290">
        <v>0.68</v>
      </c>
      <c r="H768" s="192">
        <v>5171.41</v>
      </c>
      <c r="I768" s="192">
        <v>0</v>
      </c>
      <c r="J768" s="192">
        <v>0</v>
      </c>
      <c r="K768" s="192">
        <v>0</v>
      </c>
      <c r="L768" s="192">
        <v>152.59</v>
      </c>
      <c r="M768" s="192">
        <v>0</v>
      </c>
      <c r="N768" s="192">
        <v>0</v>
      </c>
      <c r="O768" s="192">
        <v>5324</v>
      </c>
      <c r="P768" s="192">
        <v>0</v>
      </c>
      <c r="Q768" s="192">
        <v>410.55</v>
      </c>
      <c r="R768" s="192">
        <v>0</v>
      </c>
      <c r="S768" s="285">
        <f t="shared" si="67"/>
        <v>0.68</v>
      </c>
      <c r="T768" s="192">
        <v>0</v>
      </c>
      <c r="U768" s="291">
        <v>5734.55</v>
      </c>
      <c r="V768" s="291">
        <v>5734.55</v>
      </c>
      <c r="W768" s="292">
        <v>68679.600000000006</v>
      </c>
      <c r="X768" s="292">
        <v>68814.600000000006</v>
      </c>
      <c r="Y768" s="292">
        <v>68724.600000000006</v>
      </c>
      <c r="Z768" s="292">
        <v>77936.97</v>
      </c>
      <c r="AA768" s="290">
        <v>79729.520309999993</v>
      </c>
      <c r="AB768" s="285">
        <v>79106.024549999987</v>
      </c>
      <c r="AC768" s="290">
        <v>5723.3</v>
      </c>
      <c r="AD768" s="192">
        <v>12</v>
      </c>
      <c r="AE768" s="290">
        <v>5734.55</v>
      </c>
      <c r="AF768" s="194">
        <v>74414.150000000009</v>
      </c>
      <c r="AG768" s="215"/>
      <c r="AJ768" s="388">
        <f t="shared" si="68"/>
        <v>0</v>
      </c>
    </row>
    <row r="769" spans="1:36" x14ac:dyDescent="0.3">
      <c r="A769" s="192">
        <v>5831</v>
      </c>
      <c r="B769" s="192">
        <v>99</v>
      </c>
      <c r="C769" s="192">
        <v>0</v>
      </c>
      <c r="D769" s="192" t="s">
        <v>1699</v>
      </c>
      <c r="E769" s="192">
        <v>5145580</v>
      </c>
      <c r="F769" s="192" t="s">
        <v>1790</v>
      </c>
      <c r="G769" s="290">
        <v>0.219</v>
      </c>
      <c r="H769" s="192">
        <v>1228.2</v>
      </c>
      <c r="I769" s="192">
        <v>0</v>
      </c>
      <c r="J769" s="192">
        <v>0</v>
      </c>
      <c r="K769" s="192">
        <v>0</v>
      </c>
      <c r="L769" s="192">
        <v>43.87</v>
      </c>
      <c r="M769" s="192">
        <v>0</v>
      </c>
      <c r="N769" s="192">
        <v>0</v>
      </c>
      <c r="O769" s="192">
        <v>1272.07</v>
      </c>
      <c r="P769" s="192">
        <v>0</v>
      </c>
      <c r="Q769" s="192">
        <v>106.66</v>
      </c>
      <c r="R769" s="192">
        <v>0</v>
      </c>
      <c r="S769" s="285">
        <f t="shared" si="67"/>
        <v>0.219</v>
      </c>
      <c r="T769" s="192">
        <v>0</v>
      </c>
      <c r="U769" s="291">
        <v>1378.73</v>
      </c>
      <c r="V769" s="291">
        <v>1378.73</v>
      </c>
      <c r="W769" s="292">
        <v>16409.760000000002</v>
      </c>
      <c r="X769" s="292">
        <v>16544.760000000002</v>
      </c>
      <c r="Y769" s="292">
        <v>16454.759999999998</v>
      </c>
      <c r="Z769" s="292">
        <v>18468.75</v>
      </c>
      <c r="AA769" s="290">
        <v>18893.53125</v>
      </c>
      <c r="AB769" s="285">
        <v>18745.78125</v>
      </c>
      <c r="AC769" s="290">
        <v>1367.48</v>
      </c>
      <c r="AD769" s="192">
        <v>12</v>
      </c>
      <c r="AE769" s="290">
        <v>1378.73</v>
      </c>
      <c r="AF769" s="194">
        <v>17788.490000000002</v>
      </c>
      <c r="AG769" s="215"/>
      <c r="AJ769" s="388">
        <f t="shared" si="68"/>
        <v>0</v>
      </c>
    </row>
    <row r="770" spans="1:36" x14ac:dyDescent="0.3">
      <c r="A770" s="192">
        <v>5831</v>
      </c>
      <c r="B770" s="192">
        <v>99</v>
      </c>
      <c r="C770" s="192">
        <v>0</v>
      </c>
      <c r="D770" s="192" t="s">
        <v>1699</v>
      </c>
      <c r="E770" s="192">
        <v>5146455</v>
      </c>
      <c r="F770" s="192" t="s">
        <v>1791</v>
      </c>
      <c r="G770" s="290">
        <v>0.69</v>
      </c>
      <c r="H770" s="192">
        <v>7466.01</v>
      </c>
      <c r="I770" s="192">
        <v>2005.14</v>
      </c>
      <c r="J770" s="192">
        <v>0</v>
      </c>
      <c r="K770" s="192">
        <v>0</v>
      </c>
      <c r="L770" s="192">
        <v>289.42</v>
      </c>
      <c r="M770" s="192">
        <v>0</v>
      </c>
      <c r="N770" s="192">
        <v>0</v>
      </c>
      <c r="O770" s="192">
        <v>9760.57</v>
      </c>
      <c r="P770" s="192">
        <v>0</v>
      </c>
      <c r="Q770" s="192">
        <v>743.29</v>
      </c>
      <c r="R770" s="192">
        <v>0</v>
      </c>
      <c r="S770" s="285">
        <f t="shared" si="67"/>
        <v>0.69</v>
      </c>
      <c r="T770" s="192">
        <v>0</v>
      </c>
      <c r="U770" s="291">
        <v>10503.86</v>
      </c>
      <c r="V770" s="291">
        <v>10503.86</v>
      </c>
      <c r="W770" s="292">
        <v>125911.32</v>
      </c>
      <c r="X770" s="292">
        <v>126046.32</v>
      </c>
      <c r="Y770" s="292">
        <v>125956.32</v>
      </c>
      <c r="Z770" s="292">
        <v>137943.91</v>
      </c>
      <c r="AA770" s="290">
        <v>141116.61992999999</v>
      </c>
      <c r="AB770" s="285">
        <v>140013.06865</v>
      </c>
      <c r="AC770" s="290">
        <v>10492.61</v>
      </c>
      <c r="AD770" s="192">
        <v>12</v>
      </c>
      <c r="AE770" s="290">
        <v>10503.86</v>
      </c>
      <c r="AF770" s="194">
        <v>136415.18</v>
      </c>
      <c r="AG770" s="215"/>
      <c r="AJ770" s="388">
        <f t="shared" si="68"/>
        <v>0</v>
      </c>
    </row>
    <row r="771" spans="1:36" x14ac:dyDescent="0.3">
      <c r="A771" s="192">
        <v>5831</v>
      </c>
      <c r="B771" s="192">
        <v>99</v>
      </c>
      <c r="C771" s="192">
        <v>0</v>
      </c>
      <c r="D771" s="192" t="s">
        <v>1699</v>
      </c>
      <c r="E771" s="192">
        <v>5178066</v>
      </c>
      <c r="F771" s="192" t="s">
        <v>1792</v>
      </c>
      <c r="G771" s="290">
        <v>0.35041</v>
      </c>
      <c r="H771" s="192">
        <v>2287.25</v>
      </c>
      <c r="I771" s="192">
        <v>29.55</v>
      </c>
      <c r="J771" s="192">
        <v>0</v>
      </c>
      <c r="K771" s="192">
        <v>0</v>
      </c>
      <c r="L771" s="192">
        <v>90.57</v>
      </c>
      <c r="M771" s="192">
        <v>0</v>
      </c>
      <c r="N771" s="192">
        <v>109</v>
      </c>
      <c r="O771" s="192">
        <v>2516.37</v>
      </c>
      <c r="P771" s="192">
        <v>0</v>
      </c>
      <c r="Q771" s="192">
        <v>199.98</v>
      </c>
      <c r="R771" s="192">
        <v>0</v>
      </c>
      <c r="S771" s="285">
        <f t="shared" si="67"/>
        <v>0.35040999999999994</v>
      </c>
      <c r="T771" s="192">
        <v>0</v>
      </c>
      <c r="U771" s="291">
        <v>2716.35</v>
      </c>
      <c r="V771" s="291">
        <v>2716.35</v>
      </c>
      <c r="W771" s="292">
        <v>32461.199999999997</v>
      </c>
      <c r="X771" s="292">
        <v>32596.199999999997</v>
      </c>
      <c r="Y771" s="292">
        <v>32506.199999999997</v>
      </c>
      <c r="Z771" s="292">
        <v>34151.660000000003</v>
      </c>
      <c r="AA771" s="290">
        <v>34937.148179999997</v>
      </c>
      <c r="AB771" s="285">
        <v>34663.934899999993</v>
      </c>
      <c r="AC771" s="290">
        <v>2705.1</v>
      </c>
      <c r="AD771" s="192">
        <v>12</v>
      </c>
      <c r="AE771" s="290">
        <v>2716.35</v>
      </c>
      <c r="AF771" s="194">
        <v>35177.549999999996</v>
      </c>
      <c r="AG771" s="215"/>
      <c r="AJ771" s="388">
        <f t="shared" si="68"/>
        <v>0</v>
      </c>
    </row>
    <row r="772" spans="1:36" x14ac:dyDescent="0.3">
      <c r="A772" s="192">
        <v>5831</v>
      </c>
      <c r="B772" s="192">
        <v>99</v>
      </c>
      <c r="C772" s="192">
        <v>0</v>
      </c>
      <c r="D772" s="192" t="s">
        <v>1699</v>
      </c>
      <c r="E772" s="192">
        <v>5178908</v>
      </c>
      <c r="F772" s="192" t="s">
        <v>1793</v>
      </c>
      <c r="G772" s="290">
        <v>0.64500000000000002</v>
      </c>
      <c r="H772" s="192">
        <v>4998.13</v>
      </c>
      <c r="I772" s="192">
        <v>0</v>
      </c>
      <c r="J772" s="192">
        <v>0</v>
      </c>
      <c r="K772" s="192">
        <v>0</v>
      </c>
      <c r="L772" s="192">
        <v>186.84</v>
      </c>
      <c r="M772" s="192">
        <v>0</v>
      </c>
      <c r="N772" s="192">
        <v>0</v>
      </c>
      <c r="O772" s="192">
        <v>5184.97</v>
      </c>
      <c r="P772" s="192">
        <v>0</v>
      </c>
      <c r="Q772" s="192">
        <v>400.12</v>
      </c>
      <c r="R772" s="192">
        <v>0</v>
      </c>
      <c r="S772" s="285">
        <f t="shared" si="67"/>
        <v>0.64500000000000002</v>
      </c>
      <c r="T772" s="192">
        <v>0</v>
      </c>
      <c r="U772" s="291">
        <v>5585.09</v>
      </c>
      <c r="V772" s="291">
        <v>5585.09</v>
      </c>
      <c r="W772" s="292">
        <v>66886.080000000002</v>
      </c>
      <c r="X772" s="292">
        <v>67021.08</v>
      </c>
      <c r="Y772" s="292">
        <v>66931.08</v>
      </c>
      <c r="Z772" s="292">
        <v>75908.67</v>
      </c>
      <c r="AA772" s="290">
        <v>77651.602709999992</v>
      </c>
      <c r="AB772" s="285">
        <v>77044.356549999997</v>
      </c>
      <c r="AC772" s="290">
        <v>5573.84</v>
      </c>
      <c r="AD772" s="192">
        <v>12</v>
      </c>
      <c r="AE772" s="290">
        <v>5585.09</v>
      </c>
      <c r="AF772" s="194">
        <v>72471.17</v>
      </c>
      <c r="AG772" s="215"/>
      <c r="AJ772" s="388">
        <f t="shared" si="68"/>
        <v>0</v>
      </c>
    </row>
    <row r="773" spans="1:36" x14ac:dyDescent="0.3">
      <c r="A773" s="192">
        <v>5831</v>
      </c>
      <c r="B773" s="192">
        <v>99</v>
      </c>
      <c r="C773" s="192">
        <v>0</v>
      </c>
      <c r="D773" s="192" t="s">
        <v>1699</v>
      </c>
      <c r="E773" s="192">
        <v>5179079</v>
      </c>
      <c r="F773" s="192" t="s">
        <v>1794</v>
      </c>
      <c r="G773" s="290">
        <v>0.16</v>
      </c>
      <c r="H773" s="192">
        <v>6701.16</v>
      </c>
      <c r="I773" s="192">
        <v>0</v>
      </c>
      <c r="J773" s="192">
        <v>0</v>
      </c>
      <c r="K773" s="192">
        <v>0</v>
      </c>
      <c r="L773" s="192">
        <v>0</v>
      </c>
      <c r="M773" s="192">
        <v>0</v>
      </c>
      <c r="N773" s="192">
        <v>0</v>
      </c>
      <c r="O773" s="192">
        <v>6701.16</v>
      </c>
      <c r="P773" s="192">
        <v>0</v>
      </c>
      <c r="Q773" s="192">
        <v>513.84</v>
      </c>
      <c r="R773" s="192">
        <v>0</v>
      </c>
      <c r="S773" s="285">
        <f t="shared" si="67"/>
        <v>0.16</v>
      </c>
      <c r="T773" s="192">
        <v>0</v>
      </c>
      <c r="U773" s="291">
        <v>7215</v>
      </c>
      <c r="V773" s="291">
        <v>7215</v>
      </c>
      <c r="W773" s="292">
        <v>86445</v>
      </c>
      <c r="X773" s="292">
        <v>86580</v>
      </c>
      <c r="Y773" s="292">
        <v>86490</v>
      </c>
      <c r="Z773" s="292">
        <v>86945.2</v>
      </c>
      <c r="AA773" s="290">
        <v>88944.939599999983</v>
      </c>
      <c r="AB773" s="285">
        <v>88249.377999999982</v>
      </c>
      <c r="AC773" s="290">
        <v>7203.75</v>
      </c>
      <c r="AD773" s="192">
        <v>12</v>
      </c>
      <c r="AE773" s="290">
        <v>7215</v>
      </c>
      <c r="AF773" s="194">
        <v>93660</v>
      </c>
      <c r="AG773" s="215"/>
      <c r="AJ773" s="388">
        <f t="shared" si="68"/>
        <v>0</v>
      </c>
    </row>
    <row r="774" spans="1:36" x14ac:dyDescent="0.3">
      <c r="A774" s="192">
        <v>5831</v>
      </c>
      <c r="B774" s="192">
        <v>99</v>
      </c>
      <c r="C774" s="192">
        <v>0</v>
      </c>
      <c r="D774" s="192" t="s">
        <v>1699</v>
      </c>
      <c r="E774" s="192">
        <v>5183027</v>
      </c>
      <c r="F774" s="192" t="s">
        <v>1795</v>
      </c>
      <c r="G774" s="290">
        <v>0.42</v>
      </c>
      <c r="H774" s="192">
        <v>2773.58</v>
      </c>
      <c r="I774" s="192">
        <v>0</v>
      </c>
      <c r="J774" s="192">
        <v>0</v>
      </c>
      <c r="K774" s="192">
        <v>0</v>
      </c>
      <c r="L774" s="192">
        <v>104.66</v>
      </c>
      <c r="M774" s="192">
        <v>0</v>
      </c>
      <c r="N774" s="192">
        <v>0</v>
      </c>
      <c r="O774" s="192">
        <v>2878.24</v>
      </c>
      <c r="P774" s="192">
        <v>0</v>
      </c>
      <c r="Q774" s="192">
        <v>0</v>
      </c>
      <c r="R774" s="192">
        <v>0</v>
      </c>
      <c r="S774" s="285">
        <f t="shared" si="67"/>
        <v>0.42</v>
      </c>
      <c r="T774" s="192">
        <v>0</v>
      </c>
      <c r="U774" s="291">
        <v>2878.24</v>
      </c>
      <c r="V774" s="291">
        <v>2878.24</v>
      </c>
      <c r="W774" s="292">
        <v>34538.879999999997</v>
      </c>
      <c r="X774" s="292">
        <v>34538.879999999997</v>
      </c>
      <c r="Y774" s="292">
        <v>34538.879999999997</v>
      </c>
      <c r="Z774" s="292">
        <v>39834.92</v>
      </c>
      <c r="AA774" s="290">
        <v>40751.123159999996</v>
      </c>
      <c r="AB774" s="285">
        <v>40432.443799999994</v>
      </c>
      <c r="AC774" s="290">
        <v>2878.24</v>
      </c>
      <c r="AD774" s="192">
        <v>12</v>
      </c>
      <c r="AE774" s="290">
        <v>2878.24</v>
      </c>
      <c r="AF774" s="194">
        <v>37417.119999999995</v>
      </c>
      <c r="AG774" s="215"/>
      <c r="AJ774" s="388">
        <f t="shared" si="68"/>
        <v>0</v>
      </c>
    </row>
    <row r="775" spans="1:36" x14ac:dyDescent="0.3">
      <c r="A775" s="192">
        <v>5831</v>
      </c>
      <c r="B775" s="192">
        <v>99</v>
      </c>
      <c r="C775" s="192">
        <v>0</v>
      </c>
      <c r="D775" s="192" t="s">
        <v>1699</v>
      </c>
      <c r="E775" s="192">
        <v>5278518</v>
      </c>
      <c r="F775" s="192" t="s">
        <v>1796</v>
      </c>
      <c r="G775" s="290">
        <v>0.32</v>
      </c>
      <c r="H775" s="192">
        <v>2054.48</v>
      </c>
      <c r="I775" s="192">
        <v>87.3</v>
      </c>
      <c r="J775" s="192">
        <v>0</v>
      </c>
      <c r="K775" s="192">
        <v>0</v>
      </c>
      <c r="L775" s="192">
        <v>81.819999999999993</v>
      </c>
      <c r="M775" s="192">
        <v>0</v>
      </c>
      <c r="N775" s="192">
        <v>0</v>
      </c>
      <c r="O775" s="192">
        <v>2223.6</v>
      </c>
      <c r="P775" s="192">
        <v>0</v>
      </c>
      <c r="Q775" s="192">
        <v>178.02</v>
      </c>
      <c r="R775" s="192">
        <v>0</v>
      </c>
      <c r="S775" s="285">
        <f t="shared" si="67"/>
        <v>0.32</v>
      </c>
      <c r="T775" s="192">
        <v>0</v>
      </c>
      <c r="U775" s="291">
        <v>2401.62</v>
      </c>
      <c r="V775" s="291">
        <v>2401.62</v>
      </c>
      <c r="W775" s="292">
        <v>28684.44</v>
      </c>
      <c r="X775" s="292">
        <v>28819.439999999999</v>
      </c>
      <c r="Y775" s="292">
        <v>28729.439999999999</v>
      </c>
      <c r="Z775" s="292">
        <v>59819.74</v>
      </c>
      <c r="AA775" s="290">
        <v>0</v>
      </c>
      <c r="AB775" s="285">
        <v>0</v>
      </c>
      <c r="AC775" s="290">
        <v>2390.37</v>
      </c>
      <c r="AD775" s="192">
        <v>12</v>
      </c>
      <c r="AE775" s="290">
        <v>2401.62</v>
      </c>
      <c r="AF775" s="194">
        <v>31086.059999999998</v>
      </c>
      <c r="AG775" s="215"/>
      <c r="AJ775" s="388">
        <f t="shared" si="68"/>
        <v>0</v>
      </c>
    </row>
    <row r="776" spans="1:36" x14ac:dyDescent="0.3">
      <c r="A776" s="192">
        <v>5831</v>
      </c>
      <c r="B776" s="192">
        <v>99</v>
      </c>
      <c r="C776" s="192">
        <v>0</v>
      </c>
      <c r="D776" s="192" t="s">
        <v>1699</v>
      </c>
      <c r="E776" s="192">
        <v>5322903</v>
      </c>
      <c r="F776" s="192" t="s">
        <v>1346</v>
      </c>
      <c r="G776" s="290">
        <v>0.66800000000000004</v>
      </c>
      <c r="H776" s="192">
        <v>4232.49</v>
      </c>
      <c r="I776" s="192">
        <v>0</v>
      </c>
      <c r="J776" s="192">
        <v>0</v>
      </c>
      <c r="K776" s="192">
        <v>0</v>
      </c>
      <c r="L776" s="192">
        <v>159.72</v>
      </c>
      <c r="M776" s="192">
        <v>0</v>
      </c>
      <c r="N776" s="192">
        <v>0</v>
      </c>
      <c r="O776" s="192">
        <v>4392.21</v>
      </c>
      <c r="P776" s="192">
        <v>0</v>
      </c>
      <c r="Q776" s="192">
        <v>340.67</v>
      </c>
      <c r="R776" s="192">
        <v>0</v>
      </c>
      <c r="S776" s="285">
        <f t="shared" si="67"/>
        <v>0.66800000000000004</v>
      </c>
      <c r="T776" s="192">
        <v>0</v>
      </c>
      <c r="U776" s="291">
        <v>4732.88</v>
      </c>
      <c r="V776" s="291">
        <v>4732.88</v>
      </c>
      <c r="W776" s="292">
        <v>56659.56</v>
      </c>
      <c r="X776" s="292">
        <v>56794.559999999998</v>
      </c>
      <c r="Y776" s="292">
        <v>56704.56</v>
      </c>
      <c r="Z776" s="292">
        <v>65367.15</v>
      </c>
      <c r="AA776" s="290">
        <v>66870.59444999999</v>
      </c>
      <c r="AB776" s="285">
        <v>66347.657249999989</v>
      </c>
      <c r="AC776" s="290">
        <v>4721.63</v>
      </c>
      <c r="AD776" s="192">
        <v>12</v>
      </c>
      <c r="AE776" s="290">
        <v>4732.88</v>
      </c>
      <c r="AF776" s="194">
        <v>61392.439999999995</v>
      </c>
      <c r="AG776" s="215"/>
      <c r="AJ776" s="388">
        <f t="shared" si="68"/>
        <v>0</v>
      </c>
    </row>
    <row r="777" spans="1:36" x14ac:dyDescent="0.3">
      <c r="A777" s="192">
        <v>5831</v>
      </c>
      <c r="B777" s="192">
        <v>99</v>
      </c>
      <c r="C777" s="192">
        <v>0</v>
      </c>
      <c r="D777" s="192" t="s">
        <v>1699</v>
      </c>
      <c r="E777" s="192">
        <v>5323098</v>
      </c>
      <c r="F777" s="192" t="s">
        <v>1797</v>
      </c>
      <c r="G777" s="290">
        <v>0.17499999999999999</v>
      </c>
      <c r="H777" s="192">
        <v>1001.27</v>
      </c>
      <c r="I777" s="192">
        <v>0</v>
      </c>
      <c r="J777" s="192">
        <v>0</v>
      </c>
      <c r="K777" s="192">
        <v>0</v>
      </c>
      <c r="L777" s="192">
        <v>25.81</v>
      </c>
      <c r="M777" s="192">
        <v>0</v>
      </c>
      <c r="N777" s="192">
        <v>0</v>
      </c>
      <c r="O777" s="192">
        <v>1027.08</v>
      </c>
      <c r="P777" s="192">
        <v>0</v>
      </c>
      <c r="Q777" s="192">
        <v>88.28</v>
      </c>
      <c r="R777" s="192">
        <v>0</v>
      </c>
      <c r="S777" s="285">
        <f t="shared" si="67"/>
        <v>0.17499999999999996</v>
      </c>
      <c r="T777" s="192">
        <v>0</v>
      </c>
      <c r="U777" s="291">
        <v>1115.3599999999999</v>
      </c>
      <c r="V777" s="291">
        <v>1115.3599999999999</v>
      </c>
      <c r="W777" s="292">
        <v>13249.32</v>
      </c>
      <c r="X777" s="292">
        <v>13384.32</v>
      </c>
      <c r="Y777" s="292">
        <v>13294.32</v>
      </c>
      <c r="Z777" s="292">
        <v>14857.3</v>
      </c>
      <c r="AA777" s="290">
        <v>15199.017899999997</v>
      </c>
      <c r="AB777" s="285">
        <v>15080.159499999998</v>
      </c>
      <c r="AC777" s="290">
        <v>1104.1099999999999</v>
      </c>
      <c r="AD777" s="192">
        <v>12</v>
      </c>
      <c r="AE777" s="290">
        <v>1115.3599999999999</v>
      </c>
      <c r="AF777" s="194">
        <v>14364.68</v>
      </c>
      <c r="AG777" s="215"/>
      <c r="AJ777" s="388">
        <f t="shared" si="68"/>
        <v>0</v>
      </c>
    </row>
    <row r="778" spans="1:36" x14ac:dyDescent="0.3">
      <c r="A778" s="192">
        <v>5831</v>
      </c>
      <c r="B778" s="192">
        <v>99</v>
      </c>
      <c r="C778" s="192">
        <v>0</v>
      </c>
      <c r="D778" s="192" t="s">
        <v>1699</v>
      </c>
      <c r="E778" s="192">
        <v>5340631</v>
      </c>
      <c r="F778" s="192" t="s">
        <v>1798</v>
      </c>
      <c r="G778" s="290">
        <v>0.39556000000000002</v>
      </c>
      <c r="H778" s="192">
        <v>2445.33</v>
      </c>
      <c r="I778" s="192">
        <v>0</v>
      </c>
      <c r="J778" s="192">
        <v>0</v>
      </c>
      <c r="K778" s="192">
        <v>0</v>
      </c>
      <c r="L778" s="192">
        <v>86.96</v>
      </c>
      <c r="M778" s="192">
        <v>0</v>
      </c>
      <c r="N778" s="192">
        <v>0</v>
      </c>
      <c r="O778" s="192">
        <v>2532.29</v>
      </c>
      <c r="P778" s="192">
        <v>0</v>
      </c>
      <c r="Q778" s="192">
        <v>201.17</v>
      </c>
      <c r="R778" s="192">
        <v>0</v>
      </c>
      <c r="S778" s="285">
        <f t="shared" si="67"/>
        <v>0.39555999999999997</v>
      </c>
      <c r="T778" s="192">
        <v>0</v>
      </c>
      <c r="U778" s="291">
        <v>2733.46</v>
      </c>
      <c r="V778" s="291">
        <v>2733.46</v>
      </c>
      <c r="W778" s="292">
        <v>32666.52</v>
      </c>
      <c r="X778" s="292">
        <v>32801.520000000004</v>
      </c>
      <c r="Y778" s="292">
        <v>32711.52</v>
      </c>
      <c r="Z778" s="292">
        <v>37955.32</v>
      </c>
      <c r="AA778" s="290">
        <v>38828.292359999999</v>
      </c>
      <c r="AB778" s="285">
        <v>38524.649799999999</v>
      </c>
      <c r="AC778" s="290">
        <v>2722.21</v>
      </c>
      <c r="AD778" s="192">
        <v>12</v>
      </c>
      <c r="AE778" s="290">
        <v>2733.46</v>
      </c>
      <c r="AF778" s="194">
        <v>35399.980000000003</v>
      </c>
      <c r="AG778" s="215"/>
      <c r="AJ778" s="388">
        <f t="shared" si="68"/>
        <v>0</v>
      </c>
    </row>
    <row r="779" spans="1:36" x14ac:dyDescent="0.3">
      <c r="A779" s="192">
        <v>5831</v>
      </c>
      <c r="B779" s="192">
        <v>99</v>
      </c>
      <c r="C779" s="192">
        <v>0</v>
      </c>
      <c r="D779" s="192" t="s">
        <v>1699</v>
      </c>
      <c r="E779" s="192">
        <v>5344314</v>
      </c>
      <c r="F779" s="192" t="s">
        <v>1799</v>
      </c>
      <c r="G779" s="290">
        <v>0.48359999999999997</v>
      </c>
      <c r="H779" s="192">
        <v>4921.1899999999996</v>
      </c>
      <c r="I779" s="192">
        <v>0</v>
      </c>
      <c r="J779" s="192">
        <v>10.6</v>
      </c>
      <c r="K779" s="192">
        <v>0</v>
      </c>
      <c r="L779" s="192">
        <v>128.68</v>
      </c>
      <c r="M779" s="192">
        <v>0</v>
      </c>
      <c r="N779" s="192">
        <v>0</v>
      </c>
      <c r="O779" s="192">
        <v>5060.47</v>
      </c>
      <c r="P779" s="192">
        <v>0</v>
      </c>
      <c r="Q779" s="192">
        <v>390.79</v>
      </c>
      <c r="R779" s="192">
        <v>0</v>
      </c>
      <c r="S779" s="285">
        <f t="shared" si="67"/>
        <v>0.48359999999999997</v>
      </c>
      <c r="T779" s="192">
        <v>0</v>
      </c>
      <c r="U779" s="291">
        <v>5451.26</v>
      </c>
      <c r="V779" s="291">
        <v>5451.26</v>
      </c>
      <c r="W779" s="292">
        <v>54273.84</v>
      </c>
      <c r="X779" s="292">
        <v>65415.12</v>
      </c>
      <c r="Y779" s="292">
        <v>61330.400000000001</v>
      </c>
      <c r="Z779" s="292">
        <v>51307.23</v>
      </c>
      <c r="AA779" s="290">
        <v>52487.296289999998</v>
      </c>
      <c r="AB779" s="285">
        <v>52076.838449999996</v>
      </c>
      <c r="AC779" s="290">
        <v>4522.82</v>
      </c>
      <c r="AD779" s="192">
        <v>12</v>
      </c>
      <c r="AE779" s="290">
        <v>5451.26</v>
      </c>
      <c r="AF779" s="194">
        <v>59725.1</v>
      </c>
      <c r="AG779" s="215"/>
      <c r="AJ779" s="388">
        <f t="shared" si="68"/>
        <v>0</v>
      </c>
    </row>
    <row r="780" spans="1:36" x14ac:dyDescent="0.3">
      <c r="A780" s="192">
        <v>5831</v>
      </c>
      <c r="B780" s="192">
        <v>99</v>
      </c>
      <c r="C780" s="192">
        <v>0</v>
      </c>
      <c r="D780" s="192" t="s">
        <v>1699</v>
      </c>
      <c r="E780" s="192">
        <v>5351814</v>
      </c>
      <c r="F780" s="192" t="s">
        <v>1800</v>
      </c>
      <c r="G780" s="290">
        <v>0.64607999999999999</v>
      </c>
      <c r="H780" s="192">
        <v>5097.59</v>
      </c>
      <c r="I780" s="192">
        <v>0</v>
      </c>
      <c r="J780" s="192">
        <v>0</v>
      </c>
      <c r="K780" s="192">
        <v>0</v>
      </c>
      <c r="L780" s="192">
        <v>167.3</v>
      </c>
      <c r="M780" s="192">
        <v>0</v>
      </c>
      <c r="N780" s="192">
        <v>0</v>
      </c>
      <c r="O780" s="192">
        <v>5264.89</v>
      </c>
      <c r="P780" s="192">
        <v>0</v>
      </c>
      <c r="Q780" s="192">
        <v>406.12</v>
      </c>
      <c r="R780" s="192">
        <v>0</v>
      </c>
      <c r="S780" s="285">
        <f t="shared" si="67"/>
        <v>0.64607999999999999</v>
      </c>
      <c r="T780" s="192">
        <v>0</v>
      </c>
      <c r="U780" s="291">
        <v>5671.01</v>
      </c>
      <c r="V780" s="291">
        <v>5671.01</v>
      </c>
      <c r="W780" s="292">
        <v>67917.119999999995</v>
      </c>
      <c r="X780" s="292">
        <v>68052.12</v>
      </c>
      <c r="Y780" s="292">
        <v>67962.12</v>
      </c>
      <c r="Z780" s="292">
        <v>76619.28</v>
      </c>
      <c r="AA780" s="290">
        <v>78381.52343999999</v>
      </c>
      <c r="AB780" s="285">
        <v>77768.569199999998</v>
      </c>
      <c r="AC780" s="290">
        <v>5659.76</v>
      </c>
      <c r="AD780" s="192">
        <v>12</v>
      </c>
      <c r="AE780" s="290">
        <v>5671.01</v>
      </c>
      <c r="AF780" s="194">
        <v>73588.12999999999</v>
      </c>
      <c r="AG780" s="215"/>
      <c r="AJ780" s="388">
        <f t="shared" si="68"/>
        <v>0</v>
      </c>
    </row>
    <row r="781" spans="1:36" x14ac:dyDescent="0.3">
      <c r="A781" s="192">
        <v>5831</v>
      </c>
      <c r="B781" s="192">
        <v>99</v>
      </c>
      <c r="C781" s="192">
        <v>0</v>
      </c>
      <c r="D781" s="192" t="s">
        <v>1699</v>
      </c>
      <c r="E781" s="192">
        <v>5352606</v>
      </c>
      <c r="F781" s="192" t="s">
        <v>1801</v>
      </c>
      <c r="G781" s="290">
        <v>0.7</v>
      </c>
      <c r="H781" s="192">
        <v>5772.58</v>
      </c>
      <c r="I781" s="192">
        <v>0</v>
      </c>
      <c r="J781" s="192">
        <v>0</v>
      </c>
      <c r="K781" s="192">
        <v>0</v>
      </c>
      <c r="L781" s="192">
        <v>172.61</v>
      </c>
      <c r="M781" s="192">
        <v>0</v>
      </c>
      <c r="N781" s="192">
        <v>0</v>
      </c>
      <c r="O781" s="192">
        <v>5945.19</v>
      </c>
      <c r="P781" s="192">
        <v>0</v>
      </c>
      <c r="Q781" s="192">
        <v>457.14</v>
      </c>
      <c r="R781" s="192">
        <v>0</v>
      </c>
      <c r="S781" s="285">
        <f t="shared" si="67"/>
        <v>0.69999999999999984</v>
      </c>
      <c r="T781" s="192">
        <v>0</v>
      </c>
      <c r="U781" s="291">
        <v>6402.33</v>
      </c>
      <c r="V781" s="291">
        <v>6402.33</v>
      </c>
      <c r="W781" s="292">
        <v>76692.959999999992</v>
      </c>
      <c r="X781" s="292">
        <v>76827.959999999992</v>
      </c>
      <c r="Y781" s="292">
        <v>76737.960000000006</v>
      </c>
      <c r="Z781" s="292">
        <v>86470.58</v>
      </c>
      <c r="AA781" s="290">
        <v>88459.40333999999</v>
      </c>
      <c r="AB781" s="285">
        <v>87767.638699999996</v>
      </c>
      <c r="AC781" s="290">
        <v>6391.08</v>
      </c>
      <c r="AD781" s="192">
        <v>12</v>
      </c>
      <c r="AE781" s="290">
        <v>6402.33</v>
      </c>
      <c r="AF781" s="194">
        <v>83095.289999999994</v>
      </c>
      <c r="AG781" s="215"/>
      <c r="AJ781" s="388">
        <f t="shared" si="68"/>
        <v>0</v>
      </c>
    </row>
    <row r="782" spans="1:36" x14ac:dyDescent="0.3">
      <c r="A782" s="192">
        <v>5831</v>
      </c>
      <c r="B782" s="192">
        <v>99</v>
      </c>
      <c r="C782" s="192">
        <v>0</v>
      </c>
      <c r="D782" s="192" t="s">
        <v>1699</v>
      </c>
      <c r="E782" s="192">
        <v>5352611</v>
      </c>
      <c r="F782" s="192" t="s">
        <v>1802</v>
      </c>
      <c r="G782" s="290">
        <v>0.65</v>
      </c>
      <c r="H782" s="192">
        <v>4434</v>
      </c>
      <c r="I782" s="192">
        <v>0</v>
      </c>
      <c r="J782" s="192">
        <v>0</v>
      </c>
      <c r="K782" s="192">
        <v>0</v>
      </c>
      <c r="L782" s="192">
        <v>165.73</v>
      </c>
      <c r="M782" s="192">
        <v>0</v>
      </c>
      <c r="N782" s="192">
        <v>0</v>
      </c>
      <c r="O782" s="192">
        <v>4599.7299999999996</v>
      </c>
      <c r="P782" s="192">
        <v>0</v>
      </c>
      <c r="Q782" s="192">
        <v>356.23</v>
      </c>
      <c r="R782" s="192">
        <v>0</v>
      </c>
      <c r="S782" s="285">
        <f t="shared" si="67"/>
        <v>0.65</v>
      </c>
      <c r="T782" s="192">
        <v>0</v>
      </c>
      <c r="U782" s="291">
        <v>4955.96</v>
      </c>
      <c r="V782" s="291">
        <v>4955.96</v>
      </c>
      <c r="W782" s="292">
        <v>59336.520000000004</v>
      </c>
      <c r="X782" s="292">
        <v>59471.520000000004</v>
      </c>
      <c r="Y782" s="292">
        <v>59381.520000000004</v>
      </c>
      <c r="Z782" s="292">
        <v>68000.039999999994</v>
      </c>
      <c r="AA782" s="290">
        <v>69564.040919999985</v>
      </c>
      <c r="AB782" s="285">
        <v>69020.040599999993</v>
      </c>
      <c r="AC782" s="290">
        <v>4944.71</v>
      </c>
      <c r="AD782" s="192">
        <v>12</v>
      </c>
      <c r="AE782" s="290">
        <v>4955.96</v>
      </c>
      <c r="AF782" s="194">
        <v>64292.480000000003</v>
      </c>
      <c r="AG782" s="215"/>
      <c r="AJ782" s="388">
        <f t="shared" si="68"/>
        <v>0</v>
      </c>
    </row>
    <row r="783" spans="1:36" x14ac:dyDescent="0.3">
      <c r="A783" s="192">
        <v>5831</v>
      </c>
      <c r="B783" s="192">
        <v>99</v>
      </c>
      <c r="C783" s="192">
        <v>0</v>
      </c>
      <c r="D783" s="192" t="s">
        <v>1699</v>
      </c>
      <c r="E783" s="192">
        <v>5399612</v>
      </c>
      <c r="F783" s="192" t="s">
        <v>1803</v>
      </c>
      <c r="G783" s="290">
        <v>0.58069999999999999</v>
      </c>
      <c r="H783" s="192">
        <v>4518.93</v>
      </c>
      <c r="I783" s="192">
        <v>180.57</v>
      </c>
      <c r="J783" s="192">
        <v>0</v>
      </c>
      <c r="K783" s="192">
        <v>0</v>
      </c>
      <c r="L783" s="192">
        <v>172.23</v>
      </c>
      <c r="M783" s="192">
        <v>0</v>
      </c>
      <c r="N783" s="192">
        <v>0</v>
      </c>
      <c r="O783" s="192">
        <v>4871.7299999999996</v>
      </c>
      <c r="P783" s="192">
        <v>0</v>
      </c>
      <c r="Q783" s="192">
        <v>376.63</v>
      </c>
      <c r="R783" s="192">
        <v>0</v>
      </c>
      <c r="S783" s="285">
        <f t="shared" si="67"/>
        <v>0.58069999999999999</v>
      </c>
      <c r="T783" s="192">
        <v>0</v>
      </c>
      <c r="U783" s="291">
        <v>5248.36</v>
      </c>
      <c r="V783" s="291">
        <v>5248.36</v>
      </c>
      <c r="W783" s="292">
        <v>-9430.32</v>
      </c>
      <c r="X783" s="292">
        <v>62980.319999999992</v>
      </c>
      <c r="Y783" s="292">
        <v>38798.44</v>
      </c>
      <c r="Z783" s="292">
        <v>102303.51</v>
      </c>
      <c r="AA783" s="290">
        <v>104341.79547</v>
      </c>
      <c r="AB783" s="285">
        <v>8499.6574999999993</v>
      </c>
      <c r="AC783" s="290">
        <v>5248</v>
      </c>
      <c r="AD783" s="192">
        <v>12</v>
      </c>
      <c r="AE783" s="305">
        <v>99000</v>
      </c>
      <c r="AF783" s="194">
        <v>161976</v>
      </c>
      <c r="AG783" s="215"/>
      <c r="AJ783" s="388">
        <f t="shared" si="68"/>
        <v>0</v>
      </c>
    </row>
    <row r="784" spans="1:36" x14ac:dyDescent="0.3">
      <c r="A784" s="192">
        <v>5831</v>
      </c>
      <c r="B784" s="192">
        <v>99</v>
      </c>
      <c r="C784" s="192">
        <v>0</v>
      </c>
      <c r="D784" s="192" t="s">
        <v>1699</v>
      </c>
      <c r="E784" s="192">
        <v>5399819</v>
      </c>
      <c r="F784" s="192" t="s">
        <v>1804</v>
      </c>
      <c r="G784" s="290">
        <v>0.24</v>
      </c>
      <c r="H784" s="192">
        <v>1417.55</v>
      </c>
      <c r="I784" s="192">
        <v>0</v>
      </c>
      <c r="J784" s="192">
        <v>0</v>
      </c>
      <c r="K784" s="192">
        <v>0</v>
      </c>
      <c r="L784" s="192">
        <v>43.77</v>
      </c>
      <c r="M784" s="192">
        <v>0</v>
      </c>
      <c r="N784" s="192">
        <v>0</v>
      </c>
      <c r="O784" s="192">
        <v>1461.32</v>
      </c>
      <c r="P784" s="192">
        <v>0</v>
      </c>
      <c r="Q784" s="192">
        <v>0</v>
      </c>
      <c r="R784" s="192">
        <v>0</v>
      </c>
      <c r="S784" s="285">
        <f t="shared" si="67"/>
        <v>0.24</v>
      </c>
      <c r="T784" s="192">
        <v>0</v>
      </c>
      <c r="U784" s="291">
        <v>1461.32</v>
      </c>
      <c r="V784" s="291">
        <v>1461.32</v>
      </c>
      <c r="W784" s="292">
        <v>17535.84</v>
      </c>
      <c r="X784" s="292">
        <v>17535.84</v>
      </c>
      <c r="Y784" s="292">
        <v>17535.84</v>
      </c>
      <c r="Z784" s="292">
        <v>19644.89</v>
      </c>
      <c r="AA784" s="290">
        <v>20096.722469999997</v>
      </c>
      <c r="AB784" s="285">
        <v>19939.563349999997</v>
      </c>
      <c r="AC784" s="290">
        <v>1461.32</v>
      </c>
      <c r="AD784" s="192">
        <v>12</v>
      </c>
      <c r="AE784" s="290">
        <v>1461.32</v>
      </c>
      <c r="AF784" s="194">
        <v>18997.16</v>
      </c>
      <c r="AG784" s="215"/>
      <c r="AJ784" s="388">
        <f t="shared" si="68"/>
        <v>0</v>
      </c>
    </row>
    <row r="785" spans="1:36" x14ac:dyDescent="0.3">
      <c r="A785" s="192">
        <v>5831</v>
      </c>
      <c r="B785" s="192">
        <v>99</v>
      </c>
      <c r="C785" s="192">
        <v>0</v>
      </c>
      <c r="D785" s="192" t="s">
        <v>1699</v>
      </c>
      <c r="E785" s="192">
        <v>5417527</v>
      </c>
      <c r="F785" s="192" t="s">
        <v>1805</v>
      </c>
      <c r="G785" s="290">
        <v>0.68</v>
      </c>
      <c r="H785" s="192">
        <v>9880.58</v>
      </c>
      <c r="I785" s="192">
        <v>45.7</v>
      </c>
      <c r="J785" s="192">
        <v>0</v>
      </c>
      <c r="K785" s="192">
        <v>0</v>
      </c>
      <c r="L785" s="192">
        <v>356.67</v>
      </c>
      <c r="M785" s="192">
        <v>0</v>
      </c>
      <c r="N785" s="192">
        <v>0</v>
      </c>
      <c r="O785" s="192">
        <v>10282.950000000001</v>
      </c>
      <c r="P785" s="192">
        <v>0</v>
      </c>
      <c r="Q785" s="192">
        <v>782.47</v>
      </c>
      <c r="R785" s="192">
        <v>0</v>
      </c>
      <c r="S785" s="285">
        <f t="shared" si="67"/>
        <v>0.68</v>
      </c>
      <c r="T785" s="192">
        <v>0</v>
      </c>
      <c r="U785" s="291">
        <v>11065.42</v>
      </c>
      <c r="V785" s="291">
        <v>11065.42</v>
      </c>
      <c r="W785" s="292">
        <v>132650.04</v>
      </c>
      <c r="X785" s="292">
        <v>132785.04</v>
      </c>
      <c r="Y785" s="292">
        <v>132695.04000000001</v>
      </c>
      <c r="Z785" s="292">
        <v>144316.59</v>
      </c>
      <c r="AA785" s="290">
        <v>147635.87156999999</v>
      </c>
      <c r="AB785" s="285">
        <v>146481.33884999997</v>
      </c>
      <c r="AC785" s="290">
        <v>11054.17</v>
      </c>
      <c r="AD785" s="192">
        <v>12</v>
      </c>
      <c r="AE785" s="290">
        <v>11065.42</v>
      </c>
      <c r="AF785" s="194">
        <v>143715.46000000002</v>
      </c>
      <c r="AG785" s="215"/>
      <c r="AJ785" s="388">
        <f t="shared" si="68"/>
        <v>0</v>
      </c>
    </row>
    <row r="786" spans="1:36" x14ac:dyDescent="0.3">
      <c r="A786" s="192">
        <v>5831</v>
      </c>
      <c r="B786" s="192">
        <v>99</v>
      </c>
      <c r="C786" s="192">
        <v>0</v>
      </c>
      <c r="D786" s="192" t="s">
        <v>1699</v>
      </c>
      <c r="E786" s="192">
        <v>5429070</v>
      </c>
      <c r="F786" s="192" t="s">
        <v>1806</v>
      </c>
      <c r="G786" s="290">
        <v>0.7</v>
      </c>
      <c r="H786" s="192">
        <v>6812.38</v>
      </c>
      <c r="I786" s="192">
        <v>321.23</v>
      </c>
      <c r="J786" s="192">
        <v>0</v>
      </c>
      <c r="K786" s="192">
        <v>0</v>
      </c>
      <c r="L786" s="192">
        <v>321.36</v>
      </c>
      <c r="M786" s="192">
        <v>0</v>
      </c>
      <c r="N786" s="192">
        <v>0</v>
      </c>
      <c r="O786" s="192">
        <v>7454.97</v>
      </c>
      <c r="P786" s="192">
        <v>0</v>
      </c>
      <c r="Q786" s="192">
        <v>570.37</v>
      </c>
      <c r="R786" s="192">
        <v>0</v>
      </c>
      <c r="S786" s="285">
        <f t="shared" si="67"/>
        <v>0.69999999999999984</v>
      </c>
      <c r="T786" s="192">
        <v>0</v>
      </c>
      <c r="U786" s="291">
        <v>8025.34</v>
      </c>
      <c r="V786" s="291">
        <v>8025.34</v>
      </c>
      <c r="W786" s="292">
        <v>156505.08000000002</v>
      </c>
      <c r="X786" s="292">
        <v>96304.08</v>
      </c>
      <c r="Y786" s="292">
        <v>116326.08</v>
      </c>
      <c r="Z786" s="292">
        <v>88657.56</v>
      </c>
      <c r="AA786" s="290">
        <v>0</v>
      </c>
      <c r="AB786" s="285">
        <v>0</v>
      </c>
      <c r="AC786" s="290">
        <v>8000</v>
      </c>
      <c r="AD786" s="192">
        <v>12</v>
      </c>
      <c r="AE786" s="305">
        <v>127000</v>
      </c>
      <c r="AF786" s="194">
        <v>223000</v>
      </c>
      <c r="AG786" s="215"/>
      <c r="AJ786" s="388">
        <f t="shared" si="68"/>
        <v>0</v>
      </c>
    </row>
    <row r="787" spans="1:36" x14ac:dyDescent="0.3">
      <c r="A787" s="192">
        <v>5831</v>
      </c>
      <c r="B787" s="192">
        <v>99</v>
      </c>
      <c r="C787" s="192">
        <v>0</v>
      </c>
      <c r="D787" s="192" t="s">
        <v>1699</v>
      </c>
      <c r="E787" s="192">
        <v>5429106</v>
      </c>
      <c r="F787" s="192" t="s">
        <v>1807</v>
      </c>
      <c r="G787" s="290">
        <v>0.64</v>
      </c>
      <c r="H787" s="192">
        <v>7166.76</v>
      </c>
      <c r="I787" s="192">
        <v>0</v>
      </c>
      <c r="J787" s="192">
        <v>0</v>
      </c>
      <c r="K787" s="192">
        <v>0</v>
      </c>
      <c r="L787" s="192">
        <v>204.52</v>
      </c>
      <c r="M787" s="192">
        <v>0</v>
      </c>
      <c r="N787" s="192">
        <v>0</v>
      </c>
      <c r="O787" s="192">
        <v>7371.28</v>
      </c>
      <c r="P787" s="192">
        <v>0</v>
      </c>
      <c r="Q787" s="192">
        <v>564.1</v>
      </c>
      <c r="R787" s="192">
        <v>0</v>
      </c>
      <c r="S787" s="285">
        <f t="shared" si="67"/>
        <v>0.64</v>
      </c>
      <c r="T787" s="192">
        <v>0</v>
      </c>
      <c r="U787" s="291">
        <v>7935.38</v>
      </c>
      <c r="V787" s="291">
        <v>7935.38</v>
      </c>
      <c r="W787" s="292">
        <v>95089.56</v>
      </c>
      <c r="X787" s="292">
        <v>95224.56</v>
      </c>
      <c r="Y787" s="292">
        <v>95134.56</v>
      </c>
      <c r="Z787" s="292">
        <v>103110.01</v>
      </c>
      <c r="AA787" s="290">
        <v>105481.54023</v>
      </c>
      <c r="AB787" s="285">
        <v>104656.66015</v>
      </c>
      <c r="AC787" s="290">
        <v>7924.13</v>
      </c>
      <c r="AD787" s="192">
        <v>12</v>
      </c>
      <c r="AE787" s="290">
        <v>7935.38</v>
      </c>
      <c r="AF787" s="194">
        <v>103024.94</v>
      </c>
      <c r="AG787" s="215"/>
      <c r="AJ787" s="388">
        <f t="shared" si="68"/>
        <v>0</v>
      </c>
    </row>
    <row r="788" spans="1:36" x14ac:dyDescent="0.3">
      <c r="A788" s="192">
        <v>5831</v>
      </c>
      <c r="B788" s="192">
        <v>99</v>
      </c>
      <c r="C788" s="192">
        <v>0</v>
      </c>
      <c r="D788" s="192" t="s">
        <v>1699</v>
      </c>
      <c r="E788" s="192">
        <v>5451878</v>
      </c>
      <c r="F788" s="192" t="s">
        <v>1808</v>
      </c>
      <c r="G788" s="290">
        <v>0.504</v>
      </c>
      <c r="H788" s="192">
        <v>5642.38</v>
      </c>
      <c r="I788" s="192">
        <v>118.48</v>
      </c>
      <c r="J788" s="192">
        <v>0</v>
      </c>
      <c r="K788" s="192">
        <v>0</v>
      </c>
      <c r="L788" s="192">
        <v>210.38</v>
      </c>
      <c r="M788" s="192">
        <v>0</v>
      </c>
      <c r="N788" s="192">
        <v>0</v>
      </c>
      <c r="O788" s="192">
        <v>5971.24</v>
      </c>
      <c r="P788" s="192">
        <v>0</v>
      </c>
      <c r="Q788" s="192">
        <v>459.09</v>
      </c>
      <c r="R788" s="192">
        <v>0</v>
      </c>
      <c r="S788" s="285">
        <f t="shared" si="67"/>
        <v>0.504</v>
      </c>
      <c r="T788" s="192">
        <v>0</v>
      </c>
      <c r="U788" s="291">
        <v>6430.33</v>
      </c>
      <c r="V788" s="291">
        <v>6430.33</v>
      </c>
      <c r="W788" s="292">
        <v>77028.959999999992</v>
      </c>
      <c r="X788" s="292">
        <v>77163.959999999992</v>
      </c>
      <c r="Y788" s="292">
        <v>77073.960000000006</v>
      </c>
      <c r="Z788" s="292">
        <v>83899.15</v>
      </c>
      <c r="AA788" s="290">
        <v>85828.830450000009</v>
      </c>
      <c r="AB788" s="285">
        <v>85157.63725</v>
      </c>
      <c r="AC788" s="290">
        <v>6419.08</v>
      </c>
      <c r="AD788" s="192">
        <v>12</v>
      </c>
      <c r="AE788" s="290">
        <v>6430.33</v>
      </c>
      <c r="AF788" s="194">
        <v>83459.289999999994</v>
      </c>
      <c r="AG788" s="215"/>
      <c r="AJ788" s="388">
        <f t="shared" si="68"/>
        <v>0</v>
      </c>
    </row>
    <row r="789" spans="1:36" x14ac:dyDescent="0.3">
      <c r="A789" s="192">
        <v>5831</v>
      </c>
      <c r="B789" s="192">
        <v>99</v>
      </c>
      <c r="C789" s="192">
        <v>0</v>
      </c>
      <c r="D789" s="192" t="s">
        <v>1699</v>
      </c>
      <c r="E789" s="192">
        <v>5455968</v>
      </c>
      <c r="F789" s="192" t="s">
        <v>1809</v>
      </c>
      <c r="G789" s="290">
        <v>0.12920000000000001</v>
      </c>
      <c r="H789" s="192">
        <v>1093.8</v>
      </c>
      <c r="I789" s="192">
        <v>0</v>
      </c>
      <c r="J789" s="192">
        <v>0</v>
      </c>
      <c r="K789" s="192">
        <v>0</v>
      </c>
      <c r="L789" s="192">
        <v>26.44</v>
      </c>
      <c r="M789" s="192">
        <v>0</v>
      </c>
      <c r="N789" s="192">
        <v>0</v>
      </c>
      <c r="O789" s="192">
        <v>1120.24</v>
      </c>
      <c r="P789" s="192">
        <v>0</v>
      </c>
      <c r="Q789" s="192">
        <v>95.27</v>
      </c>
      <c r="R789" s="192">
        <v>0</v>
      </c>
      <c r="S789" s="285">
        <f t="shared" si="67"/>
        <v>0.12920000000000001</v>
      </c>
      <c r="T789" s="192">
        <v>0</v>
      </c>
      <c r="U789" s="291">
        <v>1215.51</v>
      </c>
      <c r="V789" s="291">
        <v>1215.51</v>
      </c>
      <c r="W789" s="292">
        <v>14451.119999999999</v>
      </c>
      <c r="X789" s="292">
        <v>14586.119999999999</v>
      </c>
      <c r="Y789" s="292">
        <v>14496.119999999999</v>
      </c>
      <c r="Z789" s="292">
        <v>15684.12</v>
      </c>
      <c r="AA789" s="290">
        <v>16044.854759999998</v>
      </c>
      <c r="AB789" s="285">
        <v>15919.381799999997</v>
      </c>
      <c r="AC789" s="290">
        <v>1204.26</v>
      </c>
      <c r="AD789" s="192">
        <v>12</v>
      </c>
      <c r="AE789" s="290">
        <v>1215.51</v>
      </c>
      <c r="AF789" s="194">
        <v>15666.63</v>
      </c>
      <c r="AG789" s="215"/>
      <c r="AJ789" s="388">
        <f t="shared" si="68"/>
        <v>0</v>
      </c>
    </row>
    <row r="790" spans="1:36" x14ac:dyDescent="0.3">
      <c r="A790" s="192">
        <v>5831</v>
      </c>
      <c r="B790" s="192">
        <v>99</v>
      </c>
      <c r="C790" s="192">
        <v>0</v>
      </c>
      <c r="D790" s="192" t="s">
        <v>1699</v>
      </c>
      <c r="E790" s="192">
        <v>5462221</v>
      </c>
      <c r="F790" s="192" t="s">
        <v>1810</v>
      </c>
      <c r="G790" s="290">
        <v>0.24299999999999999</v>
      </c>
      <c r="H790" s="192">
        <v>1587.63</v>
      </c>
      <c r="I790" s="192">
        <v>82.9</v>
      </c>
      <c r="J790" s="192">
        <v>0</v>
      </c>
      <c r="K790" s="192">
        <v>0</v>
      </c>
      <c r="L790" s="192">
        <v>122.64</v>
      </c>
      <c r="M790" s="192">
        <v>0</v>
      </c>
      <c r="N790" s="192">
        <v>0</v>
      </c>
      <c r="O790" s="192">
        <v>1793.17</v>
      </c>
      <c r="P790" s="192">
        <v>0</v>
      </c>
      <c r="Q790" s="192">
        <v>145.74</v>
      </c>
      <c r="R790" s="192">
        <v>0</v>
      </c>
      <c r="S790" s="285">
        <f t="shared" si="67"/>
        <v>0.24299999999999999</v>
      </c>
      <c r="T790" s="192">
        <v>0</v>
      </c>
      <c r="U790" s="291">
        <v>1938.91</v>
      </c>
      <c r="V790" s="291">
        <v>1938.91</v>
      </c>
      <c r="W790" s="292">
        <v>42229.08</v>
      </c>
      <c r="X790" s="292">
        <v>23266.920000000002</v>
      </c>
      <c r="Y790" s="292">
        <v>15466.280000000002</v>
      </c>
      <c r="Z790" s="292">
        <v>59297.09</v>
      </c>
      <c r="AA790" s="290">
        <v>60902.985330000003</v>
      </c>
      <c r="AB790" s="285">
        <v>10071.119274999999</v>
      </c>
      <c r="AC790" s="290">
        <v>2000</v>
      </c>
      <c r="AD790" s="192">
        <v>12</v>
      </c>
      <c r="AE790" s="305">
        <v>34000</v>
      </c>
      <c r="AF790" s="194">
        <v>58000</v>
      </c>
      <c r="AG790" s="215"/>
      <c r="AJ790" s="388">
        <f t="shared" si="68"/>
        <v>0</v>
      </c>
    </row>
    <row r="791" spans="1:36" x14ac:dyDescent="0.3">
      <c r="A791" s="192">
        <v>5831</v>
      </c>
      <c r="B791" s="192">
        <v>99</v>
      </c>
      <c r="C791" s="192">
        <v>0</v>
      </c>
      <c r="D791" s="192" t="s">
        <v>1699</v>
      </c>
      <c r="E791" s="192">
        <v>5473532</v>
      </c>
      <c r="F791" s="192" t="s">
        <v>1811</v>
      </c>
      <c r="G791" s="290">
        <v>0.48</v>
      </c>
      <c r="H791" s="192">
        <v>2855.02</v>
      </c>
      <c r="I791" s="192">
        <v>0</v>
      </c>
      <c r="J791" s="192">
        <v>0</v>
      </c>
      <c r="K791" s="192">
        <v>0</v>
      </c>
      <c r="L791" s="192">
        <v>108.61</v>
      </c>
      <c r="M791" s="192">
        <v>0</v>
      </c>
      <c r="N791" s="192">
        <v>0</v>
      </c>
      <c r="O791" s="192">
        <v>2963.63</v>
      </c>
      <c r="P791" s="192">
        <v>0</v>
      </c>
      <c r="Q791" s="192">
        <v>233.52</v>
      </c>
      <c r="R791" s="192">
        <v>0</v>
      </c>
      <c r="S791" s="285">
        <f t="shared" si="67"/>
        <v>0.48</v>
      </c>
      <c r="T791" s="192">
        <v>0</v>
      </c>
      <c r="U791" s="291">
        <v>3197.15</v>
      </c>
      <c r="V791" s="291">
        <v>3197.15</v>
      </c>
      <c r="W791" s="292">
        <v>38230.800000000003</v>
      </c>
      <c r="X791" s="292">
        <v>38365.800000000003</v>
      </c>
      <c r="Y791" s="292">
        <v>38275.800000000003</v>
      </c>
      <c r="Z791" s="292">
        <v>42138.62</v>
      </c>
      <c r="AA791" s="290">
        <v>43107.808259999991</v>
      </c>
      <c r="AB791" s="285">
        <v>42770.699299999993</v>
      </c>
      <c r="AC791" s="290">
        <v>3185.9</v>
      </c>
      <c r="AD791" s="192">
        <v>12</v>
      </c>
      <c r="AE791" s="290">
        <v>3197.15</v>
      </c>
      <c r="AF791" s="194">
        <v>41427.950000000004</v>
      </c>
      <c r="AG791" s="215"/>
      <c r="AJ791" s="388">
        <f t="shared" si="68"/>
        <v>0</v>
      </c>
    </row>
    <row r="792" spans="1:36" x14ac:dyDescent="0.3">
      <c r="A792" s="192">
        <v>5831</v>
      </c>
      <c r="B792" s="192">
        <v>99</v>
      </c>
      <c r="C792" s="192">
        <v>0</v>
      </c>
      <c r="D792" s="192" t="s">
        <v>1699</v>
      </c>
      <c r="E792" s="192">
        <v>5473537</v>
      </c>
      <c r="F792" s="192" t="s">
        <v>1812</v>
      </c>
      <c r="G792" s="290">
        <v>0.56157999999999997</v>
      </c>
      <c r="H792" s="192">
        <v>3734.99</v>
      </c>
      <c r="I792" s="192">
        <v>0</v>
      </c>
      <c r="J792" s="192">
        <v>0</v>
      </c>
      <c r="K792" s="192">
        <v>0</v>
      </c>
      <c r="L792" s="192">
        <v>140.96</v>
      </c>
      <c r="M792" s="192">
        <v>0</v>
      </c>
      <c r="N792" s="192">
        <v>0</v>
      </c>
      <c r="O792" s="192">
        <v>3875.95</v>
      </c>
      <c r="P792" s="192">
        <v>0</v>
      </c>
      <c r="Q792" s="192">
        <v>301.95</v>
      </c>
      <c r="R792" s="192">
        <v>0</v>
      </c>
      <c r="S792" s="285">
        <f t="shared" si="67"/>
        <v>0.56157999999999997</v>
      </c>
      <c r="T792" s="192">
        <v>0</v>
      </c>
      <c r="U792" s="291">
        <v>4177.8999999999996</v>
      </c>
      <c r="V792" s="291">
        <v>4177.8999999999996</v>
      </c>
      <c r="W792" s="292">
        <v>49999.799999999996</v>
      </c>
      <c r="X792" s="292">
        <v>50134.799999999996</v>
      </c>
      <c r="Y792" s="292">
        <v>50044.800000000003</v>
      </c>
      <c r="Z792" s="292">
        <v>57519.34</v>
      </c>
      <c r="AA792" s="290">
        <v>58842.284820000001</v>
      </c>
      <c r="AB792" s="285">
        <v>58382.130099999995</v>
      </c>
      <c r="AC792" s="290">
        <v>4166.6499999999996</v>
      </c>
      <c r="AD792" s="192">
        <v>12</v>
      </c>
      <c r="AE792" s="290">
        <v>4177.8999999999996</v>
      </c>
      <c r="AF792" s="194">
        <v>54177.7</v>
      </c>
      <c r="AG792" s="215"/>
      <c r="AJ792" s="388">
        <f t="shared" si="68"/>
        <v>0</v>
      </c>
    </row>
    <row r="793" spans="1:36" x14ac:dyDescent="0.3">
      <c r="A793" s="192">
        <v>5831</v>
      </c>
      <c r="B793" s="192">
        <v>99</v>
      </c>
      <c r="C793" s="192">
        <v>0</v>
      </c>
      <c r="D793" s="192" t="s">
        <v>1699</v>
      </c>
      <c r="E793" s="192">
        <v>5473567</v>
      </c>
      <c r="F793" s="192" t="s">
        <v>1813</v>
      </c>
      <c r="G793" s="290">
        <v>0.7</v>
      </c>
      <c r="H793" s="192">
        <v>8621.19</v>
      </c>
      <c r="I793" s="192">
        <v>0</v>
      </c>
      <c r="J793" s="192">
        <v>0</v>
      </c>
      <c r="K793" s="192">
        <v>0</v>
      </c>
      <c r="L793" s="192">
        <v>312.18</v>
      </c>
      <c r="M793" s="192">
        <v>0</v>
      </c>
      <c r="N793" s="192">
        <v>0</v>
      </c>
      <c r="O793" s="192">
        <v>8933.3700000000008</v>
      </c>
      <c r="P793" s="192">
        <v>0</v>
      </c>
      <c r="Q793" s="192">
        <v>681.25</v>
      </c>
      <c r="R793" s="192">
        <v>0</v>
      </c>
      <c r="S793" s="285">
        <f t="shared" si="67"/>
        <v>0.69999999999999984</v>
      </c>
      <c r="T793" s="192">
        <v>0</v>
      </c>
      <c r="U793" s="291">
        <v>9614.6200000000008</v>
      </c>
      <c r="V793" s="291">
        <v>9614.6200000000008</v>
      </c>
      <c r="W793" s="292">
        <v>115240.44</v>
      </c>
      <c r="X793" s="292">
        <v>115375.44</v>
      </c>
      <c r="Y793" s="292">
        <v>115285.44</v>
      </c>
      <c r="Z793" s="292">
        <v>126581.74</v>
      </c>
      <c r="AA793" s="290">
        <v>129493.12001999999</v>
      </c>
      <c r="AB793" s="285">
        <v>128480.46609999999</v>
      </c>
      <c r="AC793" s="290">
        <v>9603.3700000000008</v>
      </c>
      <c r="AD793" s="192">
        <v>12</v>
      </c>
      <c r="AE793" s="290">
        <v>9614.6200000000008</v>
      </c>
      <c r="AF793" s="194">
        <v>124855.06</v>
      </c>
      <c r="AG793" s="215"/>
      <c r="AJ793" s="388">
        <f t="shared" si="68"/>
        <v>0</v>
      </c>
    </row>
    <row r="794" spans="1:36" x14ac:dyDescent="0.3">
      <c r="A794" s="192">
        <v>5831</v>
      </c>
      <c r="B794" s="192">
        <v>99</v>
      </c>
      <c r="C794" s="192">
        <v>0</v>
      </c>
      <c r="D794" s="192" t="s">
        <v>1699</v>
      </c>
      <c r="E794" s="192">
        <v>5474863</v>
      </c>
      <c r="F794" s="192" t="s">
        <v>1814</v>
      </c>
      <c r="G794" s="290">
        <v>0.3</v>
      </c>
      <c r="H794" s="192">
        <v>2480.25</v>
      </c>
      <c r="I794" s="192">
        <v>0</v>
      </c>
      <c r="J794" s="192">
        <v>0</v>
      </c>
      <c r="K794" s="192">
        <v>0</v>
      </c>
      <c r="L794" s="192">
        <v>77.98</v>
      </c>
      <c r="M794" s="192">
        <v>0</v>
      </c>
      <c r="N794" s="192">
        <v>0</v>
      </c>
      <c r="O794" s="192">
        <v>2558.23</v>
      </c>
      <c r="P794" s="192">
        <v>0</v>
      </c>
      <c r="Q794" s="192">
        <v>203.12</v>
      </c>
      <c r="R794" s="192">
        <v>0</v>
      </c>
      <c r="S794" s="285">
        <f t="shared" si="67"/>
        <v>0.3</v>
      </c>
      <c r="T794" s="192">
        <v>0</v>
      </c>
      <c r="U794" s="291">
        <v>2761.35</v>
      </c>
      <c r="V794" s="291">
        <v>2761.35</v>
      </c>
      <c r="W794" s="292">
        <v>33001.199999999997</v>
      </c>
      <c r="X794" s="292">
        <v>33136.199999999997</v>
      </c>
      <c r="Y794" s="292">
        <v>33046.199999999997</v>
      </c>
      <c r="Z794" s="292">
        <v>36029.74</v>
      </c>
      <c r="AA794" s="290">
        <v>36858.424019999991</v>
      </c>
      <c r="AB794" s="285">
        <v>36570.186099999992</v>
      </c>
      <c r="AC794" s="290">
        <v>2750.1</v>
      </c>
      <c r="AD794" s="192">
        <v>12</v>
      </c>
      <c r="AE794" s="290">
        <v>2761.35</v>
      </c>
      <c r="AF794" s="194">
        <v>35762.549999999996</v>
      </c>
      <c r="AG794" s="215"/>
      <c r="AJ794" s="388">
        <f t="shared" si="68"/>
        <v>0</v>
      </c>
    </row>
    <row r="795" spans="1:36" x14ac:dyDescent="0.3">
      <c r="A795" s="192">
        <v>5831</v>
      </c>
      <c r="B795" s="192">
        <v>99</v>
      </c>
      <c r="C795" s="192">
        <v>0</v>
      </c>
      <c r="D795" s="192" t="s">
        <v>1699</v>
      </c>
      <c r="E795" s="192">
        <v>5484784</v>
      </c>
      <c r="F795" s="192" t="s">
        <v>1815</v>
      </c>
      <c r="G795" s="290">
        <v>0.49</v>
      </c>
      <c r="H795" s="192">
        <v>3211.29</v>
      </c>
      <c r="I795" s="192">
        <v>0</v>
      </c>
      <c r="J795" s="192">
        <v>0</v>
      </c>
      <c r="K795" s="192">
        <v>0</v>
      </c>
      <c r="L795" s="192">
        <v>122.3</v>
      </c>
      <c r="M795" s="192">
        <v>0</v>
      </c>
      <c r="N795" s="192">
        <v>0</v>
      </c>
      <c r="O795" s="192">
        <v>3333.59</v>
      </c>
      <c r="P795" s="192">
        <v>0</v>
      </c>
      <c r="Q795" s="192">
        <v>261.27</v>
      </c>
      <c r="R795" s="192">
        <v>0</v>
      </c>
      <c r="S795" s="285">
        <f t="shared" si="67"/>
        <v>0.49</v>
      </c>
      <c r="T795" s="192">
        <v>0</v>
      </c>
      <c r="U795" s="291">
        <v>3594.86</v>
      </c>
      <c r="V795" s="291">
        <v>3594.86</v>
      </c>
      <c r="W795" s="292">
        <v>43003.32</v>
      </c>
      <c r="X795" s="292">
        <v>43138.32</v>
      </c>
      <c r="Y795" s="292">
        <v>43048.32</v>
      </c>
      <c r="Z795" s="292">
        <v>49828.23</v>
      </c>
      <c r="AA795" s="290">
        <v>50974.279289999991</v>
      </c>
      <c r="AB795" s="285">
        <v>50575.653449999991</v>
      </c>
      <c r="AC795" s="290">
        <v>3583.61</v>
      </c>
      <c r="AD795" s="192">
        <v>12</v>
      </c>
      <c r="AE795" s="290">
        <v>3594.86</v>
      </c>
      <c r="AF795" s="194">
        <v>46598.18</v>
      </c>
      <c r="AG795" s="215"/>
      <c r="AJ795" s="388">
        <f t="shared" si="68"/>
        <v>0</v>
      </c>
    </row>
    <row r="796" spans="1:36" x14ac:dyDescent="0.3">
      <c r="A796" s="192">
        <v>5831</v>
      </c>
      <c r="B796" s="192">
        <v>99</v>
      </c>
      <c r="C796" s="192">
        <v>0</v>
      </c>
      <c r="D796" s="192" t="s">
        <v>1699</v>
      </c>
      <c r="E796" s="192">
        <v>5484816</v>
      </c>
      <c r="F796" s="192" t="s">
        <v>1816</v>
      </c>
      <c r="G796" s="290">
        <v>0.65100000000000002</v>
      </c>
      <c r="H796" s="192">
        <v>4188.1499999999996</v>
      </c>
      <c r="I796" s="192">
        <v>0</v>
      </c>
      <c r="J796" s="192">
        <v>0</v>
      </c>
      <c r="K796" s="192">
        <v>0</v>
      </c>
      <c r="L796" s="192">
        <v>158.05000000000001</v>
      </c>
      <c r="M796" s="192">
        <v>0</v>
      </c>
      <c r="N796" s="192">
        <v>0</v>
      </c>
      <c r="O796" s="192">
        <v>4346.2</v>
      </c>
      <c r="P796" s="192">
        <v>0</v>
      </c>
      <c r="Q796" s="192">
        <v>337.22</v>
      </c>
      <c r="R796" s="192">
        <v>0</v>
      </c>
      <c r="S796" s="285">
        <f t="shared" si="67"/>
        <v>0.65100000000000002</v>
      </c>
      <c r="T796" s="192">
        <v>0</v>
      </c>
      <c r="U796" s="291">
        <v>4683.42</v>
      </c>
      <c r="V796" s="291">
        <v>4683.42</v>
      </c>
      <c r="W796" s="292">
        <v>56066.04</v>
      </c>
      <c r="X796" s="292">
        <v>56201.04</v>
      </c>
      <c r="Y796" s="292">
        <v>56111.040000000001</v>
      </c>
      <c r="Z796" s="292">
        <v>64628.77</v>
      </c>
      <c r="AA796" s="290">
        <v>66115.231709999993</v>
      </c>
      <c r="AB796" s="285">
        <v>65598.201549999998</v>
      </c>
      <c r="AC796" s="290">
        <v>4672.17</v>
      </c>
      <c r="AD796" s="192">
        <v>12</v>
      </c>
      <c r="AE796" s="290">
        <v>4683.42</v>
      </c>
      <c r="AF796" s="194">
        <v>60749.46</v>
      </c>
      <c r="AG796" s="215"/>
      <c r="AJ796" s="388">
        <f t="shared" si="68"/>
        <v>0</v>
      </c>
    </row>
    <row r="797" spans="1:36" x14ac:dyDescent="0.3">
      <c r="A797" s="192">
        <v>5831</v>
      </c>
      <c r="B797" s="192">
        <v>99</v>
      </c>
      <c r="C797" s="192">
        <v>0</v>
      </c>
      <c r="D797" s="192" t="s">
        <v>1699</v>
      </c>
      <c r="E797" s="192">
        <v>5538172</v>
      </c>
      <c r="F797" s="192" t="s">
        <v>1817</v>
      </c>
      <c r="G797" s="290">
        <v>0.33864</v>
      </c>
      <c r="H797" s="192">
        <v>2331.4</v>
      </c>
      <c r="I797" s="192">
        <v>118.83</v>
      </c>
      <c r="J797" s="192">
        <v>0</v>
      </c>
      <c r="K797" s="192">
        <v>0</v>
      </c>
      <c r="L797" s="192">
        <v>211.25</v>
      </c>
      <c r="M797" s="192">
        <v>0</v>
      </c>
      <c r="N797" s="192">
        <v>0</v>
      </c>
      <c r="O797" s="192">
        <v>2661.48</v>
      </c>
      <c r="P797" s="192">
        <v>0</v>
      </c>
      <c r="Q797" s="192">
        <v>210.86</v>
      </c>
      <c r="R797" s="192">
        <v>0</v>
      </c>
      <c r="S797" s="285">
        <f t="shared" si="67"/>
        <v>0.33864</v>
      </c>
      <c r="T797" s="192">
        <v>0</v>
      </c>
      <c r="U797" s="291">
        <v>2872.34</v>
      </c>
      <c r="V797" s="291">
        <v>2872.34</v>
      </c>
      <c r="W797" s="292">
        <v>80441.759999999995</v>
      </c>
      <c r="X797" s="292">
        <v>34468.080000000002</v>
      </c>
      <c r="Y797" s="292">
        <v>22933.72</v>
      </c>
      <c r="Z797" s="292">
        <v>63261.120000000003</v>
      </c>
      <c r="AA797" s="290">
        <v>0</v>
      </c>
      <c r="AB797" s="285">
        <v>0</v>
      </c>
      <c r="AC797" s="290">
        <v>2872</v>
      </c>
      <c r="AD797" s="192">
        <v>12</v>
      </c>
      <c r="AE797" s="305">
        <v>65000</v>
      </c>
      <c r="AF797" s="194">
        <v>99464</v>
      </c>
      <c r="AG797" s="215"/>
      <c r="AJ797" s="388">
        <f t="shared" si="68"/>
        <v>0</v>
      </c>
    </row>
    <row r="798" spans="1:36" x14ac:dyDescent="0.3">
      <c r="A798" s="192">
        <v>5831</v>
      </c>
      <c r="B798" s="192">
        <v>99</v>
      </c>
      <c r="C798" s="192">
        <v>0</v>
      </c>
      <c r="D798" s="192" t="s">
        <v>1699</v>
      </c>
      <c r="E798" s="192">
        <v>5538438</v>
      </c>
      <c r="F798" s="192" t="s">
        <v>1818</v>
      </c>
      <c r="G798" s="290">
        <v>0.54908000000000001</v>
      </c>
      <c r="H798" s="192">
        <v>3898.22</v>
      </c>
      <c r="I798" s="192">
        <v>160.22</v>
      </c>
      <c r="J798" s="192">
        <v>0</v>
      </c>
      <c r="K798" s="192">
        <v>0</v>
      </c>
      <c r="L798" s="192">
        <v>237.16</v>
      </c>
      <c r="M798" s="192">
        <v>0</v>
      </c>
      <c r="N798" s="192">
        <v>0</v>
      </c>
      <c r="O798" s="192">
        <v>4295.6000000000004</v>
      </c>
      <c r="P798" s="192">
        <v>0</v>
      </c>
      <c r="Q798" s="192">
        <v>333.42</v>
      </c>
      <c r="R798" s="192">
        <v>0</v>
      </c>
      <c r="S798" s="285">
        <f t="shared" ref="S798:S861" si="69">G798*AD798/$AG$1</f>
        <v>0.54908000000000001</v>
      </c>
      <c r="T798" s="192">
        <v>0</v>
      </c>
      <c r="U798" s="291">
        <v>4629.0200000000004</v>
      </c>
      <c r="V798" s="291">
        <v>4629.0200000000004</v>
      </c>
      <c r="W798" s="292">
        <v>55413.240000000005</v>
      </c>
      <c r="X798" s="292">
        <v>55548.240000000005</v>
      </c>
      <c r="Y798" s="292">
        <v>55458.239999999991</v>
      </c>
      <c r="Z798" s="292">
        <v>126903.89</v>
      </c>
      <c r="AA798" s="290">
        <v>129456.48638999998</v>
      </c>
      <c r="AB798" s="285">
        <v>0</v>
      </c>
      <c r="AC798" s="290">
        <v>4629</v>
      </c>
      <c r="AD798" s="192">
        <v>12</v>
      </c>
      <c r="AE798" s="305">
        <v>82000</v>
      </c>
      <c r="AF798" s="194">
        <v>137548</v>
      </c>
      <c r="AG798" s="215"/>
      <c r="AJ798" s="388">
        <f t="shared" ref="AJ798:AJ861" si="70">G798-S798</f>
        <v>0</v>
      </c>
    </row>
    <row r="799" spans="1:36" x14ac:dyDescent="0.3">
      <c r="A799" s="192">
        <v>5831</v>
      </c>
      <c r="B799" s="192">
        <v>99</v>
      </c>
      <c r="C799" s="192">
        <v>0</v>
      </c>
      <c r="D799" s="192" t="s">
        <v>1699</v>
      </c>
      <c r="E799" s="192">
        <v>5542153</v>
      </c>
      <c r="F799" s="192" t="s">
        <v>1819</v>
      </c>
      <c r="G799" s="290">
        <v>0.39600000000000002</v>
      </c>
      <c r="H799" s="192">
        <v>2402.37</v>
      </c>
      <c r="I799" s="192">
        <v>0</v>
      </c>
      <c r="J799" s="192">
        <v>0</v>
      </c>
      <c r="K799" s="192">
        <v>0</v>
      </c>
      <c r="L799" s="192">
        <v>86.43</v>
      </c>
      <c r="M799" s="192">
        <v>0</v>
      </c>
      <c r="N799" s="192">
        <v>0</v>
      </c>
      <c r="O799" s="192">
        <v>2488.8000000000002</v>
      </c>
      <c r="P799" s="192">
        <v>0</v>
      </c>
      <c r="Q799" s="192">
        <v>197.91</v>
      </c>
      <c r="R799" s="192">
        <v>0</v>
      </c>
      <c r="S799" s="285">
        <f t="shared" si="69"/>
        <v>0.39600000000000007</v>
      </c>
      <c r="T799" s="192">
        <v>0</v>
      </c>
      <c r="U799" s="291">
        <v>2686.71</v>
      </c>
      <c r="V799" s="291">
        <v>2686.71</v>
      </c>
      <c r="W799" s="292">
        <v>32105.52</v>
      </c>
      <c r="X799" s="292">
        <v>32240.52</v>
      </c>
      <c r="Y799" s="292">
        <v>32150.52</v>
      </c>
      <c r="Z799" s="292">
        <v>35586.81</v>
      </c>
      <c r="AA799" s="290">
        <v>36405.306629999992</v>
      </c>
      <c r="AB799" s="285">
        <v>36120.612149999994</v>
      </c>
      <c r="AC799" s="290">
        <v>2675.46</v>
      </c>
      <c r="AD799" s="192">
        <v>12</v>
      </c>
      <c r="AE799" s="290">
        <v>2686.71</v>
      </c>
      <c r="AF799" s="194">
        <v>34792.230000000003</v>
      </c>
      <c r="AG799" s="215"/>
      <c r="AJ799" s="388">
        <f t="shared" si="70"/>
        <v>0</v>
      </c>
    </row>
    <row r="800" spans="1:36" x14ac:dyDescent="0.3">
      <c r="A800" s="192">
        <v>5831</v>
      </c>
      <c r="B800" s="192">
        <v>99</v>
      </c>
      <c r="C800" s="192">
        <v>0</v>
      </c>
      <c r="D800" s="192" t="s">
        <v>1699</v>
      </c>
      <c r="E800" s="192">
        <v>5542270</v>
      </c>
      <c r="F800" s="192" t="s">
        <v>1820</v>
      </c>
      <c r="G800" s="290">
        <v>0.17249999999999999</v>
      </c>
      <c r="H800" s="192">
        <v>961.46</v>
      </c>
      <c r="I800" s="192">
        <v>0</v>
      </c>
      <c r="J800" s="192">
        <v>0</v>
      </c>
      <c r="K800" s="192">
        <v>0</v>
      </c>
      <c r="L800" s="192">
        <v>32.880000000000003</v>
      </c>
      <c r="M800" s="192">
        <v>0</v>
      </c>
      <c r="N800" s="192">
        <v>0</v>
      </c>
      <c r="O800" s="192">
        <v>994.34</v>
      </c>
      <c r="P800" s="192">
        <v>0</v>
      </c>
      <c r="Q800" s="192">
        <v>85.83</v>
      </c>
      <c r="R800" s="192">
        <v>0</v>
      </c>
      <c r="S800" s="285">
        <f t="shared" si="69"/>
        <v>0.17249999999999999</v>
      </c>
      <c r="T800" s="192">
        <v>0</v>
      </c>
      <c r="U800" s="291">
        <v>1080.17</v>
      </c>
      <c r="V800" s="291">
        <v>1080.17</v>
      </c>
      <c r="W800" s="292">
        <v>12827.04</v>
      </c>
      <c r="X800" s="292">
        <v>12962.04</v>
      </c>
      <c r="Y800" s="292">
        <v>12872.04</v>
      </c>
      <c r="Z800" s="292">
        <v>14431.71</v>
      </c>
      <c r="AA800" s="290">
        <v>14763.63933</v>
      </c>
      <c r="AB800" s="285">
        <v>14648.185649999999</v>
      </c>
      <c r="AC800" s="290">
        <v>1068.92</v>
      </c>
      <c r="AD800" s="192">
        <v>12</v>
      </c>
      <c r="AE800" s="290">
        <v>1080.17</v>
      </c>
      <c r="AF800" s="194">
        <v>13907.210000000001</v>
      </c>
      <c r="AG800" s="215"/>
      <c r="AJ800" s="388">
        <f t="shared" si="70"/>
        <v>0</v>
      </c>
    </row>
    <row r="801" spans="1:36" x14ac:dyDescent="0.3">
      <c r="A801" s="192">
        <v>5831</v>
      </c>
      <c r="B801" s="192">
        <v>99</v>
      </c>
      <c r="C801" s="192">
        <v>0</v>
      </c>
      <c r="D801" s="192" t="s">
        <v>1699</v>
      </c>
      <c r="E801" s="192">
        <v>5593867</v>
      </c>
      <c r="F801" s="192" t="s">
        <v>1821</v>
      </c>
      <c r="G801" s="290">
        <v>0.57999999999999996</v>
      </c>
      <c r="H801" s="192">
        <v>4139.43</v>
      </c>
      <c r="I801" s="192">
        <v>0</v>
      </c>
      <c r="J801" s="192">
        <v>0</v>
      </c>
      <c r="K801" s="192">
        <v>0</v>
      </c>
      <c r="L801" s="192">
        <v>109.09</v>
      </c>
      <c r="M801" s="192">
        <v>0</v>
      </c>
      <c r="N801" s="192">
        <v>0</v>
      </c>
      <c r="O801" s="192">
        <v>4248.5200000000004</v>
      </c>
      <c r="P801" s="192">
        <v>0</v>
      </c>
      <c r="Q801" s="192">
        <v>329.89</v>
      </c>
      <c r="R801" s="192">
        <v>0</v>
      </c>
      <c r="S801" s="285">
        <f t="shared" si="69"/>
        <v>0.57999999999999996</v>
      </c>
      <c r="T801" s="192">
        <v>0</v>
      </c>
      <c r="U801" s="291">
        <v>4578.41</v>
      </c>
      <c r="V801" s="291">
        <v>4578.41</v>
      </c>
      <c r="W801" s="292">
        <v>54805.919999999998</v>
      </c>
      <c r="X801" s="292">
        <v>54940.92</v>
      </c>
      <c r="Y801" s="292">
        <v>54850.92</v>
      </c>
      <c r="Z801" s="292">
        <v>59634.86</v>
      </c>
      <c r="AA801" s="290">
        <v>61006.461779999998</v>
      </c>
      <c r="AB801" s="285">
        <v>60529.382899999997</v>
      </c>
      <c r="AC801" s="290">
        <v>4567.16</v>
      </c>
      <c r="AD801" s="192">
        <v>12</v>
      </c>
      <c r="AE801" s="290">
        <v>4578.41</v>
      </c>
      <c r="AF801" s="194">
        <v>59384.33</v>
      </c>
      <c r="AG801" s="215"/>
      <c r="AJ801" s="388">
        <f t="shared" si="70"/>
        <v>0</v>
      </c>
    </row>
    <row r="802" spans="1:36" x14ac:dyDescent="0.3">
      <c r="A802" s="192">
        <v>5831</v>
      </c>
      <c r="B802" s="192">
        <v>99</v>
      </c>
      <c r="C802" s="192">
        <v>0</v>
      </c>
      <c r="D802" s="192" t="s">
        <v>1699</v>
      </c>
      <c r="E802" s="192">
        <v>5593968</v>
      </c>
      <c r="F802" s="192" t="s">
        <v>1822</v>
      </c>
      <c r="G802" s="290">
        <v>0.24</v>
      </c>
      <c r="H802" s="192">
        <v>1509.07</v>
      </c>
      <c r="I802" s="192">
        <v>0</v>
      </c>
      <c r="J802" s="192">
        <v>0</v>
      </c>
      <c r="K802" s="192">
        <v>0</v>
      </c>
      <c r="L802" s="192">
        <v>56.76</v>
      </c>
      <c r="M802" s="192">
        <v>0</v>
      </c>
      <c r="N802" s="192">
        <v>0</v>
      </c>
      <c r="O802" s="192">
        <v>1565.83</v>
      </c>
      <c r="P802" s="192">
        <v>0</v>
      </c>
      <c r="Q802" s="192">
        <v>128.69</v>
      </c>
      <c r="R802" s="192">
        <v>0</v>
      </c>
      <c r="S802" s="285">
        <f t="shared" si="69"/>
        <v>0.24</v>
      </c>
      <c r="T802" s="192">
        <v>0</v>
      </c>
      <c r="U802" s="291">
        <v>1694.52</v>
      </c>
      <c r="V802" s="291">
        <v>1694.52</v>
      </c>
      <c r="W802" s="292">
        <v>20199.239999999998</v>
      </c>
      <c r="X802" s="292">
        <v>20334.239999999998</v>
      </c>
      <c r="Y802" s="292">
        <v>20244.240000000002</v>
      </c>
      <c r="Z802" s="292">
        <v>22374.65</v>
      </c>
      <c r="AA802" s="290">
        <v>22889.266949999997</v>
      </c>
      <c r="AB802" s="285">
        <v>22710.269749999996</v>
      </c>
      <c r="AC802" s="290">
        <v>1683.27</v>
      </c>
      <c r="AD802" s="192">
        <v>12</v>
      </c>
      <c r="AE802" s="290">
        <v>1694.52</v>
      </c>
      <c r="AF802" s="194">
        <v>21893.759999999998</v>
      </c>
      <c r="AG802" s="215"/>
      <c r="AJ802" s="388">
        <f t="shared" si="70"/>
        <v>0</v>
      </c>
    </row>
    <row r="803" spans="1:36" x14ac:dyDescent="0.3">
      <c r="A803" s="192">
        <v>5831</v>
      </c>
      <c r="B803" s="192">
        <v>99</v>
      </c>
      <c r="C803" s="192">
        <v>0</v>
      </c>
      <c r="D803" s="192" t="s">
        <v>1699</v>
      </c>
      <c r="E803" s="192">
        <v>5604521</v>
      </c>
      <c r="F803" s="192" t="s">
        <v>1823</v>
      </c>
      <c r="G803" s="290">
        <v>0.32500000000000001</v>
      </c>
      <c r="H803" s="192">
        <v>1944.17</v>
      </c>
      <c r="I803" s="192">
        <v>0</v>
      </c>
      <c r="J803" s="192">
        <v>0</v>
      </c>
      <c r="K803" s="192">
        <v>0</v>
      </c>
      <c r="L803" s="192">
        <v>57.36</v>
      </c>
      <c r="M803" s="192">
        <v>0</v>
      </c>
      <c r="N803" s="192">
        <v>0</v>
      </c>
      <c r="O803" s="192">
        <v>2001.53</v>
      </c>
      <c r="P803" s="192">
        <v>0</v>
      </c>
      <c r="Q803" s="192">
        <v>161.36000000000001</v>
      </c>
      <c r="R803" s="192">
        <v>0</v>
      </c>
      <c r="S803" s="285">
        <f t="shared" si="69"/>
        <v>0.32500000000000001</v>
      </c>
      <c r="T803" s="192">
        <v>0</v>
      </c>
      <c r="U803" s="291">
        <v>2162.89</v>
      </c>
      <c r="V803" s="291">
        <v>2162.89</v>
      </c>
      <c r="W803" s="292">
        <v>25819.68</v>
      </c>
      <c r="X803" s="292">
        <v>25954.68</v>
      </c>
      <c r="Y803" s="292">
        <v>25864.68</v>
      </c>
      <c r="Z803" s="292">
        <v>28614.58</v>
      </c>
      <c r="AA803" s="290">
        <v>29272.715339999999</v>
      </c>
      <c r="AB803" s="285">
        <v>29043.798699999999</v>
      </c>
      <c r="AC803" s="290">
        <v>2151.64</v>
      </c>
      <c r="AD803" s="192">
        <v>12</v>
      </c>
      <c r="AE803" s="290">
        <v>2162.89</v>
      </c>
      <c r="AF803" s="194">
        <v>27982.57</v>
      </c>
      <c r="AG803" s="215"/>
      <c r="AJ803" s="388">
        <f t="shared" si="70"/>
        <v>0</v>
      </c>
    </row>
    <row r="804" spans="1:36" x14ac:dyDescent="0.3">
      <c r="A804" s="192">
        <v>5831</v>
      </c>
      <c r="B804" s="192">
        <v>99</v>
      </c>
      <c r="C804" s="192">
        <v>0</v>
      </c>
      <c r="D804" s="192" t="s">
        <v>1699</v>
      </c>
      <c r="E804" s="192">
        <v>5604950</v>
      </c>
      <c r="F804" s="192" t="s">
        <v>1824</v>
      </c>
      <c r="G804" s="290">
        <v>0.59850000000000003</v>
      </c>
      <c r="H804" s="192">
        <v>3855.6</v>
      </c>
      <c r="I804" s="192">
        <v>0</v>
      </c>
      <c r="J804" s="192">
        <v>0</v>
      </c>
      <c r="K804" s="192">
        <v>0</v>
      </c>
      <c r="L804" s="192">
        <v>146.24</v>
      </c>
      <c r="M804" s="192">
        <v>0</v>
      </c>
      <c r="N804" s="192">
        <v>0</v>
      </c>
      <c r="O804" s="192">
        <v>4001.84</v>
      </c>
      <c r="P804" s="192">
        <v>0</v>
      </c>
      <c r="Q804" s="192">
        <v>311.39</v>
      </c>
      <c r="R804" s="192">
        <v>0</v>
      </c>
      <c r="S804" s="285">
        <f t="shared" si="69"/>
        <v>0.59850000000000003</v>
      </c>
      <c r="T804" s="192">
        <v>0</v>
      </c>
      <c r="U804" s="291">
        <v>4313.2299999999996</v>
      </c>
      <c r="V804" s="291">
        <v>4313.2299999999996</v>
      </c>
      <c r="W804" s="292">
        <v>51623.759999999995</v>
      </c>
      <c r="X804" s="292">
        <v>51758.759999999995</v>
      </c>
      <c r="Y804" s="292">
        <v>51668.760000000009</v>
      </c>
      <c r="Z804" s="292">
        <v>59735.67</v>
      </c>
      <c r="AA804" s="290">
        <v>61109.59040999999</v>
      </c>
      <c r="AB804" s="285">
        <v>60631.70504999999</v>
      </c>
      <c r="AC804" s="290">
        <v>4301.9799999999996</v>
      </c>
      <c r="AD804" s="192">
        <v>12</v>
      </c>
      <c r="AE804" s="290">
        <v>4313.2299999999996</v>
      </c>
      <c r="AF804" s="194">
        <v>55936.989999999991</v>
      </c>
      <c r="AG804" s="215"/>
      <c r="AJ804" s="388">
        <f t="shared" si="70"/>
        <v>0</v>
      </c>
    </row>
    <row r="805" spans="1:36" x14ac:dyDescent="0.3">
      <c r="A805" s="192">
        <v>5831</v>
      </c>
      <c r="B805" s="192">
        <v>99</v>
      </c>
      <c r="C805" s="192">
        <v>0</v>
      </c>
      <c r="D805" s="192" t="s">
        <v>1699</v>
      </c>
      <c r="E805" s="192">
        <v>5663762</v>
      </c>
      <c r="F805" s="192" t="s">
        <v>1825</v>
      </c>
      <c r="G805" s="290">
        <v>0.7</v>
      </c>
      <c r="H805" s="192">
        <v>5620.29</v>
      </c>
      <c r="I805" s="192">
        <v>0</v>
      </c>
      <c r="J805" s="192">
        <v>0</v>
      </c>
      <c r="K805" s="192">
        <v>0</v>
      </c>
      <c r="L805" s="192">
        <v>214.04</v>
      </c>
      <c r="M805" s="192">
        <v>0</v>
      </c>
      <c r="N805" s="192">
        <v>0</v>
      </c>
      <c r="O805" s="192">
        <v>5834.33</v>
      </c>
      <c r="P805" s="192">
        <v>0</v>
      </c>
      <c r="Q805" s="192">
        <v>448.82</v>
      </c>
      <c r="R805" s="192">
        <v>0</v>
      </c>
      <c r="S805" s="285">
        <f t="shared" si="69"/>
        <v>0.69999999999999984</v>
      </c>
      <c r="T805" s="192">
        <v>0</v>
      </c>
      <c r="U805" s="291">
        <v>6283.15</v>
      </c>
      <c r="V805" s="291">
        <v>6283.15</v>
      </c>
      <c r="W805" s="292">
        <v>75262.799999999988</v>
      </c>
      <c r="X805" s="292">
        <v>75397.799999999988</v>
      </c>
      <c r="Y805" s="292">
        <v>75307.8</v>
      </c>
      <c r="Z805" s="292">
        <v>85328.12</v>
      </c>
      <c r="AA805" s="290">
        <v>87290.666760000007</v>
      </c>
      <c r="AB805" s="285">
        <v>86608.041800000006</v>
      </c>
      <c r="AC805" s="290">
        <v>6271.9</v>
      </c>
      <c r="AD805" s="192">
        <v>12</v>
      </c>
      <c r="AE805" s="290">
        <v>6283.15</v>
      </c>
      <c r="AF805" s="194">
        <v>81545.949999999983</v>
      </c>
      <c r="AG805" s="215"/>
      <c r="AJ805" s="388">
        <f t="shared" si="70"/>
        <v>0</v>
      </c>
    </row>
    <row r="806" spans="1:36" x14ac:dyDescent="0.3">
      <c r="A806" s="192">
        <v>5831</v>
      </c>
      <c r="B806" s="192">
        <v>99</v>
      </c>
      <c r="C806" s="192">
        <v>0</v>
      </c>
      <c r="D806" s="192" t="s">
        <v>1699</v>
      </c>
      <c r="E806" s="192">
        <v>5679540</v>
      </c>
      <c r="F806" s="192" t="s">
        <v>1826</v>
      </c>
      <c r="G806" s="290">
        <v>0.441</v>
      </c>
      <c r="H806" s="192">
        <v>3431.05</v>
      </c>
      <c r="I806" s="192">
        <v>131.03</v>
      </c>
      <c r="J806" s="192">
        <v>0</v>
      </c>
      <c r="K806" s="192">
        <v>0</v>
      </c>
      <c r="L806" s="192">
        <v>136.07</v>
      </c>
      <c r="M806" s="192">
        <v>0</v>
      </c>
      <c r="N806" s="192">
        <v>0</v>
      </c>
      <c r="O806" s="192">
        <v>3698.15</v>
      </c>
      <c r="P806" s="192">
        <v>0</v>
      </c>
      <c r="Q806" s="192">
        <v>288.61</v>
      </c>
      <c r="R806" s="192">
        <v>0</v>
      </c>
      <c r="S806" s="285">
        <f t="shared" si="69"/>
        <v>0.441</v>
      </c>
      <c r="T806" s="192">
        <v>0</v>
      </c>
      <c r="U806" s="291">
        <v>3986.76</v>
      </c>
      <c r="V806" s="291">
        <v>3986.76</v>
      </c>
      <c r="W806" s="292">
        <v>-6844.2000000000007</v>
      </c>
      <c r="X806" s="292">
        <v>47841.120000000003</v>
      </c>
      <c r="Y806" s="292">
        <v>29567.68</v>
      </c>
      <c r="Z806" s="292">
        <v>129122.64</v>
      </c>
      <c r="AA806" s="290">
        <v>132092.46071999997</v>
      </c>
      <c r="AB806" s="285">
        <v>131059.47959999999</v>
      </c>
      <c r="AC806" s="290">
        <v>3987</v>
      </c>
      <c r="AD806" s="192">
        <v>12</v>
      </c>
      <c r="AE806" s="305">
        <v>25000</v>
      </c>
      <c r="AF806" s="194">
        <v>72844</v>
      </c>
      <c r="AG806" s="215"/>
      <c r="AJ806" s="388">
        <f t="shared" si="70"/>
        <v>0</v>
      </c>
    </row>
    <row r="807" spans="1:36" x14ac:dyDescent="0.3">
      <c r="A807" s="192">
        <v>5831</v>
      </c>
      <c r="B807" s="192">
        <v>99</v>
      </c>
      <c r="C807" s="192">
        <v>0</v>
      </c>
      <c r="D807" s="192" t="s">
        <v>1699</v>
      </c>
      <c r="E807" s="192">
        <v>5716845</v>
      </c>
      <c r="F807" s="192" t="s">
        <v>1827</v>
      </c>
      <c r="G807" s="290">
        <v>0.215</v>
      </c>
      <c r="H807" s="192">
        <v>1220.9100000000001</v>
      </c>
      <c r="I807" s="192">
        <v>0</v>
      </c>
      <c r="J807" s="192">
        <v>0</v>
      </c>
      <c r="K807" s="192">
        <v>0</v>
      </c>
      <c r="L807" s="192">
        <v>45.55</v>
      </c>
      <c r="M807" s="192">
        <v>0</v>
      </c>
      <c r="N807" s="192">
        <v>0</v>
      </c>
      <c r="O807" s="192">
        <v>1266.46</v>
      </c>
      <c r="P807" s="192">
        <v>0</v>
      </c>
      <c r="Q807" s="192">
        <v>106.23</v>
      </c>
      <c r="R807" s="192">
        <v>0</v>
      </c>
      <c r="S807" s="285">
        <f t="shared" si="69"/>
        <v>0.215</v>
      </c>
      <c r="T807" s="192">
        <v>0</v>
      </c>
      <c r="U807" s="291">
        <v>1372.69</v>
      </c>
      <c r="V807" s="291">
        <v>1372.69</v>
      </c>
      <c r="W807" s="292">
        <v>16337.28</v>
      </c>
      <c r="X807" s="292">
        <v>16472.28</v>
      </c>
      <c r="Y807" s="292">
        <v>16382.28</v>
      </c>
      <c r="Z807" s="292">
        <v>18254.88</v>
      </c>
      <c r="AA807" s="290">
        <v>18674.74224</v>
      </c>
      <c r="AB807" s="285">
        <v>18528.7032</v>
      </c>
      <c r="AC807" s="290">
        <v>1361.44</v>
      </c>
      <c r="AD807" s="192">
        <v>12</v>
      </c>
      <c r="AE807" s="290">
        <v>1372.69</v>
      </c>
      <c r="AF807" s="194">
        <v>17709.97</v>
      </c>
      <c r="AG807" s="215"/>
      <c r="AJ807" s="388">
        <f t="shared" si="70"/>
        <v>0</v>
      </c>
    </row>
    <row r="808" spans="1:36" x14ac:dyDescent="0.3">
      <c r="A808" s="192">
        <v>5831</v>
      </c>
      <c r="B808" s="192">
        <v>99</v>
      </c>
      <c r="C808" s="192">
        <v>0</v>
      </c>
      <c r="D808" s="192" t="s">
        <v>1699</v>
      </c>
      <c r="E808" s="192">
        <v>5746338</v>
      </c>
      <c r="F808" s="192" t="s">
        <v>1109</v>
      </c>
      <c r="G808" s="290">
        <v>0.52</v>
      </c>
      <c r="H808" s="192">
        <v>3375.7</v>
      </c>
      <c r="I808" s="192">
        <v>0</v>
      </c>
      <c r="J808" s="192">
        <v>0</v>
      </c>
      <c r="K808" s="192">
        <v>0</v>
      </c>
      <c r="L808" s="192">
        <v>129.72</v>
      </c>
      <c r="M808" s="192">
        <v>0</v>
      </c>
      <c r="N808" s="192">
        <v>0</v>
      </c>
      <c r="O808" s="192">
        <v>3505.42</v>
      </c>
      <c r="P808" s="192">
        <v>0</v>
      </c>
      <c r="Q808" s="192">
        <v>274.16000000000003</v>
      </c>
      <c r="R808" s="192">
        <v>0</v>
      </c>
      <c r="S808" s="285">
        <f t="shared" si="69"/>
        <v>0.52</v>
      </c>
      <c r="T808" s="192">
        <v>0</v>
      </c>
      <c r="U808" s="291">
        <v>3779.58</v>
      </c>
      <c r="V808" s="291">
        <v>3779.58</v>
      </c>
      <c r="W808" s="292">
        <v>45219.96</v>
      </c>
      <c r="X808" s="292">
        <v>45354.96</v>
      </c>
      <c r="Y808" s="292">
        <v>45264.959999999999</v>
      </c>
      <c r="Z808" s="292">
        <v>52292.06</v>
      </c>
      <c r="AA808" s="290">
        <v>53494.77738</v>
      </c>
      <c r="AB808" s="285">
        <v>53076.440900000001</v>
      </c>
      <c r="AC808" s="290">
        <v>3768.33</v>
      </c>
      <c r="AD808" s="192">
        <v>12</v>
      </c>
      <c r="AE808" s="290">
        <v>3779.58</v>
      </c>
      <c r="AF808" s="194">
        <v>48999.54</v>
      </c>
      <c r="AG808" s="215"/>
      <c r="AJ808" s="388">
        <f t="shared" si="70"/>
        <v>0</v>
      </c>
    </row>
    <row r="809" spans="1:36" x14ac:dyDescent="0.3">
      <c r="A809" s="192">
        <v>5831</v>
      </c>
      <c r="B809" s="192">
        <v>99</v>
      </c>
      <c r="C809" s="192">
        <v>0</v>
      </c>
      <c r="D809" s="192" t="s">
        <v>1699</v>
      </c>
      <c r="E809" s="192">
        <v>5753703</v>
      </c>
      <c r="F809" s="192" t="s">
        <v>1828</v>
      </c>
      <c r="G809" s="290">
        <v>0.60899999999999999</v>
      </c>
      <c r="H809" s="192">
        <v>4397.6499999999996</v>
      </c>
      <c r="I809" s="192">
        <v>0</v>
      </c>
      <c r="J809" s="192">
        <v>0</v>
      </c>
      <c r="K809" s="192">
        <v>0</v>
      </c>
      <c r="L809" s="192">
        <v>164.37</v>
      </c>
      <c r="M809" s="192">
        <v>0</v>
      </c>
      <c r="N809" s="192">
        <v>0</v>
      </c>
      <c r="O809" s="192">
        <v>4562.0200000000004</v>
      </c>
      <c r="P809" s="192">
        <v>0</v>
      </c>
      <c r="Q809" s="192">
        <v>353.4</v>
      </c>
      <c r="R809" s="192">
        <v>0</v>
      </c>
      <c r="S809" s="285">
        <f t="shared" si="69"/>
        <v>0.60899999999999999</v>
      </c>
      <c r="T809" s="192">
        <v>0</v>
      </c>
      <c r="U809" s="291">
        <v>4915.42</v>
      </c>
      <c r="V809" s="291">
        <v>4915.42</v>
      </c>
      <c r="W809" s="292">
        <v>58850.04</v>
      </c>
      <c r="X809" s="292">
        <v>58985.04</v>
      </c>
      <c r="Y809" s="292">
        <v>58895.040000000001</v>
      </c>
      <c r="Z809" s="292">
        <v>67139.67</v>
      </c>
      <c r="AA809" s="290">
        <v>68683.882409999991</v>
      </c>
      <c r="AB809" s="285">
        <v>68146.765049999987</v>
      </c>
      <c r="AC809" s="290">
        <v>4904.17</v>
      </c>
      <c r="AD809" s="192">
        <v>12</v>
      </c>
      <c r="AE809" s="290">
        <v>4915.42</v>
      </c>
      <c r="AF809" s="194">
        <v>63765.46</v>
      </c>
      <c r="AG809" s="215"/>
      <c r="AJ809" s="388">
        <f t="shared" si="70"/>
        <v>0</v>
      </c>
    </row>
    <row r="810" spans="1:36" x14ac:dyDescent="0.3">
      <c r="A810" s="192">
        <v>5831</v>
      </c>
      <c r="B810" s="192">
        <v>99</v>
      </c>
      <c r="C810" s="192">
        <v>0</v>
      </c>
      <c r="D810" s="192" t="s">
        <v>1699</v>
      </c>
      <c r="E810" s="192">
        <v>5789105</v>
      </c>
      <c r="F810" s="192" t="s">
        <v>1829</v>
      </c>
      <c r="G810" s="290">
        <v>0.33500000000000002</v>
      </c>
      <c r="H810" s="192">
        <v>1903.74</v>
      </c>
      <c r="I810" s="192">
        <v>0</v>
      </c>
      <c r="J810" s="192">
        <v>0</v>
      </c>
      <c r="K810" s="192">
        <v>0</v>
      </c>
      <c r="L810" s="192">
        <v>0</v>
      </c>
      <c r="M810" s="192">
        <v>0</v>
      </c>
      <c r="N810" s="192">
        <v>0</v>
      </c>
      <c r="O810" s="192">
        <v>1903.74</v>
      </c>
      <c r="P810" s="192">
        <v>0</v>
      </c>
      <c r="Q810" s="192">
        <v>0</v>
      </c>
      <c r="R810" s="192">
        <v>0</v>
      </c>
      <c r="S810" s="285">
        <f t="shared" si="69"/>
        <v>0.33500000000000002</v>
      </c>
      <c r="T810" s="192">
        <v>0</v>
      </c>
      <c r="U810" s="291">
        <v>1903.74</v>
      </c>
      <c r="V810" s="291">
        <v>1903.74</v>
      </c>
      <c r="W810" s="292">
        <v>26523.360000000001</v>
      </c>
      <c r="X810" s="292">
        <v>22844.880000000001</v>
      </c>
      <c r="Y810" s="292">
        <v>26523.360000000001</v>
      </c>
      <c r="Z810" s="292">
        <v>56945.48</v>
      </c>
      <c r="AA810" s="290">
        <v>58255.226040000001</v>
      </c>
      <c r="AB810" s="285">
        <v>57799.662199999999</v>
      </c>
      <c r="AC810" s="290">
        <v>4422.57</v>
      </c>
      <c r="AD810" s="192">
        <v>12</v>
      </c>
      <c r="AE810" s="290">
        <v>1903.74</v>
      </c>
      <c r="AF810" s="194">
        <v>54974.579999999994</v>
      </c>
      <c r="AG810" s="215"/>
      <c r="AJ810" s="388">
        <f t="shared" si="70"/>
        <v>0</v>
      </c>
    </row>
    <row r="811" spans="1:36" x14ac:dyDescent="0.3">
      <c r="A811" s="192">
        <v>5831</v>
      </c>
      <c r="B811" s="192">
        <v>99</v>
      </c>
      <c r="C811" s="192">
        <v>0</v>
      </c>
      <c r="D811" s="192" t="s">
        <v>1699</v>
      </c>
      <c r="E811" s="192">
        <v>5829148</v>
      </c>
      <c r="F811" s="192" t="s">
        <v>1830</v>
      </c>
      <c r="G811" s="290">
        <v>0.63937999999999995</v>
      </c>
      <c r="H811" s="192">
        <v>5323.76</v>
      </c>
      <c r="I811" s="192">
        <v>251.48</v>
      </c>
      <c r="J811" s="192">
        <v>0</v>
      </c>
      <c r="K811" s="192">
        <v>0</v>
      </c>
      <c r="L811" s="192">
        <v>360.81</v>
      </c>
      <c r="M811" s="192">
        <v>0</v>
      </c>
      <c r="N811" s="192">
        <v>0</v>
      </c>
      <c r="O811" s="192">
        <v>5936.05</v>
      </c>
      <c r="P811" s="192">
        <v>0</v>
      </c>
      <c r="Q811" s="192">
        <v>456.45</v>
      </c>
      <c r="R811" s="192">
        <v>0</v>
      </c>
      <c r="S811" s="285">
        <f t="shared" si="69"/>
        <v>0.63937999999999995</v>
      </c>
      <c r="T811" s="192">
        <v>0</v>
      </c>
      <c r="U811" s="291">
        <v>6392.5</v>
      </c>
      <c r="V811" s="291">
        <v>6392.5</v>
      </c>
      <c r="W811" s="292">
        <v>161900.76</v>
      </c>
      <c r="X811" s="292">
        <v>76710</v>
      </c>
      <c r="Y811" s="292">
        <v>51095</v>
      </c>
      <c r="Z811" s="292">
        <v>142285.76999999999</v>
      </c>
      <c r="AA811" s="290">
        <v>145047.64064999999</v>
      </c>
      <c r="AB811" s="285">
        <v>23985.558041666663</v>
      </c>
      <c r="AC811" s="290">
        <v>6393</v>
      </c>
      <c r="AD811" s="192">
        <v>12</v>
      </c>
      <c r="AE811" s="305">
        <v>107000</v>
      </c>
      <c r="AF811" s="194">
        <v>183716</v>
      </c>
      <c r="AG811" s="215"/>
      <c r="AJ811" s="388">
        <f t="shared" si="70"/>
        <v>0</v>
      </c>
    </row>
    <row r="812" spans="1:36" x14ac:dyDescent="0.3">
      <c r="A812" s="192">
        <v>5831</v>
      </c>
      <c r="B812" s="192">
        <v>99</v>
      </c>
      <c r="C812" s="192">
        <v>0</v>
      </c>
      <c r="D812" s="192" t="s">
        <v>1699</v>
      </c>
      <c r="E812" s="192">
        <v>5833893</v>
      </c>
      <c r="F812" s="192" t="s">
        <v>1831</v>
      </c>
      <c r="G812" s="290">
        <v>0.63168000000000002</v>
      </c>
      <c r="H812" s="192">
        <v>5702.61</v>
      </c>
      <c r="I812" s="192">
        <v>0</v>
      </c>
      <c r="J812" s="192">
        <v>0</v>
      </c>
      <c r="K812" s="192">
        <v>0</v>
      </c>
      <c r="L812" s="192">
        <v>212.52</v>
      </c>
      <c r="M812" s="192">
        <v>0</v>
      </c>
      <c r="N812" s="192">
        <v>0</v>
      </c>
      <c r="O812" s="192">
        <v>5915.13</v>
      </c>
      <c r="P812" s="192">
        <v>0</v>
      </c>
      <c r="Q812" s="192">
        <v>454.88</v>
      </c>
      <c r="R812" s="192">
        <v>0</v>
      </c>
      <c r="S812" s="285">
        <f t="shared" si="69"/>
        <v>0.63168000000000002</v>
      </c>
      <c r="T812" s="192">
        <v>0</v>
      </c>
      <c r="U812" s="291">
        <v>6370.01</v>
      </c>
      <c r="V812" s="291">
        <v>6370.01</v>
      </c>
      <c r="W812" s="292">
        <v>76305.119999999995</v>
      </c>
      <c r="X812" s="292">
        <v>76440.12</v>
      </c>
      <c r="Y812" s="292">
        <v>76350.12</v>
      </c>
      <c r="Z812" s="292">
        <v>85567.75</v>
      </c>
      <c r="AA812" s="290">
        <v>87535.808249999987</v>
      </c>
      <c r="AB812" s="285">
        <v>86851.266249999986</v>
      </c>
      <c r="AC812" s="290">
        <v>6358.76</v>
      </c>
      <c r="AD812" s="192">
        <v>12</v>
      </c>
      <c r="AE812" s="290">
        <v>6370.01</v>
      </c>
      <c r="AF812" s="194">
        <v>82675.12999999999</v>
      </c>
      <c r="AG812" s="215"/>
      <c r="AJ812" s="388">
        <f t="shared" si="70"/>
        <v>0</v>
      </c>
    </row>
    <row r="813" spans="1:36" x14ac:dyDescent="0.3">
      <c r="A813" s="192">
        <v>5831</v>
      </c>
      <c r="B813" s="192">
        <v>99</v>
      </c>
      <c r="C813" s="192">
        <v>0</v>
      </c>
      <c r="D813" s="192" t="s">
        <v>1699</v>
      </c>
      <c r="E813" s="192">
        <v>5836192</v>
      </c>
      <c r="F813" s="192" t="s">
        <v>1832</v>
      </c>
      <c r="G813" s="290">
        <v>0.56052000000000002</v>
      </c>
      <c r="H813" s="192">
        <v>3775.97</v>
      </c>
      <c r="I813" s="192">
        <v>0</v>
      </c>
      <c r="J813" s="192">
        <v>0</v>
      </c>
      <c r="K813" s="192">
        <v>0</v>
      </c>
      <c r="L813" s="192">
        <v>143.21</v>
      </c>
      <c r="M813" s="192">
        <v>0</v>
      </c>
      <c r="N813" s="192">
        <v>0</v>
      </c>
      <c r="O813" s="192">
        <v>3919.18</v>
      </c>
      <c r="P813" s="192">
        <v>0</v>
      </c>
      <c r="Q813" s="192">
        <v>305.19</v>
      </c>
      <c r="R813" s="192">
        <v>0</v>
      </c>
      <c r="S813" s="285">
        <f t="shared" si="69"/>
        <v>0.56052000000000002</v>
      </c>
      <c r="T813" s="192">
        <v>0</v>
      </c>
      <c r="U813" s="291">
        <v>4224.37</v>
      </c>
      <c r="V813" s="291">
        <v>4224.37</v>
      </c>
      <c r="W813" s="292">
        <v>50557.440000000002</v>
      </c>
      <c r="X813" s="292">
        <v>50692.44</v>
      </c>
      <c r="Y813" s="292">
        <v>50602.44</v>
      </c>
      <c r="Z813" s="292">
        <v>58286.2</v>
      </c>
      <c r="AA813" s="290">
        <v>59626.782599999991</v>
      </c>
      <c r="AB813" s="285">
        <v>59160.492999999995</v>
      </c>
      <c r="AC813" s="290">
        <v>4213.12</v>
      </c>
      <c r="AD813" s="192">
        <v>12</v>
      </c>
      <c r="AE813" s="290">
        <v>4224.37</v>
      </c>
      <c r="AF813" s="194">
        <v>54781.810000000005</v>
      </c>
      <c r="AG813" s="215"/>
      <c r="AJ813" s="388">
        <f t="shared" si="70"/>
        <v>0</v>
      </c>
    </row>
    <row r="814" spans="1:36" x14ac:dyDescent="0.3">
      <c r="A814" s="192">
        <v>5831</v>
      </c>
      <c r="B814" s="192">
        <v>99</v>
      </c>
      <c r="C814" s="192">
        <v>0</v>
      </c>
      <c r="D814" s="192" t="s">
        <v>1699</v>
      </c>
      <c r="E814" s="192">
        <v>5873773</v>
      </c>
      <c r="F814" s="192" t="s">
        <v>1833</v>
      </c>
      <c r="G814" s="290">
        <v>0.13250000000000001</v>
      </c>
      <c r="H814" s="192">
        <v>719.49</v>
      </c>
      <c r="I814" s="192">
        <v>0</v>
      </c>
      <c r="J814" s="192">
        <v>0</v>
      </c>
      <c r="K814" s="192">
        <v>0</v>
      </c>
      <c r="L814" s="192">
        <v>24.96</v>
      </c>
      <c r="M814" s="192">
        <v>0</v>
      </c>
      <c r="N814" s="192">
        <v>0</v>
      </c>
      <c r="O814" s="192">
        <v>744.45</v>
      </c>
      <c r="P814" s="192">
        <v>0</v>
      </c>
      <c r="Q814" s="192">
        <v>67.08</v>
      </c>
      <c r="R814" s="192">
        <v>0</v>
      </c>
      <c r="S814" s="285">
        <f t="shared" si="69"/>
        <v>0.13250000000000001</v>
      </c>
      <c r="T814" s="192">
        <v>0</v>
      </c>
      <c r="U814" s="291">
        <v>811.53</v>
      </c>
      <c r="V814" s="291">
        <v>811.53</v>
      </c>
      <c r="W814" s="292">
        <v>9603.36</v>
      </c>
      <c r="X814" s="292">
        <v>9738.36</v>
      </c>
      <c r="Y814" s="292">
        <v>9648.36</v>
      </c>
      <c r="Z814" s="292">
        <v>10901.98</v>
      </c>
      <c r="AA814" s="290">
        <v>11152.725539999999</v>
      </c>
      <c r="AB814" s="285">
        <v>11065.509699999999</v>
      </c>
      <c r="AC814" s="290">
        <v>800.28</v>
      </c>
      <c r="AD814" s="192">
        <v>12</v>
      </c>
      <c r="AE814" s="290">
        <v>811.53</v>
      </c>
      <c r="AF814" s="194">
        <v>10414.890000000001</v>
      </c>
      <c r="AG814" s="215"/>
      <c r="AJ814" s="388">
        <f t="shared" si="70"/>
        <v>0</v>
      </c>
    </row>
    <row r="815" spans="1:36" x14ac:dyDescent="0.3">
      <c r="A815" s="192">
        <v>5831</v>
      </c>
      <c r="B815" s="192">
        <v>99</v>
      </c>
      <c r="C815" s="192">
        <v>0</v>
      </c>
      <c r="D815" s="192" t="s">
        <v>1699</v>
      </c>
      <c r="E815" s="192">
        <v>5905513</v>
      </c>
      <c r="F815" s="192" t="s">
        <v>1834</v>
      </c>
      <c r="G815" s="290">
        <v>0.62</v>
      </c>
      <c r="H815" s="192">
        <v>6020.38</v>
      </c>
      <c r="I815" s="192">
        <v>0</v>
      </c>
      <c r="J815" s="192">
        <v>0</v>
      </c>
      <c r="K815" s="192">
        <v>0</v>
      </c>
      <c r="L815" s="192">
        <v>204.43</v>
      </c>
      <c r="M815" s="192">
        <v>0</v>
      </c>
      <c r="N815" s="192">
        <v>0</v>
      </c>
      <c r="O815" s="192">
        <v>6224.81</v>
      </c>
      <c r="P815" s="192">
        <v>0</v>
      </c>
      <c r="Q815" s="192">
        <v>478.11</v>
      </c>
      <c r="R815" s="192">
        <v>0</v>
      </c>
      <c r="S815" s="285">
        <f t="shared" si="69"/>
        <v>0.62</v>
      </c>
      <c r="T815" s="192">
        <v>0</v>
      </c>
      <c r="U815" s="291">
        <v>6702.92</v>
      </c>
      <c r="V815" s="291">
        <v>6702.92</v>
      </c>
      <c r="W815" s="292">
        <v>80300.040000000008</v>
      </c>
      <c r="X815" s="292">
        <v>80435.040000000008</v>
      </c>
      <c r="Y815" s="292">
        <v>80345.039999999994</v>
      </c>
      <c r="Z815" s="292">
        <v>89297.57</v>
      </c>
      <c r="AA815" s="290">
        <v>91351.414109999983</v>
      </c>
      <c r="AB815" s="285">
        <v>90637.033549999978</v>
      </c>
      <c r="AC815" s="290">
        <v>6691.67</v>
      </c>
      <c r="AD815" s="192">
        <v>12</v>
      </c>
      <c r="AE815" s="290">
        <v>6702.92</v>
      </c>
      <c r="AF815" s="194">
        <v>87002.96</v>
      </c>
      <c r="AG815" s="215"/>
      <c r="AJ815" s="388">
        <f t="shared" si="70"/>
        <v>0</v>
      </c>
    </row>
    <row r="816" spans="1:36" x14ac:dyDescent="0.3">
      <c r="A816" s="192">
        <v>5831</v>
      </c>
      <c r="B816" s="192">
        <v>99</v>
      </c>
      <c r="C816" s="192">
        <v>0</v>
      </c>
      <c r="D816" s="192" t="s">
        <v>1699</v>
      </c>
      <c r="E816" s="192">
        <v>5918964</v>
      </c>
      <c r="F816" s="192" t="s">
        <v>1835</v>
      </c>
      <c r="G816" s="290">
        <v>0.63360000000000005</v>
      </c>
      <c r="H816" s="192">
        <v>4291.2700000000004</v>
      </c>
      <c r="I816" s="192">
        <v>184.13</v>
      </c>
      <c r="J816" s="192">
        <v>0</v>
      </c>
      <c r="K816" s="192">
        <v>0</v>
      </c>
      <c r="L816" s="192">
        <v>170.96</v>
      </c>
      <c r="M816" s="192">
        <v>0</v>
      </c>
      <c r="N816" s="192">
        <v>0</v>
      </c>
      <c r="O816" s="192">
        <v>4646.3599999999997</v>
      </c>
      <c r="P816" s="192">
        <v>0</v>
      </c>
      <c r="Q816" s="192">
        <v>359.73</v>
      </c>
      <c r="R816" s="192">
        <v>0</v>
      </c>
      <c r="S816" s="285">
        <f t="shared" si="69"/>
        <v>0.63360000000000005</v>
      </c>
      <c r="T816" s="192">
        <v>0</v>
      </c>
      <c r="U816" s="291">
        <v>5006.09</v>
      </c>
      <c r="V816" s="291">
        <v>5006.09</v>
      </c>
      <c r="W816" s="292">
        <v>-50287.319999999992</v>
      </c>
      <c r="X816" s="292">
        <v>60073.08</v>
      </c>
      <c r="Y816" s="292">
        <v>23241.279999999999</v>
      </c>
      <c r="Z816" s="292">
        <v>124023.31</v>
      </c>
      <c r="AA816" s="290">
        <v>126038.17280999999</v>
      </c>
      <c r="AB816" s="285">
        <v>125052.53704999998</v>
      </c>
      <c r="AC816" s="290">
        <v>5006</v>
      </c>
      <c r="AD816" s="192">
        <v>12</v>
      </c>
      <c r="AE816" s="305">
        <v>48000</v>
      </c>
      <c r="AF816" s="194">
        <v>108072</v>
      </c>
      <c r="AG816" s="215"/>
      <c r="AJ816" s="388">
        <f t="shared" si="70"/>
        <v>0</v>
      </c>
    </row>
    <row r="817" spans="1:36" x14ac:dyDescent="0.3">
      <c r="A817" s="192">
        <v>5831</v>
      </c>
      <c r="B817" s="192">
        <v>99</v>
      </c>
      <c r="C817" s="192">
        <v>0</v>
      </c>
      <c r="D817" s="192" t="s">
        <v>1699</v>
      </c>
      <c r="E817" s="192">
        <v>6049408</v>
      </c>
      <c r="F817" s="192" t="s">
        <v>1836</v>
      </c>
      <c r="G817" s="290">
        <v>0.42</v>
      </c>
      <c r="H817" s="192">
        <v>2732.58</v>
      </c>
      <c r="I817" s="192">
        <v>441</v>
      </c>
      <c r="J817" s="192">
        <v>0</v>
      </c>
      <c r="K817" s="192">
        <v>0</v>
      </c>
      <c r="L817" s="192">
        <v>97.17</v>
      </c>
      <c r="M817" s="192">
        <v>0</v>
      </c>
      <c r="N817" s="192">
        <v>0</v>
      </c>
      <c r="O817" s="192">
        <v>3270.75</v>
      </c>
      <c r="P817" s="192">
        <v>0</v>
      </c>
      <c r="Q817" s="192">
        <v>0</v>
      </c>
      <c r="R817" s="192">
        <v>0</v>
      </c>
      <c r="S817" s="285">
        <f t="shared" si="69"/>
        <v>0.42</v>
      </c>
      <c r="T817" s="192">
        <v>0</v>
      </c>
      <c r="U817" s="291">
        <v>3270.75</v>
      </c>
      <c r="V817" s="291">
        <v>3270.75</v>
      </c>
      <c r="W817" s="292">
        <v>39249</v>
      </c>
      <c r="X817" s="292">
        <v>39249</v>
      </c>
      <c r="Y817" s="292">
        <v>39249</v>
      </c>
      <c r="Z817" s="292">
        <v>45054.42</v>
      </c>
      <c r="AA817" s="290">
        <v>46090.671659999993</v>
      </c>
      <c r="AB817" s="285">
        <v>45730.236299999997</v>
      </c>
      <c r="AC817" s="290">
        <v>3270.75</v>
      </c>
      <c r="AD817" s="192">
        <v>12</v>
      </c>
      <c r="AE817" s="290">
        <v>3270.75</v>
      </c>
      <c r="AF817" s="194">
        <v>42519.75</v>
      </c>
      <c r="AG817" s="215"/>
      <c r="AJ817" s="388">
        <f t="shared" si="70"/>
        <v>0</v>
      </c>
    </row>
    <row r="818" spans="1:36" x14ac:dyDescent="0.3">
      <c r="A818" s="192">
        <v>5831</v>
      </c>
      <c r="B818" s="192">
        <v>99</v>
      </c>
      <c r="C818" s="192">
        <v>0</v>
      </c>
      <c r="D818" s="192" t="s">
        <v>1699</v>
      </c>
      <c r="E818" s="192">
        <v>6058691</v>
      </c>
      <c r="F818" s="192" t="s">
        <v>1837</v>
      </c>
      <c r="G818" s="290">
        <v>0.7</v>
      </c>
      <c r="H818" s="192">
        <v>4160.38</v>
      </c>
      <c r="I818" s="192">
        <v>0</v>
      </c>
      <c r="J818" s="192">
        <v>0</v>
      </c>
      <c r="K818" s="192">
        <v>0</v>
      </c>
      <c r="L818" s="192">
        <v>362.19</v>
      </c>
      <c r="M818" s="192">
        <v>0</v>
      </c>
      <c r="N818" s="192">
        <v>0</v>
      </c>
      <c r="O818" s="192">
        <v>4522.57</v>
      </c>
      <c r="P818" s="192">
        <v>0</v>
      </c>
      <c r="Q818" s="192">
        <v>350.44</v>
      </c>
      <c r="R818" s="192">
        <v>0</v>
      </c>
      <c r="S818" s="285">
        <f t="shared" si="69"/>
        <v>0.69999999999999984</v>
      </c>
      <c r="T818" s="192">
        <v>0</v>
      </c>
      <c r="U818" s="291">
        <v>4873.01</v>
      </c>
      <c r="V818" s="291">
        <v>4873.01</v>
      </c>
      <c r="W818" s="292">
        <v>58341.120000000003</v>
      </c>
      <c r="X818" s="292">
        <v>58476.12</v>
      </c>
      <c r="Y818" s="292">
        <v>58386.12</v>
      </c>
      <c r="Z818" s="292">
        <v>62970.06</v>
      </c>
      <c r="AA818" s="290">
        <v>64473.306479999992</v>
      </c>
      <c r="AB818" s="285">
        <v>63969.116399999992</v>
      </c>
      <c r="AC818" s="290">
        <v>4861.76</v>
      </c>
      <c r="AD818" s="192">
        <v>12</v>
      </c>
      <c r="AE818" s="290">
        <v>4873.01</v>
      </c>
      <c r="AF818" s="194">
        <v>63214.130000000005</v>
      </c>
      <c r="AG818" s="215"/>
      <c r="AJ818" s="388">
        <f t="shared" si="70"/>
        <v>0</v>
      </c>
    </row>
    <row r="819" spans="1:36" x14ac:dyDescent="0.3">
      <c r="A819" s="192">
        <v>5831</v>
      </c>
      <c r="B819" s="192">
        <v>99</v>
      </c>
      <c r="C819" s="192">
        <v>0</v>
      </c>
      <c r="D819" s="192" t="s">
        <v>1699</v>
      </c>
      <c r="E819" s="192">
        <v>6089935</v>
      </c>
      <c r="F819" s="192" t="s">
        <v>1838</v>
      </c>
      <c r="G819" s="290">
        <v>0.39615</v>
      </c>
      <c r="H819" s="192">
        <v>2452.65</v>
      </c>
      <c r="I819" s="192">
        <v>0</v>
      </c>
      <c r="J819" s="192">
        <v>0</v>
      </c>
      <c r="K819" s="192">
        <v>0</v>
      </c>
      <c r="L819" s="192">
        <v>93.43</v>
      </c>
      <c r="M819" s="192">
        <v>0</v>
      </c>
      <c r="N819" s="192">
        <v>0</v>
      </c>
      <c r="O819" s="192">
        <v>2546.08</v>
      </c>
      <c r="P819" s="192">
        <v>0</v>
      </c>
      <c r="Q819" s="192">
        <v>202.21</v>
      </c>
      <c r="R819" s="192">
        <v>0</v>
      </c>
      <c r="S819" s="285">
        <f t="shared" si="69"/>
        <v>0.39615</v>
      </c>
      <c r="T819" s="192">
        <v>0</v>
      </c>
      <c r="U819" s="291">
        <v>2748.29</v>
      </c>
      <c r="V819" s="291">
        <v>2748.29</v>
      </c>
      <c r="W819" s="292">
        <v>32844.479999999996</v>
      </c>
      <c r="X819" s="292">
        <v>32979.479999999996</v>
      </c>
      <c r="Y819" s="292">
        <v>32889.480000000003</v>
      </c>
      <c r="Z819" s="292">
        <v>38304.720000000001</v>
      </c>
      <c r="AA819" s="290">
        <v>39185.728559999996</v>
      </c>
      <c r="AB819" s="285">
        <v>38879.290799999995</v>
      </c>
      <c r="AC819" s="290">
        <v>2737.04</v>
      </c>
      <c r="AD819" s="192">
        <v>12</v>
      </c>
      <c r="AE819" s="290">
        <v>2748.29</v>
      </c>
      <c r="AF819" s="194">
        <v>35592.769999999997</v>
      </c>
      <c r="AG819" s="215"/>
      <c r="AJ819" s="388">
        <f t="shared" si="70"/>
        <v>0</v>
      </c>
    </row>
    <row r="820" spans="1:36" x14ac:dyDescent="0.3">
      <c r="A820" s="192">
        <v>5831</v>
      </c>
      <c r="B820" s="192">
        <v>99</v>
      </c>
      <c r="C820" s="192">
        <v>0</v>
      </c>
      <c r="D820" s="192" t="s">
        <v>1699</v>
      </c>
      <c r="E820" s="192">
        <v>6097115</v>
      </c>
      <c r="F820" s="192" t="s">
        <v>1839</v>
      </c>
      <c r="G820" s="290">
        <v>0.7</v>
      </c>
      <c r="H820" s="192">
        <v>5378.19</v>
      </c>
      <c r="I820" s="192">
        <v>0</v>
      </c>
      <c r="J820" s="192">
        <v>0</v>
      </c>
      <c r="K820" s="192">
        <v>0</v>
      </c>
      <c r="L820" s="192">
        <v>147.31</v>
      </c>
      <c r="M820" s="192">
        <v>0</v>
      </c>
      <c r="N820" s="192">
        <v>0</v>
      </c>
      <c r="O820" s="192">
        <v>5525.5</v>
      </c>
      <c r="P820" s="192">
        <v>0</v>
      </c>
      <c r="Q820" s="192">
        <v>425.66</v>
      </c>
      <c r="R820" s="192">
        <v>0</v>
      </c>
      <c r="S820" s="285">
        <f t="shared" si="69"/>
        <v>0.69999999999999984</v>
      </c>
      <c r="T820" s="192">
        <v>0</v>
      </c>
      <c r="U820" s="291">
        <v>5951.16</v>
      </c>
      <c r="V820" s="291">
        <v>5951.16</v>
      </c>
      <c r="W820" s="292">
        <v>71278.92</v>
      </c>
      <c r="X820" s="292">
        <v>71413.919999999998</v>
      </c>
      <c r="Y820" s="292">
        <v>71323.92</v>
      </c>
      <c r="Z820" s="292">
        <v>80423.77</v>
      </c>
      <c r="AA820" s="290">
        <v>82273.516709999996</v>
      </c>
      <c r="AB820" s="285">
        <v>81630.126550000001</v>
      </c>
      <c r="AC820" s="290">
        <v>5939.91</v>
      </c>
      <c r="AD820" s="192">
        <v>12</v>
      </c>
      <c r="AE820" s="290">
        <v>5951.16</v>
      </c>
      <c r="AF820" s="194">
        <v>77230.080000000002</v>
      </c>
      <c r="AG820" s="215"/>
      <c r="AJ820" s="388">
        <f t="shared" si="70"/>
        <v>0</v>
      </c>
    </row>
    <row r="821" spans="1:36" x14ac:dyDescent="0.3">
      <c r="A821" s="192">
        <v>5831</v>
      </c>
      <c r="B821" s="192">
        <v>99</v>
      </c>
      <c r="C821" s="192">
        <v>0</v>
      </c>
      <c r="D821" s="192" t="s">
        <v>1699</v>
      </c>
      <c r="E821" s="192">
        <v>6102173</v>
      </c>
      <c r="F821" s="192" t="s">
        <v>1840</v>
      </c>
      <c r="G821" s="290">
        <v>0.33579999999999999</v>
      </c>
      <c r="H821" s="192">
        <v>1957.78</v>
      </c>
      <c r="I821" s="192">
        <v>0</v>
      </c>
      <c r="J821" s="192">
        <v>0</v>
      </c>
      <c r="K821" s="192">
        <v>0</v>
      </c>
      <c r="L821" s="192">
        <v>66.73</v>
      </c>
      <c r="M821" s="192">
        <v>0</v>
      </c>
      <c r="N821" s="192">
        <v>0</v>
      </c>
      <c r="O821" s="192">
        <v>2024.51</v>
      </c>
      <c r="P821" s="192">
        <v>0</v>
      </c>
      <c r="Q821" s="192">
        <v>0</v>
      </c>
      <c r="R821" s="192">
        <v>0</v>
      </c>
      <c r="S821" s="285">
        <f t="shared" si="69"/>
        <v>0.33580000000000004</v>
      </c>
      <c r="T821" s="192">
        <v>0</v>
      </c>
      <c r="U821" s="291">
        <v>2024.51</v>
      </c>
      <c r="V821" s="291">
        <v>2024.51</v>
      </c>
      <c r="W821" s="292">
        <v>24294.12</v>
      </c>
      <c r="X821" s="292">
        <v>24294.12</v>
      </c>
      <c r="Y821" s="292">
        <v>24294.12</v>
      </c>
      <c r="Z821" s="292">
        <v>28902.34</v>
      </c>
      <c r="AA821" s="290">
        <v>29567.093819999998</v>
      </c>
      <c r="AB821" s="285">
        <v>29335.875099999997</v>
      </c>
      <c r="AC821" s="290">
        <v>2176.35</v>
      </c>
      <c r="AD821" s="192">
        <v>12</v>
      </c>
      <c r="AE821" s="290">
        <v>2024.51</v>
      </c>
      <c r="AF821" s="194">
        <v>28140.709999999995</v>
      </c>
      <c r="AG821" s="215"/>
      <c r="AJ821" s="388">
        <f t="shared" si="70"/>
        <v>0</v>
      </c>
    </row>
    <row r="822" spans="1:36" x14ac:dyDescent="0.3">
      <c r="A822" s="192">
        <v>5831</v>
      </c>
      <c r="B822" s="192">
        <v>99</v>
      </c>
      <c r="C822" s="192">
        <v>0</v>
      </c>
      <c r="D822" s="192" t="s">
        <v>1699</v>
      </c>
      <c r="E822" s="192">
        <v>6103263</v>
      </c>
      <c r="F822" s="192" t="s">
        <v>1841</v>
      </c>
      <c r="G822" s="290">
        <v>9.9199999999999997E-2</v>
      </c>
      <c r="H822" s="192">
        <v>545.62</v>
      </c>
      <c r="I822" s="192">
        <v>0</v>
      </c>
      <c r="J822" s="192">
        <v>0</v>
      </c>
      <c r="K822" s="192">
        <v>0</v>
      </c>
      <c r="L822" s="192">
        <v>18.93</v>
      </c>
      <c r="M822" s="192">
        <v>0</v>
      </c>
      <c r="N822" s="192">
        <v>0</v>
      </c>
      <c r="O822" s="192">
        <v>564.54999999999995</v>
      </c>
      <c r="P822" s="192">
        <v>0</v>
      </c>
      <c r="Q822" s="192">
        <v>53.59</v>
      </c>
      <c r="R822" s="192">
        <v>0</v>
      </c>
      <c r="S822" s="285">
        <f t="shared" si="69"/>
        <v>9.9199999999999997E-2</v>
      </c>
      <c r="T822" s="192">
        <v>0</v>
      </c>
      <c r="U822" s="291">
        <v>618.14</v>
      </c>
      <c r="V822" s="291">
        <v>618.14</v>
      </c>
      <c r="W822" s="292">
        <v>7282.68</v>
      </c>
      <c r="X822" s="292">
        <v>7417.68</v>
      </c>
      <c r="Y822" s="292">
        <v>7327.68</v>
      </c>
      <c r="Z822" s="292">
        <v>8421.24</v>
      </c>
      <c r="AA822" s="290">
        <v>8614.9285199999995</v>
      </c>
      <c r="AB822" s="285">
        <v>8547.5585999999985</v>
      </c>
      <c r="AC822" s="290">
        <v>606.89</v>
      </c>
      <c r="AD822" s="192">
        <v>12</v>
      </c>
      <c r="AE822" s="290">
        <v>618.14</v>
      </c>
      <c r="AF822" s="194">
        <v>7900.8200000000006</v>
      </c>
      <c r="AG822" s="215"/>
      <c r="AJ822" s="388">
        <f t="shared" si="70"/>
        <v>0</v>
      </c>
    </row>
    <row r="823" spans="1:36" x14ac:dyDescent="0.3">
      <c r="A823" s="192">
        <v>5831</v>
      </c>
      <c r="B823" s="192">
        <v>99</v>
      </c>
      <c r="C823" s="192">
        <v>0</v>
      </c>
      <c r="D823" s="192" t="s">
        <v>1699</v>
      </c>
      <c r="E823" s="192">
        <v>6103350</v>
      </c>
      <c r="F823" s="192" t="s">
        <v>1842</v>
      </c>
      <c r="G823" s="290">
        <v>0.217</v>
      </c>
      <c r="H823" s="192">
        <v>4816.46</v>
      </c>
      <c r="I823" s="192">
        <v>0</v>
      </c>
      <c r="J823" s="192">
        <v>0</v>
      </c>
      <c r="K823" s="192">
        <v>0</v>
      </c>
      <c r="L823" s="192">
        <v>0</v>
      </c>
      <c r="M823" s="192">
        <v>0</v>
      </c>
      <c r="N823" s="192">
        <v>0</v>
      </c>
      <c r="O823" s="192">
        <v>4816.46</v>
      </c>
      <c r="P823" s="192">
        <v>0</v>
      </c>
      <c r="Q823" s="192">
        <v>0</v>
      </c>
      <c r="R823" s="192">
        <v>0</v>
      </c>
      <c r="S823" s="285">
        <f t="shared" si="69"/>
        <v>0.217</v>
      </c>
      <c r="T823" s="192">
        <v>0</v>
      </c>
      <c r="U823" s="291">
        <v>4816.46</v>
      </c>
      <c r="V823" s="291">
        <v>4816.46</v>
      </c>
      <c r="W823" s="292">
        <v>44198.520000000004</v>
      </c>
      <c r="X823" s="292">
        <v>57797.520000000004</v>
      </c>
      <c r="Y823" s="292">
        <v>44198.52</v>
      </c>
      <c r="Z823" s="292">
        <v>110145.9</v>
      </c>
      <c r="AA823" s="290">
        <v>112679.25569999998</v>
      </c>
      <c r="AB823" s="285">
        <v>111798.08849999998</v>
      </c>
      <c r="AC823" s="290">
        <v>5000</v>
      </c>
      <c r="AD823" s="192">
        <v>12</v>
      </c>
      <c r="AE823" s="290">
        <v>4816.46</v>
      </c>
      <c r="AF823" s="194">
        <v>64816.46</v>
      </c>
      <c r="AG823" s="215"/>
      <c r="AJ823" s="388">
        <f t="shared" si="70"/>
        <v>0</v>
      </c>
    </row>
    <row r="824" spans="1:36" x14ac:dyDescent="0.3">
      <c r="A824" s="192">
        <v>5831</v>
      </c>
      <c r="B824" s="192">
        <v>99</v>
      </c>
      <c r="C824" s="192">
        <v>0</v>
      </c>
      <c r="D824" s="192" t="s">
        <v>1699</v>
      </c>
      <c r="E824" s="192">
        <v>6104966</v>
      </c>
      <c r="F824" s="192" t="s">
        <v>1843</v>
      </c>
      <c r="G824" s="290">
        <v>0.48803999999999997</v>
      </c>
      <c r="H824" s="192">
        <v>3789.35</v>
      </c>
      <c r="I824" s="192">
        <v>0</v>
      </c>
      <c r="J824" s="192">
        <v>0</v>
      </c>
      <c r="K824" s="192">
        <v>0</v>
      </c>
      <c r="L824" s="192">
        <v>107.62</v>
      </c>
      <c r="M824" s="192">
        <v>0</v>
      </c>
      <c r="N824" s="192">
        <v>0</v>
      </c>
      <c r="O824" s="192">
        <v>3896.97</v>
      </c>
      <c r="P824" s="192">
        <v>0</v>
      </c>
      <c r="Q824" s="192">
        <v>303.52</v>
      </c>
      <c r="R824" s="192">
        <v>0</v>
      </c>
      <c r="S824" s="285">
        <f t="shared" si="69"/>
        <v>0.48803999999999997</v>
      </c>
      <c r="T824" s="192">
        <v>0</v>
      </c>
      <c r="U824" s="291">
        <v>4200.49</v>
      </c>
      <c r="V824" s="291">
        <v>4200.49</v>
      </c>
      <c r="W824" s="292">
        <v>50270.879999999997</v>
      </c>
      <c r="X824" s="292">
        <v>50405.88</v>
      </c>
      <c r="Y824" s="292">
        <v>50315.88</v>
      </c>
      <c r="Z824" s="292">
        <v>57081.58</v>
      </c>
      <c r="AA824" s="290">
        <v>58394.456339999997</v>
      </c>
      <c r="AB824" s="285">
        <v>57937.803699999997</v>
      </c>
      <c r="AC824" s="290">
        <v>4189.24</v>
      </c>
      <c r="AD824" s="192">
        <v>12</v>
      </c>
      <c r="AE824" s="290">
        <v>4200.49</v>
      </c>
      <c r="AF824" s="194">
        <v>54471.369999999995</v>
      </c>
      <c r="AG824" s="215"/>
      <c r="AJ824" s="388">
        <f t="shared" si="70"/>
        <v>0</v>
      </c>
    </row>
    <row r="825" spans="1:36" x14ac:dyDescent="0.3">
      <c r="A825" s="192">
        <v>5831</v>
      </c>
      <c r="B825" s="192">
        <v>99</v>
      </c>
      <c r="C825" s="192">
        <v>0</v>
      </c>
      <c r="D825" s="192" t="s">
        <v>1699</v>
      </c>
      <c r="E825" s="192">
        <v>6130052</v>
      </c>
      <c r="F825" s="192" t="s">
        <v>1844</v>
      </c>
      <c r="G825" s="290">
        <v>0.64500000000000002</v>
      </c>
      <c r="H825" s="192">
        <v>4154.92</v>
      </c>
      <c r="I825" s="192">
        <v>0</v>
      </c>
      <c r="J825" s="192">
        <v>0</v>
      </c>
      <c r="K825" s="192">
        <v>0</v>
      </c>
      <c r="L825" s="192">
        <v>523.44000000000005</v>
      </c>
      <c r="M825" s="192">
        <v>0</v>
      </c>
      <c r="N825" s="192">
        <v>0</v>
      </c>
      <c r="O825" s="192">
        <v>4678.3599999999997</v>
      </c>
      <c r="P825" s="192">
        <v>0</v>
      </c>
      <c r="Q825" s="192">
        <v>362.13</v>
      </c>
      <c r="R825" s="192">
        <v>0</v>
      </c>
      <c r="S825" s="285">
        <f t="shared" si="69"/>
        <v>0.64500000000000002</v>
      </c>
      <c r="T825" s="192">
        <v>0</v>
      </c>
      <c r="U825" s="291">
        <v>5040.49</v>
      </c>
      <c r="V825" s="291">
        <v>5040.49</v>
      </c>
      <c r="W825" s="292">
        <v>60350.879999999997</v>
      </c>
      <c r="X825" s="292">
        <v>60485.88</v>
      </c>
      <c r="Y825" s="292">
        <v>60395.88</v>
      </c>
      <c r="Z825" s="292">
        <v>67916.05</v>
      </c>
      <c r="AA825" s="290">
        <v>69478.119149999984</v>
      </c>
      <c r="AB825" s="285">
        <v>68934.790749999986</v>
      </c>
      <c r="AC825" s="290">
        <v>5029.24</v>
      </c>
      <c r="AD825" s="192">
        <v>12</v>
      </c>
      <c r="AE825" s="290">
        <v>5040.49</v>
      </c>
      <c r="AF825" s="194">
        <v>65391.369999999995</v>
      </c>
      <c r="AG825" s="215"/>
      <c r="AJ825" s="388">
        <f t="shared" si="70"/>
        <v>0</v>
      </c>
    </row>
    <row r="826" spans="1:36" x14ac:dyDescent="0.3">
      <c r="A826" s="192">
        <v>5831</v>
      </c>
      <c r="B826" s="192">
        <v>99</v>
      </c>
      <c r="C826" s="192">
        <v>0</v>
      </c>
      <c r="D826" s="192" t="s">
        <v>1699</v>
      </c>
      <c r="E826" s="192">
        <v>6140614</v>
      </c>
      <c r="F826" s="192" t="s">
        <v>1845</v>
      </c>
      <c r="G826" s="290">
        <v>0.42</v>
      </c>
      <c r="H826" s="192">
        <v>3075.2</v>
      </c>
      <c r="I826" s="192">
        <v>0</v>
      </c>
      <c r="J826" s="192">
        <v>0</v>
      </c>
      <c r="K826" s="192">
        <v>0</v>
      </c>
      <c r="L826" s="192">
        <v>86.65</v>
      </c>
      <c r="M826" s="192">
        <v>0</v>
      </c>
      <c r="N826" s="192">
        <v>0</v>
      </c>
      <c r="O826" s="192">
        <v>3161.85</v>
      </c>
      <c r="P826" s="192">
        <v>0</v>
      </c>
      <c r="Q826" s="192">
        <v>0</v>
      </c>
      <c r="R826" s="192">
        <v>0</v>
      </c>
      <c r="S826" s="285">
        <f t="shared" si="69"/>
        <v>0.42</v>
      </c>
      <c r="T826" s="192">
        <v>0</v>
      </c>
      <c r="U826" s="291">
        <v>3161.85</v>
      </c>
      <c r="V826" s="291">
        <v>3161.85</v>
      </c>
      <c r="W826" s="292">
        <v>37942.199999999997</v>
      </c>
      <c r="X826" s="292">
        <v>37942.199999999997</v>
      </c>
      <c r="Y826" s="292">
        <v>37942.199999999997</v>
      </c>
      <c r="Z826" s="292">
        <v>43351.43</v>
      </c>
      <c r="AA826" s="290">
        <v>44348.512889999998</v>
      </c>
      <c r="AB826" s="285">
        <v>44001.701449999993</v>
      </c>
      <c r="AC826" s="290">
        <v>3161.85</v>
      </c>
      <c r="AD826" s="192">
        <v>12</v>
      </c>
      <c r="AE826" s="290">
        <v>3161.85</v>
      </c>
      <c r="AF826" s="194">
        <v>41104.049999999996</v>
      </c>
      <c r="AG826" s="215"/>
      <c r="AJ826" s="388">
        <f t="shared" si="70"/>
        <v>0</v>
      </c>
    </row>
    <row r="827" spans="1:36" x14ac:dyDescent="0.3">
      <c r="A827" s="192">
        <v>5831</v>
      </c>
      <c r="B827" s="192">
        <v>99</v>
      </c>
      <c r="C827" s="192">
        <v>0</v>
      </c>
      <c r="D827" s="192" t="s">
        <v>1699</v>
      </c>
      <c r="E827" s="192">
        <v>6144084</v>
      </c>
      <c r="F827" s="192" t="s">
        <v>1494</v>
      </c>
      <c r="G827" s="290">
        <v>0.30076000000000003</v>
      </c>
      <c r="H827" s="192">
        <v>1995.61</v>
      </c>
      <c r="I827" s="192">
        <v>0</v>
      </c>
      <c r="J827" s="192">
        <v>0</v>
      </c>
      <c r="K827" s="192">
        <v>0</v>
      </c>
      <c r="L827" s="192">
        <v>58.49</v>
      </c>
      <c r="M827" s="192">
        <v>0</v>
      </c>
      <c r="N827" s="192">
        <v>0</v>
      </c>
      <c r="O827" s="192">
        <v>2054.1</v>
      </c>
      <c r="P827" s="192">
        <v>0</v>
      </c>
      <c r="Q827" s="192">
        <v>165.31</v>
      </c>
      <c r="R827" s="192">
        <v>0</v>
      </c>
      <c r="S827" s="285">
        <f t="shared" si="69"/>
        <v>0.30076000000000003</v>
      </c>
      <c r="T827" s="192">
        <v>0</v>
      </c>
      <c r="U827" s="291">
        <v>2219.41</v>
      </c>
      <c r="V827" s="291">
        <v>2219.41</v>
      </c>
      <c r="W827" s="292">
        <v>26497.919999999998</v>
      </c>
      <c r="X827" s="292">
        <v>26632.92</v>
      </c>
      <c r="Y827" s="292">
        <v>26542.92</v>
      </c>
      <c r="Z827" s="292">
        <v>29345.05</v>
      </c>
      <c r="AA827" s="290">
        <v>30019.986149999997</v>
      </c>
      <c r="AB827" s="285">
        <v>29785.225749999998</v>
      </c>
      <c r="AC827" s="290">
        <v>2208.16</v>
      </c>
      <c r="AD827" s="192">
        <v>12</v>
      </c>
      <c r="AE827" s="290">
        <v>2219.41</v>
      </c>
      <c r="AF827" s="194">
        <v>28717.329999999998</v>
      </c>
      <c r="AG827" s="215"/>
      <c r="AJ827" s="388">
        <f t="shared" si="70"/>
        <v>0</v>
      </c>
    </row>
    <row r="828" spans="1:36" x14ac:dyDescent="0.3">
      <c r="A828" s="192">
        <v>5831</v>
      </c>
      <c r="B828" s="192">
        <v>99</v>
      </c>
      <c r="C828" s="192">
        <v>0</v>
      </c>
      <c r="D828" s="192" t="s">
        <v>1699</v>
      </c>
      <c r="E828" s="192">
        <v>6146063</v>
      </c>
      <c r="F828" s="192" t="s">
        <v>1846</v>
      </c>
      <c r="G828" s="290">
        <v>0.7</v>
      </c>
      <c r="H828" s="192">
        <v>5845.43</v>
      </c>
      <c r="I828" s="192">
        <v>0</v>
      </c>
      <c r="J828" s="192">
        <v>0</v>
      </c>
      <c r="K828" s="192">
        <v>0</v>
      </c>
      <c r="L828" s="192">
        <v>171.95</v>
      </c>
      <c r="M828" s="192">
        <v>0</v>
      </c>
      <c r="N828" s="192">
        <v>0</v>
      </c>
      <c r="O828" s="192">
        <v>6017.38</v>
      </c>
      <c r="P828" s="192">
        <v>0</v>
      </c>
      <c r="Q828" s="192">
        <v>462.55</v>
      </c>
      <c r="R828" s="192">
        <v>0</v>
      </c>
      <c r="S828" s="285">
        <f t="shared" si="69"/>
        <v>0.69999999999999984</v>
      </c>
      <c r="T828" s="192">
        <v>0</v>
      </c>
      <c r="U828" s="291">
        <v>6479.93</v>
      </c>
      <c r="V828" s="291">
        <v>6479.93</v>
      </c>
      <c r="W828" s="292">
        <v>77624.160000000003</v>
      </c>
      <c r="X828" s="292">
        <v>77759.16</v>
      </c>
      <c r="Y828" s="292">
        <v>77669.16</v>
      </c>
      <c r="Z828" s="292">
        <v>87434.35</v>
      </c>
      <c r="AA828" s="290">
        <v>89445.340049999984</v>
      </c>
      <c r="AB828" s="285">
        <v>88745.865249999988</v>
      </c>
      <c r="AC828" s="290">
        <v>6468.68</v>
      </c>
      <c r="AD828" s="192">
        <v>12</v>
      </c>
      <c r="AE828" s="290">
        <v>6479.93</v>
      </c>
      <c r="AF828" s="194">
        <v>84104.09</v>
      </c>
      <c r="AG828" s="215"/>
      <c r="AJ828" s="388">
        <f t="shared" si="70"/>
        <v>0</v>
      </c>
    </row>
    <row r="829" spans="1:36" x14ac:dyDescent="0.3">
      <c r="A829" s="192">
        <v>5831</v>
      </c>
      <c r="B829" s="192">
        <v>99</v>
      </c>
      <c r="C829" s="192">
        <v>0</v>
      </c>
      <c r="D829" s="192" t="s">
        <v>1699</v>
      </c>
      <c r="E829" s="192">
        <v>6174033</v>
      </c>
      <c r="F829" s="192" t="s">
        <v>1847</v>
      </c>
      <c r="G829" s="290">
        <v>0.7</v>
      </c>
      <c r="H829" s="192">
        <v>5200.82</v>
      </c>
      <c r="I829" s="192">
        <v>0</v>
      </c>
      <c r="J829" s="192">
        <v>0</v>
      </c>
      <c r="K829" s="192">
        <v>0</v>
      </c>
      <c r="L829" s="192">
        <v>149.53</v>
      </c>
      <c r="M829" s="192">
        <v>0</v>
      </c>
      <c r="N829" s="192">
        <v>196</v>
      </c>
      <c r="O829" s="192">
        <v>5546.35</v>
      </c>
      <c r="P829" s="192">
        <v>0</v>
      </c>
      <c r="Q829" s="192">
        <v>427.23</v>
      </c>
      <c r="R829" s="192">
        <v>0</v>
      </c>
      <c r="S829" s="285">
        <f t="shared" si="69"/>
        <v>0.69999999999999984</v>
      </c>
      <c r="T829" s="192">
        <v>0</v>
      </c>
      <c r="U829" s="291">
        <v>5973.58</v>
      </c>
      <c r="V829" s="291">
        <v>5973.58</v>
      </c>
      <c r="W829" s="292">
        <v>71547.959999999992</v>
      </c>
      <c r="X829" s="292">
        <v>71682.959999999992</v>
      </c>
      <c r="Y829" s="292">
        <v>71592.960000000006</v>
      </c>
      <c r="Z829" s="292">
        <v>80773.039999999994</v>
      </c>
      <c r="AA829" s="290">
        <v>82656.54836999999</v>
      </c>
      <c r="AB829" s="285">
        <v>82010.162849999993</v>
      </c>
      <c r="AC829" s="290">
        <v>5962.33</v>
      </c>
      <c r="AD829" s="192">
        <v>12</v>
      </c>
      <c r="AE829" s="290">
        <v>5973.58</v>
      </c>
      <c r="AF829" s="194">
        <v>77521.539999999994</v>
      </c>
      <c r="AG829" s="215"/>
      <c r="AJ829" s="388">
        <f t="shared" si="70"/>
        <v>0</v>
      </c>
    </row>
    <row r="830" spans="1:36" x14ac:dyDescent="0.3">
      <c r="A830" s="192">
        <v>5831</v>
      </c>
      <c r="B830" s="192">
        <v>99</v>
      </c>
      <c r="C830" s="192">
        <v>0</v>
      </c>
      <c r="D830" s="192" t="s">
        <v>1699</v>
      </c>
      <c r="E830" s="192">
        <v>6176953</v>
      </c>
      <c r="F830" s="192" t="s">
        <v>1848</v>
      </c>
      <c r="G830" s="290">
        <v>0.14000000000000001</v>
      </c>
      <c r="H830" s="192">
        <v>819.54</v>
      </c>
      <c r="I830" s="192">
        <v>0</v>
      </c>
      <c r="J830" s="192">
        <v>0</v>
      </c>
      <c r="K830" s="192">
        <v>0</v>
      </c>
      <c r="L830" s="192">
        <v>29.65</v>
      </c>
      <c r="M830" s="192">
        <v>0</v>
      </c>
      <c r="N830" s="192">
        <v>0</v>
      </c>
      <c r="O830" s="192">
        <v>849.19</v>
      </c>
      <c r="P830" s="192">
        <v>0</v>
      </c>
      <c r="Q830" s="192">
        <v>74.94</v>
      </c>
      <c r="R830" s="192">
        <v>0</v>
      </c>
      <c r="S830" s="285">
        <f t="shared" si="69"/>
        <v>0.14000000000000001</v>
      </c>
      <c r="T830" s="192">
        <v>0</v>
      </c>
      <c r="U830" s="291">
        <v>924.13</v>
      </c>
      <c r="V830" s="291">
        <v>924.13</v>
      </c>
      <c r="W830" s="292">
        <v>10954.56</v>
      </c>
      <c r="X830" s="292">
        <v>11089.56</v>
      </c>
      <c r="Y830" s="292">
        <v>10999.56</v>
      </c>
      <c r="Z830" s="292">
        <v>12439.86</v>
      </c>
      <c r="AA830" s="290">
        <v>12725.976779999999</v>
      </c>
      <c r="AB830" s="285">
        <v>12626.457899999999</v>
      </c>
      <c r="AC830" s="290">
        <v>912.88</v>
      </c>
      <c r="AD830" s="192">
        <v>12</v>
      </c>
      <c r="AE830" s="290">
        <v>924.13</v>
      </c>
      <c r="AF830" s="194">
        <v>11878.689999999999</v>
      </c>
      <c r="AG830" s="215"/>
      <c r="AJ830" s="388">
        <f t="shared" si="70"/>
        <v>0</v>
      </c>
    </row>
    <row r="831" spans="1:36" x14ac:dyDescent="0.3">
      <c r="A831" s="192">
        <v>5831</v>
      </c>
      <c r="B831" s="192">
        <v>99</v>
      </c>
      <c r="C831" s="192">
        <v>0</v>
      </c>
      <c r="D831" s="192" t="s">
        <v>1699</v>
      </c>
      <c r="E831" s="192">
        <v>6180843</v>
      </c>
      <c r="F831" s="192" t="s">
        <v>1849</v>
      </c>
      <c r="G831" s="290">
        <v>0.7</v>
      </c>
      <c r="H831" s="192">
        <v>4482.92</v>
      </c>
      <c r="I831" s="192">
        <v>0</v>
      </c>
      <c r="J831" s="192">
        <v>0</v>
      </c>
      <c r="K831" s="192">
        <v>0</v>
      </c>
      <c r="L831" s="192">
        <v>121.54</v>
      </c>
      <c r="M831" s="192">
        <v>0</v>
      </c>
      <c r="N831" s="192">
        <v>252</v>
      </c>
      <c r="O831" s="192">
        <v>4856.46</v>
      </c>
      <c r="P831" s="192">
        <v>0</v>
      </c>
      <c r="Q831" s="192">
        <v>375.48</v>
      </c>
      <c r="R831" s="192">
        <v>0</v>
      </c>
      <c r="S831" s="285">
        <f t="shared" si="69"/>
        <v>0.69999999999999984</v>
      </c>
      <c r="T831" s="192">
        <v>0</v>
      </c>
      <c r="U831" s="291">
        <v>5231.9399999999996</v>
      </c>
      <c r="V831" s="291">
        <v>5231.9399999999996</v>
      </c>
      <c r="W831" s="292">
        <v>62648.28</v>
      </c>
      <c r="X831" s="292">
        <v>62783.28</v>
      </c>
      <c r="Y831" s="292">
        <v>62693.279999999999</v>
      </c>
      <c r="Z831" s="292">
        <v>68361.73</v>
      </c>
      <c r="AA831" s="290">
        <v>69934.04978999999</v>
      </c>
      <c r="AB831" s="285">
        <v>69387.155949999986</v>
      </c>
      <c r="AC831" s="290">
        <v>5220.6899999999996</v>
      </c>
      <c r="AD831" s="192">
        <v>12</v>
      </c>
      <c r="AE831" s="290">
        <v>5231.9399999999996</v>
      </c>
      <c r="AF831" s="194">
        <v>67880.22</v>
      </c>
      <c r="AG831" s="215"/>
      <c r="AJ831" s="388">
        <f t="shared" si="70"/>
        <v>0</v>
      </c>
    </row>
    <row r="832" spans="1:36" x14ac:dyDescent="0.3">
      <c r="A832" s="192">
        <v>5831</v>
      </c>
      <c r="B832" s="192">
        <v>99</v>
      </c>
      <c r="C832" s="192">
        <v>0</v>
      </c>
      <c r="D832" s="192" t="s">
        <v>1699</v>
      </c>
      <c r="E832" s="192">
        <v>6180973</v>
      </c>
      <c r="F832" s="192" t="s">
        <v>1850</v>
      </c>
      <c r="G832" s="290">
        <v>0.56000000000000005</v>
      </c>
      <c r="H832" s="192">
        <v>3817.29</v>
      </c>
      <c r="I832" s="192">
        <v>0</v>
      </c>
      <c r="J832" s="192">
        <v>0</v>
      </c>
      <c r="K832" s="192">
        <v>0</v>
      </c>
      <c r="L832" s="192">
        <v>140.66</v>
      </c>
      <c r="M832" s="192">
        <v>0</v>
      </c>
      <c r="N832" s="192">
        <v>0</v>
      </c>
      <c r="O832" s="192">
        <v>3957.95</v>
      </c>
      <c r="P832" s="192">
        <v>0</v>
      </c>
      <c r="Q832" s="192">
        <v>308.10000000000002</v>
      </c>
      <c r="R832" s="192">
        <v>0</v>
      </c>
      <c r="S832" s="285">
        <f t="shared" si="69"/>
        <v>0.56000000000000005</v>
      </c>
      <c r="T832" s="192">
        <v>0</v>
      </c>
      <c r="U832" s="291">
        <v>4266.05</v>
      </c>
      <c r="V832" s="291">
        <v>4266.05</v>
      </c>
      <c r="W832" s="292">
        <v>51057.600000000006</v>
      </c>
      <c r="X832" s="292">
        <v>51192.600000000006</v>
      </c>
      <c r="Y832" s="292">
        <v>51102.600000000006</v>
      </c>
      <c r="Z832" s="292">
        <v>58485.57</v>
      </c>
      <c r="AA832" s="290">
        <v>59830.738109999991</v>
      </c>
      <c r="AB832" s="285">
        <v>59362.853549999993</v>
      </c>
      <c r="AC832" s="290">
        <v>4254.8</v>
      </c>
      <c r="AD832" s="192">
        <v>12</v>
      </c>
      <c r="AE832" s="290">
        <v>4266.05</v>
      </c>
      <c r="AF832" s="194">
        <v>55323.650000000009</v>
      </c>
      <c r="AG832" s="215"/>
      <c r="AJ832" s="388">
        <f t="shared" si="70"/>
        <v>0</v>
      </c>
    </row>
    <row r="833" spans="1:36" x14ac:dyDescent="0.3">
      <c r="A833" s="192">
        <v>5831</v>
      </c>
      <c r="B833" s="192">
        <v>99</v>
      </c>
      <c r="C833" s="192">
        <v>0</v>
      </c>
      <c r="D833" s="192" t="s">
        <v>1699</v>
      </c>
      <c r="E833" s="192">
        <v>6181014</v>
      </c>
      <c r="F833" s="192" t="s">
        <v>1851</v>
      </c>
      <c r="G833" s="290">
        <v>0.68</v>
      </c>
      <c r="H833" s="192">
        <v>5148.4399999999996</v>
      </c>
      <c r="I833" s="192">
        <v>0</v>
      </c>
      <c r="J833" s="192">
        <v>0</v>
      </c>
      <c r="K833" s="192">
        <v>0</v>
      </c>
      <c r="L833" s="192">
        <v>151.94</v>
      </c>
      <c r="M833" s="192">
        <v>0</v>
      </c>
      <c r="N833" s="192">
        <v>0</v>
      </c>
      <c r="O833" s="192">
        <v>5300.38</v>
      </c>
      <c r="P833" s="192">
        <v>0</v>
      </c>
      <c r="Q833" s="192">
        <v>408.78</v>
      </c>
      <c r="R833" s="192">
        <v>0</v>
      </c>
      <c r="S833" s="285">
        <f t="shared" si="69"/>
        <v>0.68</v>
      </c>
      <c r="T833" s="192">
        <v>0</v>
      </c>
      <c r="U833" s="291">
        <v>5709.16</v>
      </c>
      <c r="V833" s="291">
        <v>5709.16</v>
      </c>
      <c r="W833" s="292">
        <v>68374.92</v>
      </c>
      <c r="X833" s="292">
        <v>68509.919999999998</v>
      </c>
      <c r="Y833" s="292">
        <v>68419.92</v>
      </c>
      <c r="Z833" s="292">
        <v>77618.91</v>
      </c>
      <c r="AA833" s="290">
        <v>79404.144929999995</v>
      </c>
      <c r="AB833" s="285">
        <v>78783.193650000001</v>
      </c>
      <c r="AC833" s="290">
        <v>5697.91</v>
      </c>
      <c r="AD833" s="192">
        <v>12</v>
      </c>
      <c r="AE833" s="290">
        <v>5709.16</v>
      </c>
      <c r="AF833" s="194">
        <v>74084.08</v>
      </c>
      <c r="AG833" s="215"/>
      <c r="AJ833" s="388">
        <f t="shared" si="70"/>
        <v>0</v>
      </c>
    </row>
    <row r="834" spans="1:36" x14ac:dyDescent="0.3">
      <c r="A834" s="192">
        <v>5831</v>
      </c>
      <c r="B834" s="192">
        <v>99</v>
      </c>
      <c r="C834" s="192">
        <v>0</v>
      </c>
      <c r="D834" s="192" t="s">
        <v>1699</v>
      </c>
      <c r="E834" s="192">
        <v>6184325</v>
      </c>
      <c r="F834" s="192" t="s">
        <v>1852</v>
      </c>
      <c r="G834" s="290">
        <v>0.7</v>
      </c>
      <c r="H834" s="192">
        <v>6676.27</v>
      </c>
      <c r="I834" s="192">
        <v>1843.35</v>
      </c>
      <c r="J834" s="192">
        <v>0</v>
      </c>
      <c r="K834" s="192">
        <v>0</v>
      </c>
      <c r="L834" s="192">
        <v>248.78</v>
      </c>
      <c r="M834" s="192">
        <v>0</v>
      </c>
      <c r="N834" s="192">
        <v>0</v>
      </c>
      <c r="O834" s="192">
        <v>8768.4</v>
      </c>
      <c r="P834" s="192">
        <v>0</v>
      </c>
      <c r="Q834" s="192">
        <v>668.88</v>
      </c>
      <c r="R834" s="192">
        <v>0</v>
      </c>
      <c r="S834" s="285">
        <f t="shared" si="69"/>
        <v>0.69999999999999984</v>
      </c>
      <c r="T834" s="192">
        <v>0</v>
      </c>
      <c r="U834" s="291">
        <v>9437.2800000000007</v>
      </c>
      <c r="V834" s="291">
        <v>9437.2800000000007</v>
      </c>
      <c r="W834" s="292">
        <v>113112.36000000002</v>
      </c>
      <c r="X834" s="292">
        <v>113247.36000000002</v>
      </c>
      <c r="Y834" s="292">
        <v>113157.36000000002</v>
      </c>
      <c r="Z834" s="292">
        <v>121713.83</v>
      </c>
      <c r="AA834" s="290">
        <v>124513.24808999999</v>
      </c>
      <c r="AB834" s="285">
        <v>123539.53744999999</v>
      </c>
      <c r="AC834" s="290">
        <v>9426.0300000000007</v>
      </c>
      <c r="AD834" s="192">
        <v>12</v>
      </c>
      <c r="AE834" s="290">
        <v>9437.2800000000007</v>
      </c>
      <c r="AF834" s="194">
        <v>122549.64000000001</v>
      </c>
      <c r="AG834" s="215"/>
      <c r="AJ834" s="388">
        <f t="shared" si="70"/>
        <v>0</v>
      </c>
    </row>
    <row r="835" spans="1:36" x14ac:dyDescent="0.3">
      <c r="A835" s="192">
        <v>5831</v>
      </c>
      <c r="B835" s="192">
        <v>99</v>
      </c>
      <c r="C835" s="192">
        <v>0</v>
      </c>
      <c r="D835" s="192" t="s">
        <v>1699</v>
      </c>
      <c r="E835" s="192">
        <v>6184583</v>
      </c>
      <c r="F835" s="192" t="s">
        <v>1853</v>
      </c>
      <c r="G835" s="290">
        <v>0.32</v>
      </c>
      <c r="H835" s="192">
        <v>1856.74</v>
      </c>
      <c r="I835" s="192">
        <v>0</v>
      </c>
      <c r="J835" s="192">
        <v>0</v>
      </c>
      <c r="K835" s="192">
        <v>0</v>
      </c>
      <c r="L835" s="192">
        <v>64.3</v>
      </c>
      <c r="M835" s="192">
        <v>0</v>
      </c>
      <c r="N835" s="192">
        <v>0</v>
      </c>
      <c r="O835" s="192">
        <v>1921.04</v>
      </c>
      <c r="P835" s="192">
        <v>0</v>
      </c>
      <c r="Q835" s="192">
        <v>155.33000000000001</v>
      </c>
      <c r="R835" s="192">
        <v>0</v>
      </c>
      <c r="S835" s="285">
        <f t="shared" si="69"/>
        <v>0.32</v>
      </c>
      <c r="T835" s="192">
        <v>0</v>
      </c>
      <c r="U835" s="291">
        <v>2076.37</v>
      </c>
      <c r="V835" s="291">
        <v>2076.37</v>
      </c>
      <c r="W835" s="292">
        <v>24781.439999999999</v>
      </c>
      <c r="X835" s="292">
        <v>24916.44</v>
      </c>
      <c r="Y835" s="292">
        <v>24826.44</v>
      </c>
      <c r="Z835" s="292">
        <v>27519.119999999999</v>
      </c>
      <c r="AA835" s="290">
        <v>28152.059759999996</v>
      </c>
      <c r="AB835" s="285">
        <v>27931.906799999997</v>
      </c>
      <c r="AC835" s="290">
        <v>2065.12</v>
      </c>
      <c r="AD835" s="192">
        <v>12</v>
      </c>
      <c r="AE835" s="290">
        <v>2076.37</v>
      </c>
      <c r="AF835" s="194">
        <v>26857.809999999998</v>
      </c>
      <c r="AG835" s="215"/>
      <c r="AJ835" s="388">
        <f t="shared" si="70"/>
        <v>0</v>
      </c>
    </row>
    <row r="836" spans="1:36" x14ac:dyDescent="0.3">
      <c r="A836" s="192">
        <v>5831</v>
      </c>
      <c r="B836" s="192">
        <v>99</v>
      </c>
      <c r="C836" s="192">
        <v>0</v>
      </c>
      <c r="D836" s="192" t="s">
        <v>1699</v>
      </c>
      <c r="E836" s="192">
        <v>6186297</v>
      </c>
      <c r="F836" s="192" t="s">
        <v>1854</v>
      </c>
      <c r="G836" s="290">
        <v>0.41073999999999999</v>
      </c>
      <c r="H836" s="192">
        <v>2868.71</v>
      </c>
      <c r="I836" s="192">
        <v>0</v>
      </c>
      <c r="J836" s="192">
        <v>0</v>
      </c>
      <c r="K836" s="192">
        <v>0</v>
      </c>
      <c r="L836" s="192">
        <v>130.13</v>
      </c>
      <c r="M836" s="192">
        <v>0</v>
      </c>
      <c r="N836" s="192">
        <v>113</v>
      </c>
      <c r="O836" s="192">
        <v>3111.84</v>
      </c>
      <c r="P836" s="192">
        <v>0</v>
      </c>
      <c r="Q836" s="192">
        <v>244.64</v>
      </c>
      <c r="R836" s="192">
        <v>0</v>
      </c>
      <c r="S836" s="285">
        <f t="shared" si="69"/>
        <v>0.41073999999999994</v>
      </c>
      <c r="T836" s="192">
        <v>0</v>
      </c>
      <c r="U836" s="291">
        <v>3356.48</v>
      </c>
      <c r="V836" s="291">
        <v>3356.48</v>
      </c>
      <c r="W836" s="292">
        <v>40142.76</v>
      </c>
      <c r="X836" s="292">
        <v>40277.760000000002</v>
      </c>
      <c r="Y836" s="292">
        <v>40187.760000000002</v>
      </c>
      <c r="Z836" s="292">
        <v>45641.35</v>
      </c>
      <c r="AA836" s="290">
        <v>46691.101049999997</v>
      </c>
      <c r="AB836" s="285">
        <v>46325.970249999991</v>
      </c>
      <c r="AC836" s="290">
        <v>3345.23</v>
      </c>
      <c r="AD836" s="192">
        <v>12</v>
      </c>
      <c r="AE836" s="290">
        <v>3356.48</v>
      </c>
      <c r="AF836" s="194">
        <v>43499.240000000005</v>
      </c>
      <c r="AG836" s="215"/>
      <c r="AJ836" s="388">
        <f t="shared" si="70"/>
        <v>0</v>
      </c>
    </row>
    <row r="837" spans="1:36" x14ac:dyDescent="0.3">
      <c r="A837" s="192">
        <v>5831</v>
      </c>
      <c r="B837" s="192">
        <v>99</v>
      </c>
      <c r="C837" s="192">
        <v>0</v>
      </c>
      <c r="D837" s="192" t="s">
        <v>1699</v>
      </c>
      <c r="E837" s="192">
        <v>6186486</v>
      </c>
      <c r="F837" s="192" t="s">
        <v>1855</v>
      </c>
      <c r="G837" s="290">
        <v>0.17</v>
      </c>
      <c r="H837" s="192">
        <v>7119.98</v>
      </c>
      <c r="I837" s="192">
        <v>0</v>
      </c>
      <c r="J837" s="192">
        <v>0</v>
      </c>
      <c r="K837" s="192">
        <v>0</v>
      </c>
      <c r="L837" s="192">
        <v>0</v>
      </c>
      <c r="M837" s="192">
        <v>0</v>
      </c>
      <c r="N837" s="192">
        <v>187.5</v>
      </c>
      <c r="O837" s="192">
        <v>7307.48</v>
      </c>
      <c r="P837" s="192">
        <v>0</v>
      </c>
      <c r="Q837" s="192">
        <v>559.30999999999995</v>
      </c>
      <c r="R837" s="192">
        <v>0</v>
      </c>
      <c r="S837" s="285">
        <f t="shared" si="69"/>
        <v>0.17</v>
      </c>
      <c r="T837" s="192">
        <v>0</v>
      </c>
      <c r="U837" s="291">
        <v>7866.79</v>
      </c>
      <c r="V837" s="291">
        <v>7866.79</v>
      </c>
      <c r="W837" s="292">
        <v>94266.48</v>
      </c>
      <c r="X837" s="292">
        <v>94401.48</v>
      </c>
      <c r="Y837" s="292">
        <v>94311.48</v>
      </c>
      <c r="Z837" s="292">
        <v>95178.76</v>
      </c>
      <c r="AA837" s="290">
        <v>97367.871479999987</v>
      </c>
      <c r="AB837" s="285">
        <v>96606.441399999982</v>
      </c>
      <c r="AC837" s="290">
        <v>7855.54</v>
      </c>
      <c r="AD837" s="192">
        <v>12</v>
      </c>
      <c r="AE837" s="290">
        <v>7866.79</v>
      </c>
      <c r="AF837" s="194">
        <v>102133.26999999999</v>
      </c>
      <c r="AG837" s="215"/>
      <c r="AJ837" s="388">
        <f t="shared" si="70"/>
        <v>0</v>
      </c>
    </row>
    <row r="838" spans="1:36" x14ac:dyDescent="0.3">
      <c r="A838" s="192">
        <v>5831</v>
      </c>
      <c r="B838" s="192">
        <v>99</v>
      </c>
      <c r="C838" s="192">
        <v>0</v>
      </c>
      <c r="D838" s="192" t="s">
        <v>1699</v>
      </c>
      <c r="E838" s="192">
        <v>6186783</v>
      </c>
      <c r="F838" s="192" t="s">
        <v>1856</v>
      </c>
      <c r="G838" s="290">
        <v>0.23533000000000001</v>
      </c>
      <c r="H838" s="192">
        <v>1384.93</v>
      </c>
      <c r="I838" s="192">
        <v>0</v>
      </c>
      <c r="J838" s="192">
        <v>0</v>
      </c>
      <c r="K838" s="192">
        <v>0</v>
      </c>
      <c r="L838" s="192">
        <v>79.27</v>
      </c>
      <c r="M838" s="192">
        <v>0</v>
      </c>
      <c r="N838" s="192">
        <v>0</v>
      </c>
      <c r="O838" s="192">
        <v>1464.2</v>
      </c>
      <c r="P838" s="192">
        <v>0</v>
      </c>
      <c r="Q838" s="192">
        <v>121.07</v>
      </c>
      <c r="R838" s="192">
        <v>0</v>
      </c>
      <c r="S838" s="285">
        <f t="shared" si="69"/>
        <v>0.23533000000000001</v>
      </c>
      <c r="T838" s="192">
        <v>0</v>
      </c>
      <c r="U838" s="291">
        <v>1585.27</v>
      </c>
      <c r="V838" s="291">
        <v>1585.27</v>
      </c>
      <c r="W838" s="292">
        <v>18888.239999999998</v>
      </c>
      <c r="X838" s="292">
        <v>19023.239999999998</v>
      </c>
      <c r="Y838" s="292">
        <v>18933.240000000002</v>
      </c>
      <c r="Z838" s="292">
        <v>20657.72</v>
      </c>
      <c r="AA838" s="290">
        <v>21132.847559999995</v>
      </c>
      <c r="AB838" s="285">
        <v>20967.585799999997</v>
      </c>
      <c r="AC838" s="290">
        <v>1574.02</v>
      </c>
      <c r="AD838" s="192">
        <v>12</v>
      </c>
      <c r="AE838" s="290">
        <v>1585.27</v>
      </c>
      <c r="AF838" s="194">
        <v>20473.509999999998</v>
      </c>
      <c r="AG838" s="215"/>
      <c r="AJ838" s="388">
        <f t="shared" si="70"/>
        <v>0</v>
      </c>
    </row>
    <row r="839" spans="1:36" x14ac:dyDescent="0.3">
      <c r="A839" s="192">
        <v>5831</v>
      </c>
      <c r="B839" s="192">
        <v>99</v>
      </c>
      <c r="C839" s="192">
        <v>0</v>
      </c>
      <c r="D839" s="192" t="s">
        <v>1699</v>
      </c>
      <c r="E839" s="192">
        <v>6189656</v>
      </c>
      <c r="F839" s="192" t="s">
        <v>1857</v>
      </c>
      <c r="G839" s="290">
        <v>0.6</v>
      </c>
      <c r="H839" s="192">
        <v>3804.39</v>
      </c>
      <c r="I839" s="192">
        <v>0</v>
      </c>
      <c r="J839" s="192">
        <v>0</v>
      </c>
      <c r="K839" s="192">
        <v>0</v>
      </c>
      <c r="L839" s="192">
        <v>143.54</v>
      </c>
      <c r="M839" s="192">
        <v>0</v>
      </c>
      <c r="N839" s="192">
        <v>0</v>
      </c>
      <c r="O839" s="192">
        <v>3947.93</v>
      </c>
      <c r="P839" s="192">
        <v>0</v>
      </c>
      <c r="Q839" s="192">
        <v>307.33999999999997</v>
      </c>
      <c r="R839" s="192">
        <v>0</v>
      </c>
      <c r="S839" s="285">
        <f t="shared" si="69"/>
        <v>0.6</v>
      </c>
      <c r="T839" s="192">
        <v>0</v>
      </c>
      <c r="U839" s="291">
        <v>4255.2700000000004</v>
      </c>
      <c r="V839" s="291">
        <v>4255.2700000000004</v>
      </c>
      <c r="W839" s="292">
        <v>50928.240000000005</v>
      </c>
      <c r="X839" s="292">
        <v>51063.240000000005</v>
      </c>
      <c r="Y839" s="292">
        <v>50973.239999999991</v>
      </c>
      <c r="Z839" s="292">
        <v>58814.67</v>
      </c>
      <c r="AA839" s="290">
        <v>60167.407409999993</v>
      </c>
      <c r="AB839" s="285">
        <v>59696.890049999995</v>
      </c>
      <c r="AC839" s="290">
        <v>4244.0200000000004</v>
      </c>
      <c r="AD839" s="192">
        <v>12</v>
      </c>
      <c r="AE839" s="290">
        <v>4255.2700000000004</v>
      </c>
      <c r="AF839" s="194">
        <v>55183.510000000009</v>
      </c>
      <c r="AG839" s="215"/>
      <c r="AJ839" s="388">
        <f t="shared" si="70"/>
        <v>0</v>
      </c>
    </row>
    <row r="840" spans="1:36" x14ac:dyDescent="0.3">
      <c r="A840" s="192">
        <v>5831</v>
      </c>
      <c r="B840" s="192">
        <v>99</v>
      </c>
      <c r="C840" s="192">
        <v>0</v>
      </c>
      <c r="D840" s="192" t="s">
        <v>1699</v>
      </c>
      <c r="E840" s="192">
        <v>6190761</v>
      </c>
      <c r="F840" s="192" t="s">
        <v>1858</v>
      </c>
      <c r="G840" s="290">
        <v>0.56999999999999995</v>
      </c>
      <c r="H840" s="192">
        <v>4377.5600000000004</v>
      </c>
      <c r="I840" s="192">
        <v>0</v>
      </c>
      <c r="J840" s="192">
        <v>0</v>
      </c>
      <c r="K840" s="192">
        <v>0</v>
      </c>
      <c r="L840" s="192">
        <v>604.13</v>
      </c>
      <c r="M840" s="192">
        <v>0</v>
      </c>
      <c r="N840" s="192">
        <v>0</v>
      </c>
      <c r="O840" s="192">
        <v>4981.6899999999996</v>
      </c>
      <c r="P840" s="192">
        <v>0</v>
      </c>
      <c r="Q840" s="192">
        <v>384.88</v>
      </c>
      <c r="R840" s="192">
        <v>0</v>
      </c>
      <c r="S840" s="285">
        <f t="shared" si="69"/>
        <v>0.56999999999999995</v>
      </c>
      <c r="T840" s="192">
        <v>0</v>
      </c>
      <c r="U840" s="291">
        <v>5366.57</v>
      </c>
      <c r="V840" s="291">
        <v>5366.57</v>
      </c>
      <c r="W840" s="292">
        <v>64263.839999999997</v>
      </c>
      <c r="X840" s="292">
        <v>64398.84</v>
      </c>
      <c r="Y840" s="292">
        <v>64308.84</v>
      </c>
      <c r="Z840" s="292">
        <v>68868.06</v>
      </c>
      <c r="AA840" s="290">
        <v>70452.025379999992</v>
      </c>
      <c r="AB840" s="285">
        <v>69901.080899999986</v>
      </c>
      <c r="AC840" s="290">
        <v>5355.32</v>
      </c>
      <c r="AD840" s="192">
        <v>12</v>
      </c>
      <c r="AE840" s="290">
        <v>5366.57</v>
      </c>
      <c r="AF840" s="194">
        <v>69630.41</v>
      </c>
      <c r="AG840" s="215"/>
      <c r="AJ840" s="388">
        <f t="shared" si="70"/>
        <v>0</v>
      </c>
    </row>
    <row r="841" spans="1:36" x14ac:dyDescent="0.3">
      <c r="A841" s="192">
        <v>5831</v>
      </c>
      <c r="B841" s="192">
        <v>99</v>
      </c>
      <c r="C841" s="192">
        <v>0</v>
      </c>
      <c r="D841" s="192" t="s">
        <v>1699</v>
      </c>
      <c r="E841" s="192">
        <v>6201545</v>
      </c>
      <c r="F841" s="192" t="s">
        <v>1859</v>
      </c>
      <c r="G841" s="290">
        <v>0.46</v>
      </c>
      <c r="H841" s="192">
        <v>3199.98</v>
      </c>
      <c r="I841" s="192">
        <v>86.17</v>
      </c>
      <c r="J841" s="192">
        <v>0</v>
      </c>
      <c r="K841" s="192">
        <v>0</v>
      </c>
      <c r="L841" s="192">
        <v>125.4</v>
      </c>
      <c r="M841" s="192">
        <v>0</v>
      </c>
      <c r="N841" s="192">
        <v>0</v>
      </c>
      <c r="O841" s="192">
        <v>3411.55</v>
      </c>
      <c r="P841" s="192">
        <v>0</v>
      </c>
      <c r="Q841" s="192">
        <v>267.12</v>
      </c>
      <c r="R841" s="192">
        <v>0</v>
      </c>
      <c r="S841" s="285">
        <f t="shared" si="69"/>
        <v>0.46</v>
      </c>
      <c r="T841" s="192">
        <v>0</v>
      </c>
      <c r="U841" s="291">
        <v>3678.67</v>
      </c>
      <c r="V841" s="291">
        <v>3678.67</v>
      </c>
      <c r="W841" s="292">
        <v>44009.04</v>
      </c>
      <c r="X841" s="292">
        <v>44144.04</v>
      </c>
      <c r="Y841" s="292">
        <v>44054.04</v>
      </c>
      <c r="Z841" s="292">
        <v>39432.79</v>
      </c>
      <c r="AA841" s="290">
        <v>45007.140749999999</v>
      </c>
      <c r="AB841" s="285">
        <v>44655.178749999999</v>
      </c>
      <c r="AC841" s="290">
        <v>3667.42</v>
      </c>
      <c r="AD841" s="192">
        <v>12</v>
      </c>
      <c r="AE841" s="290">
        <v>3678.67</v>
      </c>
      <c r="AF841" s="194">
        <v>47687.71</v>
      </c>
      <c r="AG841" s="215"/>
      <c r="AJ841" s="388">
        <f t="shared" si="70"/>
        <v>0</v>
      </c>
    </row>
    <row r="842" spans="1:36" x14ac:dyDescent="0.3">
      <c r="A842" s="192">
        <v>5831</v>
      </c>
      <c r="B842" s="192">
        <v>99</v>
      </c>
      <c r="C842" s="192">
        <v>0</v>
      </c>
      <c r="D842" s="192" t="s">
        <v>1699</v>
      </c>
      <c r="E842" s="192">
        <v>6203734</v>
      </c>
      <c r="F842" s="192" t="s">
        <v>1860</v>
      </c>
      <c r="G842" s="290">
        <v>0.7</v>
      </c>
      <c r="H842" s="192">
        <v>4635.08</v>
      </c>
      <c r="I842" s="192">
        <v>0</v>
      </c>
      <c r="J842" s="192">
        <v>0</v>
      </c>
      <c r="K842" s="192">
        <v>0</v>
      </c>
      <c r="L842" s="192">
        <v>221.61</v>
      </c>
      <c r="M842" s="192">
        <v>0</v>
      </c>
      <c r="N842" s="192">
        <v>252</v>
      </c>
      <c r="O842" s="192">
        <v>5108.6899999999996</v>
      </c>
      <c r="P842" s="192">
        <v>0</v>
      </c>
      <c r="Q842" s="192">
        <v>0</v>
      </c>
      <c r="R842" s="192">
        <v>0</v>
      </c>
      <c r="S842" s="285">
        <f t="shared" si="69"/>
        <v>0.69999999999999984</v>
      </c>
      <c r="T842" s="192">
        <v>0</v>
      </c>
      <c r="U842" s="291">
        <v>5108.6899999999996</v>
      </c>
      <c r="V842" s="291">
        <v>5108.6899999999996</v>
      </c>
      <c r="W842" s="292">
        <v>61304.28</v>
      </c>
      <c r="X842" s="292">
        <v>61304.28</v>
      </c>
      <c r="Y842" s="292">
        <v>61304.28</v>
      </c>
      <c r="Z842" s="292">
        <v>74793.06</v>
      </c>
      <c r="AA842" s="290">
        <v>76426.140779999987</v>
      </c>
      <c r="AB842" s="285">
        <v>75828.477899999998</v>
      </c>
      <c r="AC842" s="290">
        <v>5491.84</v>
      </c>
      <c r="AD842" s="192">
        <v>12</v>
      </c>
      <c r="AE842" s="290">
        <v>5108.6899999999996</v>
      </c>
      <c r="AF842" s="194">
        <v>71010.77</v>
      </c>
      <c r="AG842" s="215"/>
      <c r="AJ842" s="388">
        <f t="shared" si="70"/>
        <v>0</v>
      </c>
    </row>
    <row r="843" spans="1:36" x14ac:dyDescent="0.3">
      <c r="A843" s="192">
        <v>5831</v>
      </c>
      <c r="B843" s="192">
        <v>99</v>
      </c>
      <c r="C843" s="192">
        <v>0</v>
      </c>
      <c r="D843" s="192" t="s">
        <v>1699</v>
      </c>
      <c r="E843" s="192">
        <v>6205034</v>
      </c>
      <c r="F843" s="192" t="s">
        <v>1861</v>
      </c>
      <c r="G843" s="290">
        <v>0.7</v>
      </c>
      <c r="H843" s="192">
        <v>30865.279999999999</v>
      </c>
      <c r="I843" s="192">
        <v>0</v>
      </c>
      <c r="J843" s="192">
        <v>0</v>
      </c>
      <c r="K843" s="192">
        <v>0</v>
      </c>
      <c r="L843" s="192">
        <v>0</v>
      </c>
      <c r="M843" s="192">
        <v>0</v>
      </c>
      <c r="N843" s="192">
        <v>330</v>
      </c>
      <c r="O843" s="192">
        <v>31195.279999999999</v>
      </c>
      <c r="P843" s="192">
        <v>0</v>
      </c>
      <c r="Q843" s="192">
        <v>2350.9</v>
      </c>
      <c r="R843" s="192">
        <v>0</v>
      </c>
      <c r="S843" s="285">
        <f t="shared" si="69"/>
        <v>0.69999999999999984</v>
      </c>
      <c r="T843" s="192">
        <v>0</v>
      </c>
      <c r="U843" s="291">
        <v>33546.18</v>
      </c>
      <c r="V843" s="291">
        <v>33546.18</v>
      </c>
      <c r="W843" s="292">
        <v>402419.16000000003</v>
      </c>
      <c r="X843" s="292">
        <v>402554.16000000003</v>
      </c>
      <c r="Y843" s="292">
        <v>402464.16000000003</v>
      </c>
      <c r="Z843" s="292">
        <v>403162.3</v>
      </c>
      <c r="AA843" s="290">
        <v>412436.51624999999</v>
      </c>
      <c r="AB843" s="285">
        <v>409211.20624999999</v>
      </c>
      <c r="AC843" s="290">
        <v>33534.93</v>
      </c>
      <c r="AD843" s="192">
        <v>12</v>
      </c>
      <c r="AE843" s="290">
        <v>33546.18</v>
      </c>
      <c r="AF843" s="194">
        <v>435965.34</v>
      </c>
      <c r="AG843" s="215"/>
      <c r="AJ843" s="388">
        <f t="shared" si="70"/>
        <v>0</v>
      </c>
    </row>
    <row r="844" spans="1:36" x14ac:dyDescent="0.3">
      <c r="A844" s="192">
        <v>5831</v>
      </c>
      <c r="B844" s="192">
        <v>99</v>
      </c>
      <c r="C844" s="192">
        <v>0</v>
      </c>
      <c r="D844" s="192" t="s">
        <v>1699</v>
      </c>
      <c r="E844" s="192">
        <v>6205035</v>
      </c>
      <c r="F844" s="192" t="s">
        <v>1862</v>
      </c>
      <c r="G844" s="290">
        <v>0.46</v>
      </c>
      <c r="H844" s="192">
        <v>2827.11</v>
      </c>
      <c r="I844" s="192">
        <v>0</v>
      </c>
      <c r="J844" s="192">
        <v>0</v>
      </c>
      <c r="K844" s="192">
        <v>0</v>
      </c>
      <c r="L844" s="192">
        <v>106.67</v>
      </c>
      <c r="M844" s="192">
        <v>0</v>
      </c>
      <c r="N844" s="192">
        <v>0</v>
      </c>
      <c r="O844" s="192">
        <v>2933.78</v>
      </c>
      <c r="P844" s="192">
        <v>0</v>
      </c>
      <c r="Q844" s="192">
        <v>231.28</v>
      </c>
      <c r="R844" s="192">
        <v>0</v>
      </c>
      <c r="S844" s="285">
        <f t="shared" si="69"/>
        <v>0.46</v>
      </c>
      <c r="T844" s="192">
        <v>0</v>
      </c>
      <c r="U844" s="291">
        <v>3165.06</v>
      </c>
      <c r="V844" s="291">
        <v>3165.06</v>
      </c>
      <c r="W844" s="292">
        <v>37845.72</v>
      </c>
      <c r="X844" s="292">
        <v>37980.720000000001</v>
      </c>
      <c r="Y844" s="292">
        <v>37890.720000000001</v>
      </c>
      <c r="Z844" s="292">
        <v>43735.73</v>
      </c>
      <c r="AA844" s="290">
        <v>44741.651789999989</v>
      </c>
      <c r="AB844" s="285">
        <v>44391.765949999994</v>
      </c>
      <c r="AC844" s="290">
        <v>3153.81</v>
      </c>
      <c r="AD844" s="192">
        <v>12</v>
      </c>
      <c r="AE844" s="290">
        <v>3165.06</v>
      </c>
      <c r="AF844" s="194">
        <v>41010.78</v>
      </c>
      <c r="AG844" s="215"/>
      <c r="AJ844" s="388">
        <f t="shared" si="70"/>
        <v>0</v>
      </c>
    </row>
    <row r="845" spans="1:36" x14ac:dyDescent="0.3">
      <c r="A845" s="192">
        <v>5831</v>
      </c>
      <c r="B845" s="192">
        <v>99</v>
      </c>
      <c r="C845" s="192">
        <v>0</v>
      </c>
      <c r="D845" s="192" t="s">
        <v>1699</v>
      </c>
      <c r="E845" s="192">
        <v>6205404</v>
      </c>
      <c r="F845" s="192" t="s">
        <v>1863</v>
      </c>
      <c r="G845" s="290">
        <v>0.29499999999999998</v>
      </c>
      <c r="H845" s="192">
        <v>1738.68</v>
      </c>
      <c r="I845" s="192">
        <v>0</v>
      </c>
      <c r="J845" s="192">
        <v>0</v>
      </c>
      <c r="K845" s="192">
        <v>0</v>
      </c>
      <c r="L845" s="192">
        <v>43.21</v>
      </c>
      <c r="M845" s="192">
        <v>0</v>
      </c>
      <c r="N845" s="192">
        <v>124</v>
      </c>
      <c r="O845" s="192">
        <v>1905.89</v>
      </c>
      <c r="P845" s="192">
        <v>0</v>
      </c>
      <c r="Q845" s="192">
        <v>154.19</v>
      </c>
      <c r="R845" s="192">
        <v>0</v>
      </c>
      <c r="S845" s="285">
        <f t="shared" si="69"/>
        <v>0.29499999999999998</v>
      </c>
      <c r="T845" s="192">
        <v>0</v>
      </c>
      <c r="U845" s="291">
        <v>2060.08</v>
      </c>
      <c r="V845" s="291">
        <v>2060.08</v>
      </c>
      <c r="W845" s="292">
        <v>24585.96</v>
      </c>
      <c r="X845" s="292">
        <v>24720.959999999999</v>
      </c>
      <c r="Y845" s="292">
        <v>24630.959999999999</v>
      </c>
      <c r="Z845" s="292">
        <v>26814.46</v>
      </c>
      <c r="AA845" s="290">
        <v>27431.192579999995</v>
      </c>
      <c r="AB845" s="285">
        <v>27216.676899999995</v>
      </c>
      <c r="AC845" s="290">
        <v>2048.83</v>
      </c>
      <c r="AD845" s="192">
        <v>12</v>
      </c>
      <c r="AE845" s="290">
        <v>2060.08</v>
      </c>
      <c r="AF845" s="194">
        <v>26646.04</v>
      </c>
      <c r="AG845" s="215"/>
      <c r="AJ845" s="388">
        <f t="shared" si="70"/>
        <v>0</v>
      </c>
    </row>
    <row r="846" spans="1:36" x14ac:dyDescent="0.3">
      <c r="A846" s="192">
        <v>5831</v>
      </c>
      <c r="B846" s="192">
        <v>99</v>
      </c>
      <c r="C846" s="192">
        <v>0</v>
      </c>
      <c r="D846" s="192" t="s">
        <v>1699</v>
      </c>
      <c r="E846" s="192">
        <v>6206616</v>
      </c>
      <c r="F846" s="192" t="s">
        <v>1864</v>
      </c>
      <c r="G846" s="290">
        <v>0.7</v>
      </c>
      <c r="H846" s="192">
        <v>4536.33</v>
      </c>
      <c r="I846" s="192">
        <v>34</v>
      </c>
      <c r="J846" s="192">
        <v>0</v>
      </c>
      <c r="K846" s="192">
        <v>0</v>
      </c>
      <c r="L846" s="192">
        <v>127.15</v>
      </c>
      <c r="M846" s="192">
        <v>0</v>
      </c>
      <c r="N846" s="192">
        <v>0</v>
      </c>
      <c r="O846" s="192">
        <v>4697.4799999999996</v>
      </c>
      <c r="P846" s="192">
        <v>0</v>
      </c>
      <c r="Q846" s="192">
        <v>363.56</v>
      </c>
      <c r="R846" s="192">
        <v>0</v>
      </c>
      <c r="S846" s="285">
        <f t="shared" si="69"/>
        <v>0.69999999999999984</v>
      </c>
      <c r="T846" s="192">
        <v>0</v>
      </c>
      <c r="U846" s="291">
        <v>5061.04</v>
      </c>
      <c r="V846" s="291">
        <v>5061.04</v>
      </c>
      <c r="W846" s="292">
        <v>60597.479999999996</v>
      </c>
      <c r="X846" s="292">
        <v>60732.479999999996</v>
      </c>
      <c r="Y846" s="292">
        <v>60642.479999999996</v>
      </c>
      <c r="Z846" s="292">
        <v>65679.48</v>
      </c>
      <c r="AA846" s="290">
        <v>67190.108039999992</v>
      </c>
      <c r="AB846" s="285">
        <v>66664.672199999986</v>
      </c>
      <c r="AC846" s="290">
        <v>5049.79</v>
      </c>
      <c r="AD846" s="192">
        <v>12</v>
      </c>
      <c r="AE846" s="290">
        <v>5061.04</v>
      </c>
      <c r="AF846" s="194">
        <v>65658.51999999999</v>
      </c>
      <c r="AG846" s="215"/>
      <c r="AJ846" s="388">
        <f t="shared" si="70"/>
        <v>0</v>
      </c>
    </row>
    <row r="847" spans="1:36" x14ac:dyDescent="0.3">
      <c r="A847" s="192">
        <v>5831</v>
      </c>
      <c r="B847" s="192">
        <v>99</v>
      </c>
      <c r="C847" s="192">
        <v>0</v>
      </c>
      <c r="D847" s="192" t="s">
        <v>1699</v>
      </c>
      <c r="E847" s="192">
        <v>6211683</v>
      </c>
      <c r="F847" s="192" t="s">
        <v>1865</v>
      </c>
      <c r="G847" s="290">
        <v>0.45600000000000002</v>
      </c>
      <c r="H847" s="192">
        <v>2784.92</v>
      </c>
      <c r="I847" s="192">
        <v>0</v>
      </c>
      <c r="J847" s="192">
        <v>0</v>
      </c>
      <c r="K847" s="192">
        <v>0</v>
      </c>
      <c r="L847" s="192">
        <v>167.99</v>
      </c>
      <c r="M847" s="192">
        <v>0</v>
      </c>
      <c r="N847" s="192">
        <v>0</v>
      </c>
      <c r="O847" s="192">
        <v>2952.91</v>
      </c>
      <c r="P847" s="192">
        <v>0</v>
      </c>
      <c r="Q847" s="192">
        <v>232.72</v>
      </c>
      <c r="R847" s="192">
        <v>0</v>
      </c>
      <c r="S847" s="285">
        <f t="shared" si="69"/>
        <v>0.45600000000000002</v>
      </c>
      <c r="T847" s="192">
        <v>0</v>
      </c>
      <c r="U847" s="291">
        <v>3185.63</v>
      </c>
      <c r="V847" s="291">
        <v>3185.63</v>
      </c>
      <c r="W847" s="292">
        <v>38092.559999999998</v>
      </c>
      <c r="X847" s="292">
        <v>38227.56</v>
      </c>
      <c r="Y847" s="292">
        <v>38137.56</v>
      </c>
      <c r="Z847" s="292">
        <v>41360.400000000001</v>
      </c>
      <c r="AA847" s="290">
        <v>42311.689199999993</v>
      </c>
      <c r="AB847" s="285">
        <v>41980.80599999999</v>
      </c>
      <c r="AC847" s="290">
        <v>3174.38</v>
      </c>
      <c r="AD847" s="192">
        <v>12</v>
      </c>
      <c r="AE847" s="290">
        <v>3185.63</v>
      </c>
      <c r="AF847" s="194">
        <v>41278.189999999995</v>
      </c>
      <c r="AG847" s="215"/>
      <c r="AJ847" s="388">
        <f t="shared" si="70"/>
        <v>0</v>
      </c>
    </row>
    <row r="848" spans="1:36" x14ac:dyDescent="0.3">
      <c r="A848" s="192">
        <v>5831</v>
      </c>
      <c r="B848" s="192">
        <v>99</v>
      </c>
      <c r="C848" s="192">
        <v>0</v>
      </c>
      <c r="D848" s="192" t="s">
        <v>1699</v>
      </c>
      <c r="E848" s="192">
        <v>6211717</v>
      </c>
      <c r="F848" s="192" t="s">
        <v>1866</v>
      </c>
      <c r="G848" s="290">
        <v>0.34799999999999998</v>
      </c>
      <c r="H848" s="192">
        <v>2422.73</v>
      </c>
      <c r="I848" s="192">
        <v>64.87</v>
      </c>
      <c r="J848" s="192">
        <v>0</v>
      </c>
      <c r="K848" s="192">
        <v>0</v>
      </c>
      <c r="L848" s="192">
        <v>91.19</v>
      </c>
      <c r="M848" s="192">
        <v>0</v>
      </c>
      <c r="N848" s="192">
        <v>0</v>
      </c>
      <c r="O848" s="192">
        <v>2578.79</v>
      </c>
      <c r="P848" s="192">
        <v>0</v>
      </c>
      <c r="Q848" s="192">
        <v>0</v>
      </c>
      <c r="R848" s="192">
        <v>0</v>
      </c>
      <c r="S848" s="285">
        <f t="shared" si="69"/>
        <v>0.34800000000000003</v>
      </c>
      <c r="T848" s="192">
        <v>0</v>
      </c>
      <c r="U848" s="291">
        <v>2578.79</v>
      </c>
      <c r="V848" s="291">
        <v>2578.79</v>
      </c>
      <c r="W848" s="292">
        <v>30945.48</v>
      </c>
      <c r="X848" s="292">
        <v>30945.48</v>
      </c>
      <c r="Y848" s="292">
        <v>30945.48</v>
      </c>
      <c r="Z848" s="292">
        <v>35692.22</v>
      </c>
      <c r="AA848" s="290">
        <v>36513.141059999994</v>
      </c>
      <c r="AB848" s="285">
        <v>36227.603299999995</v>
      </c>
      <c r="AC848" s="290">
        <v>2772.2</v>
      </c>
      <c r="AD848" s="192">
        <v>12</v>
      </c>
      <c r="AE848" s="290">
        <v>2578.79</v>
      </c>
      <c r="AF848" s="194">
        <v>35845.189999999995</v>
      </c>
      <c r="AG848" s="215"/>
      <c r="AJ848" s="388">
        <f t="shared" si="70"/>
        <v>0</v>
      </c>
    </row>
    <row r="849" spans="1:36" x14ac:dyDescent="0.3">
      <c r="A849" s="192">
        <v>5831</v>
      </c>
      <c r="B849" s="192">
        <v>99</v>
      </c>
      <c r="C849" s="192">
        <v>0</v>
      </c>
      <c r="D849" s="192" t="s">
        <v>1699</v>
      </c>
      <c r="E849" s="192">
        <v>6212822</v>
      </c>
      <c r="F849" s="192" t="s">
        <v>1867</v>
      </c>
      <c r="G849" s="290">
        <v>0.33</v>
      </c>
      <c r="H849" s="192">
        <v>1982.6</v>
      </c>
      <c r="I849" s="192">
        <v>0</v>
      </c>
      <c r="J849" s="192">
        <v>0</v>
      </c>
      <c r="K849" s="192">
        <v>0</v>
      </c>
      <c r="L849" s="192">
        <v>296.11</v>
      </c>
      <c r="M849" s="192">
        <v>0</v>
      </c>
      <c r="N849" s="192">
        <v>0</v>
      </c>
      <c r="O849" s="192">
        <v>2278.71</v>
      </c>
      <c r="P849" s="192">
        <v>0</v>
      </c>
      <c r="Q849" s="192">
        <v>0</v>
      </c>
      <c r="R849" s="192">
        <v>0</v>
      </c>
      <c r="S849" s="285">
        <f t="shared" si="69"/>
        <v>0.33</v>
      </c>
      <c r="T849" s="192">
        <v>0</v>
      </c>
      <c r="U849" s="291">
        <v>2278.71</v>
      </c>
      <c r="V849" s="291">
        <v>2278.71</v>
      </c>
      <c r="W849" s="292">
        <v>27344.52</v>
      </c>
      <c r="X849" s="292">
        <v>27344.52</v>
      </c>
      <c r="Y849" s="292">
        <v>27344.52</v>
      </c>
      <c r="Z849" s="292">
        <v>29984.16</v>
      </c>
      <c r="AA849" s="290">
        <v>30673.795679999996</v>
      </c>
      <c r="AB849" s="285">
        <v>30433.922399999996</v>
      </c>
      <c r="AC849" s="290">
        <v>2278.71</v>
      </c>
      <c r="AD849" s="192">
        <v>12</v>
      </c>
      <c r="AE849" s="290">
        <v>2278.71</v>
      </c>
      <c r="AF849" s="194">
        <v>29623.23</v>
      </c>
      <c r="AG849" s="215"/>
      <c r="AJ849" s="388">
        <f t="shared" si="70"/>
        <v>0</v>
      </c>
    </row>
    <row r="850" spans="1:36" x14ac:dyDescent="0.3">
      <c r="A850" s="192">
        <v>5831</v>
      </c>
      <c r="B850" s="192">
        <v>99</v>
      </c>
      <c r="C850" s="192">
        <v>0</v>
      </c>
      <c r="D850" s="192" t="s">
        <v>1699</v>
      </c>
      <c r="E850" s="192">
        <v>6212872</v>
      </c>
      <c r="F850" s="192" t="s">
        <v>1868</v>
      </c>
      <c r="G850" s="290">
        <v>0.4123</v>
      </c>
      <c r="H850" s="192">
        <v>2660.93</v>
      </c>
      <c r="I850" s="192">
        <v>0</v>
      </c>
      <c r="J850" s="192">
        <v>0</v>
      </c>
      <c r="K850" s="192">
        <v>0</v>
      </c>
      <c r="L850" s="192">
        <v>168.98</v>
      </c>
      <c r="M850" s="192">
        <v>0</v>
      </c>
      <c r="N850" s="192">
        <v>91</v>
      </c>
      <c r="O850" s="192">
        <v>2920.91</v>
      </c>
      <c r="P850" s="192">
        <v>0</v>
      </c>
      <c r="Q850" s="192">
        <v>230.32</v>
      </c>
      <c r="R850" s="192">
        <v>0</v>
      </c>
      <c r="S850" s="285">
        <f t="shared" si="69"/>
        <v>0.41229999999999994</v>
      </c>
      <c r="T850" s="192">
        <v>0</v>
      </c>
      <c r="U850" s="291">
        <v>3151.23</v>
      </c>
      <c r="V850" s="291">
        <v>3151.23</v>
      </c>
      <c r="W850" s="292">
        <v>37679.760000000002</v>
      </c>
      <c r="X850" s="292">
        <v>37814.76</v>
      </c>
      <c r="Y850" s="292">
        <v>37724.76</v>
      </c>
      <c r="Z850" s="292">
        <v>41237.4</v>
      </c>
      <c r="AA850" s="290">
        <v>42185.860199999996</v>
      </c>
      <c r="AB850" s="285">
        <v>41855.960999999996</v>
      </c>
      <c r="AC850" s="290">
        <v>3139.98</v>
      </c>
      <c r="AD850" s="192">
        <v>12</v>
      </c>
      <c r="AE850" s="290">
        <v>3151.23</v>
      </c>
      <c r="AF850" s="194">
        <v>40830.990000000005</v>
      </c>
      <c r="AG850" s="215"/>
      <c r="AJ850" s="388">
        <f t="shared" si="70"/>
        <v>0</v>
      </c>
    </row>
    <row r="851" spans="1:36" x14ac:dyDescent="0.3">
      <c r="A851" s="192">
        <v>5831</v>
      </c>
      <c r="B851" s="192">
        <v>99</v>
      </c>
      <c r="C851" s="192">
        <v>0</v>
      </c>
      <c r="D851" s="192" t="s">
        <v>1699</v>
      </c>
      <c r="E851" s="192">
        <v>6218981</v>
      </c>
      <c r="F851" s="192" t="s">
        <v>1869</v>
      </c>
      <c r="G851" s="290">
        <v>0.42</v>
      </c>
      <c r="H851" s="192">
        <v>2550.52</v>
      </c>
      <c r="I851" s="192">
        <v>0</v>
      </c>
      <c r="J851" s="192">
        <v>0</v>
      </c>
      <c r="K851" s="192">
        <v>0</v>
      </c>
      <c r="L851" s="192">
        <v>411.95</v>
      </c>
      <c r="M851" s="192">
        <v>0</v>
      </c>
      <c r="N851" s="192">
        <v>0</v>
      </c>
      <c r="O851" s="192">
        <v>2962.47</v>
      </c>
      <c r="P851" s="192">
        <v>0</v>
      </c>
      <c r="Q851" s="192">
        <v>233.44</v>
      </c>
      <c r="R851" s="192">
        <v>0</v>
      </c>
      <c r="S851" s="285">
        <f t="shared" si="69"/>
        <v>0.42</v>
      </c>
      <c r="T851" s="192">
        <v>0</v>
      </c>
      <c r="U851" s="291">
        <v>3195.91</v>
      </c>
      <c r="V851" s="291">
        <v>3195.91</v>
      </c>
      <c r="W851" s="292">
        <v>38215.919999999998</v>
      </c>
      <c r="X851" s="292">
        <v>38350.92</v>
      </c>
      <c r="Y851" s="292">
        <v>38260.92</v>
      </c>
      <c r="Z851" s="292">
        <v>41371.269999999997</v>
      </c>
      <c r="AA851" s="290">
        <v>42322.809209999992</v>
      </c>
      <c r="AB851" s="285">
        <v>41991.839049999995</v>
      </c>
      <c r="AC851" s="290">
        <v>3184.66</v>
      </c>
      <c r="AD851" s="192">
        <v>12</v>
      </c>
      <c r="AE851" s="290">
        <v>3195.91</v>
      </c>
      <c r="AF851" s="194">
        <v>41411.83</v>
      </c>
      <c r="AG851" s="215"/>
      <c r="AJ851" s="388">
        <f t="shared" si="70"/>
        <v>0</v>
      </c>
    </row>
    <row r="852" spans="1:36" x14ac:dyDescent="0.3">
      <c r="A852" s="192">
        <v>5831</v>
      </c>
      <c r="B852" s="192">
        <v>99</v>
      </c>
      <c r="C852" s="192">
        <v>0</v>
      </c>
      <c r="D852" s="192" t="s">
        <v>1699</v>
      </c>
      <c r="E852" s="192">
        <v>6222782</v>
      </c>
      <c r="F852" s="192" t="s">
        <v>1870</v>
      </c>
      <c r="G852" s="290">
        <v>0.5</v>
      </c>
      <c r="H852" s="192">
        <v>2891.7</v>
      </c>
      <c r="I852" s="192">
        <v>0</v>
      </c>
      <c r="J852" s="192">
        <v>0</v>
      </c>
      <c r="K852" s="192">
        <v>0</v>
      </c>
      <c r="L852" s="192">
        <v>265.39</v>
      </c>
      <c r="M852" s="192">
        <v>0</v>
      </c>
      <c r="N852" s="192">
        <v>0</v>
      </c>
      <c r="O852" s="192">
        <v>3157.09</v>
      </c>
      <c r="P852" s="192">
        <v>0</v>
      </c>
      <c r="Q852" s="192">
        <v>248.03</v>
      </c>
      <c r="R852" s="192">
        <v>0</v>
      </c>
      <c r="S852" s="285">
        <f t="shared" si="69"/>
        <v>0.5</v>
      </c>
      <c r="T852" s="192">
        <v>0</v>
      </c>
      <c r="U852" s="291">
        <v>3405.12</v>
      </c>
      <c r="V852" s="291">
        <v>3405.12</v>
      </c>
      <c r="W852" s="292">
        <v>40726.44</v>
      </c>
      <c r="X852" s="292">
        <v>40861.440000000002</v>
      </c>
      <c r="Y852" s="292">
        <v>40771.440000000002</v>
      </c>
      <c r="Z852" s="292">
        <v>43942.65</v>
      </c>
      <c r="AA852" s="290">
        <v>44953.330949999996</v>
      </c>
      <c r="AB852" s="285">
        <v>44601.789749999996</v>
      </c>
      <c r="AC852" s="290">
        <v>3393.87</v>
      </c>
      <c r="AD852" s="192">
        <v>12</v>
      </c>
      <c r="AE852" s="290">
        <v>3405.12</v>
      </c>
      <c r="AF852" s="194">
        <v>44131.560000000005</v>
      </c>
      <c r="AG852" s="215"/>
      <c r="AJ852" s="388">
        <f t="shared" si="70"/>
        <v>0</v>
      </c>
    </row>
    <row r="853" spans="1:36" x14ac:dyDescent="0.3">
      <c r="A853" s="192">
        <v>5831</v>
      </c>
      <c r="B853" s="192">
        <v>99</v>
      </c>
      <c r="C853" s="192">
        <v>0</v>
      </c>
      <c r="D853" s="192" t="s">
        <v>1699</v>
      </c>
      <c r="E853" s="192">
        <v>6223043</v>
      </c>
      <c r="F853" s="192" t="s">
        <v>1871</v>
      </c>
      <c r="G853" s="290">
        <v>0.65</v>
      </c>
      <c r="H853" s="192">
        <v>9894.7900000000009</v>
      </c>
      <c r="I853" s="192">
        <v>4074.52</v>
      </c>
      <c r="J853" s="192">
        <v>0</v>
      </c>
      <c r="K853" s="192">
        <v>0</v>
      </c>
      <c r="L853" s="192">
        <v>660.16</v>
      </c>
      <c r="M853" s="192">
        <v>0</v>
      </c>
      <c r="N853" s="192">
        <v>0</v>
      </c>
      <c r="O853" s="192">
        <v>14629.47</v>
      </c>
      <c r="P853" s="192">
        <v>0</v>
      </c>
      <c r="Q853" s="192">
        <v>1108.46</v>
      </c>
      <c r="R853" s="192">
        <v>0</v>
      </c>
      <c r="S853" s="285">
        <f t="shared" si="69"/>
        <v>0.65</v>
      </c>
      <c r="T853" s="192">
        <v>0</v>
      </c>
      <c r="U853" s="291">
        <v>15737.93</v>
      </c>
      <c r="V853" s="291">
        <v>15737.93</v>
      </c>
      <c r="W853" s="292">
        <v>188720.16</v>
      </c>
      <c r="X853" s="292">
        <v>188855.16</v>
      </c>
      <c r="Y853" s="292">
        <v>188765.16</v>
      </c>
      <c r="Z853" s="292">
        <v>203017.92</v>
      </c>
      <c r="AA853" s="290">
        <v>207687.33215999996</v>
      </c>
      <c r="AB853" s="285">
        <v>206063.18879999997</v>
      </c>
      <c r="AC853" s="290">
        <v>15726.68</v>
      </c>
      <c r="AD853" s="192">
        <v>12</v>
      </c>
      <c r="AE853" s="290">
        <v>15737.93</v>
      </c>
      <c r="AF853" s="194">
        <v>204458.09</v>
      </c>
      <c r="AG853" s="215"/>
      <c r="AJ853" s="388">
        <f t="shared" si="70"/>
        <v>0</v>
      </c>
    </row>
    <row r="854" spans="1:36" x14ac:dyDescent="0.3">
      <c r="A854" s="192">
        <v>5831</v>
      </c>
      <c r="B854" s="192">
        <v>99</v>
      </c>
      <c r="C854" s="192">
        <v>0</v>
      </c>
      <c r="D854" s="192" t="s">
        <v>1699</v>
      </c>
      <c r="E854" s="192">
        <v>6223123</v>
      </c>
      <c r="F854" s="192" t="s">
        <v>1872</v>
      </c>
      <c r="G854" s="290">
        <v>0.42</v>
      </c>
      <c r="H854" s="192">
        <v>2856.74</v>
      </c>
      <c r="I854" s="192">
        <v>0</v>
      </c>
      <c r="J854" s="192">
        <v>0</v>
      </c>
      <c r="K854" s="192">
        <v>0</v>
      </c>
      <c r="L854" s="192">
        <v>127.36</v>
      </c>
      <c r="M854" s="192">
        <v>0</v>
      </c>
      <c r="N854" s="192">
        <v>0</v>
      </c>
      <c r="O854" s="192">
        <v>2984.1</v>
      </c>
      <c r="P854" s="192">
        <v>0</v>
      </c>
      <c r="Q854" s="192">
        <v>0</v>
      </c>
      <c r="R854" s="192">
        <v>0</v>
      </c>
      <c r="S854" s="285">
        <f t="shared" si="69"/>
        <v>0.42</v>
      </c>
      <c r="T854" s="192">
        <v>0</v>
      </c>
      <c r="U854" s="291">
        <v>2984.1</v>
      </c>
      <c r="V854" s="291">
        <v>2984.1</v>
      </c>
      <c r="W854" s="292">
        <v>35809.199999999997</v>
      </c>
      <c r="X854" s="292">
        <v>35809.199999999997</v>
      </c>
      <c r="Y854" s="292">
        <v>35809.199999999997</v>
      </c>
      <c r="Z854" s="292">
        <v>39213.39</v>
      </c>
      <c r="AA854" s="290">
        <v>40115.297969999992</v>
      </c>
      <c r="AB854" s="285">
        <v>39801.590849999993</v>
      </c>
      <c r="AC854" s="290">
        <v>2984.1</v>
      </c>
      <c r="AD854" s="192">
        <v>12</v>
      </c>
      <c r="AE854" s="290">
        <v>2984.1</v>
      </c>
      <c r="AF854" s="194">
        <v>38793.299999999996</v>
      </c>
      <c r="AG854" s="215"/>
      <c r="AJ854" s="388">
        <f t="shared" si="70"/>
        <v>0</v>
      </c>
    </row>
    <row r="855" spans="1:36" x14ac:dyDescent="0.3">
      <c r="A855" s="192">
        <v>5831</v>
      </c>
      <c r="B855" s="192">
        <v>99</v>
      </c>
      <c r="C855" s="192">
        <v>0</v>
      </c>
      <c r="D855" s="192" t="s">
        <v>1699</v>
      </c>
      <c r="E855" s="192">
        <v>6223125</v>
      </c>
      <c r="F855" s="192" t="s">
        <v>1873</v>
      </c>
      <c r="G855" s="290">
        <v>0.4</v>
      </c>
      <c r="H855" s="192">
        <v>3560.17</v>
      </c>
      <c r="I855" s="192">
        <v>1371.5</v>
      </c>
      <c r="J855" s="192">
        <v>0</v>
      </c>
      <c r="K855" s="192">
        <v>0</v>
      </c>
      <c r="L855" s="192">
        <v>233.94</v>
      </c>
      <c r="M855" s="192">
        <v>0</v>
      </c>
      <c r="N855" s="192">
        <v>0</v>
      </c>
      <c r="O855" s="192">
        <v>5165.6099999999997</v>
      </c>
      <c r="P855" s="192">
        <v>0</v>
      </c>
      <c r="Q855" s="192">
        <v>0</v>
      </c>
      <c r="R855" s="192">
        <v>0</v>
      </c>
      <c r="S855" s="285">
        <f t="shared" si="69"/>
        <v>0.40000000000000008</v>
      </c>
      <c r="T855" s="192">
        <v>0</v>
      </c>
      <c r="U855" s="291">
        <v>5165.6099999999997</v>
      </c>
      <c r="V855" s="291">
        <v>5165.6099999999997</v>
      </c>
      <c r="W855" s="292">
        <v>61987.319999999992</v>
      </c>
      <c r="X855" s="292">
        <v>61987.319999999992</v>
      </c>
      <c r="Y855" s="292">
        <v>61987.319999999992</v>
      </c>
      <c r="Z855" s="292">
        <v>65320.24</v>
      </c>
      <c r="AA855" s="290">
        <v>66822.605519999997</v>
      </c>
      <c r="AB855" s="285">
        <v>66300.04359999999</v>
      </c>
      <c r="AC855" s="290">
        <v>5165.6099999999997</v>
      </c>
      <c r="AD855" s="192">
        <v>12</v>
      </c>
      <c r="AE855" s="290">
        <v>5165.6099999999997</v>
      </c>
      <c r="AF855" s="194">
        <v>67152.929999999993</v>
      </c>
      <c r="AG855" s="215"/>
      <c r="AJ855" s="388">
        <f t="shared" si="70"/>
        <v>0</v>
      </c>
    </row>
    <row r="856" spans="1:36" x14ac:dyDescent="0.3">
      <c r="A856" s="192">
        <v>5831</v>
      </c>
      <c r="B856" s="192">
        <v>99</v>
      </c>
      <c r="C856" s="192">
        <v>0</v>
      </c>
      <c r="D856" s="192" t="s">
        <v>1699</v>
      </c>
      <c r="E856" s="192">
        <v>6223231</v>
      </c>
      <c r="F856" s="192" t="s">
        <v>1874</v>
      </c>
      <c r="G856" s="290">
        <v>0.7</v>
      </c>
      <c r="H856" s="192">
        <v>4757.28</v>
      </c>
      <c r="I856" s="192">
        <v>1052.0999999999999</v>
      </c>
      <c r="J856" s="192">
        <v>0</v>
      </c>
      <c r="K856" s="192">
        <v>0</v>
      </c>
      <c r="L856" s="192">
        <v>430.3</v>
      </c>
      <c r="M856" s="192">
        <v>0</v>
      </c>
      <c r="N856" s="192">
        <v>0</v>
      </c>
      <c r="O856" s="192">
        <v>6239.68</v>
      </c>
      <c r="P856" s="192">
        <v>0</v>
      </c>
      <c r="Q856" s="192">
        <v>479.23</v>
      </c>
      <c r="R856" s="192">
        <v>0</v>
      </c>
      <c r="S856" s="285">
        <f t="shared" si="69"/>
        <v>0.69999999999999984</v>
      </c>
      <c r="T856" s="192">
        <v>0</v>
      </c>
      <c r="U856" s="291">
        <v>6718.91</v>
      </c>
      <c r="V856" s="291">
        <v>6718.91</v>
      </c>
      <c r="W856" s="292">
        <v>80491.92</v>
      </c>
      <c r="X856" s="292">
        <v>80626.92</v>
      </c>
      <c r="Y856" s="292">
        <v>80536.92</v>
      </c>
      <c r="Z856" s="292">
        <v>89707.81</v>
      </c>
      <c r="AA856" s="290">
        <v>91771.089629999988</v>
      </c>
      <c r="AB856" s="285">
        <v>91053.427149999989</v>
      </c>
      <c r="AC856" s="290">
        <v>6707.66</v>
      </c>
      <c r="AD856" s="192">
        <v>12</v>
      </c>
      <c r="AE856" s="290">
        <v>6718.91</v>
      </c>
      <c r="AF856" s="194">
        <v>87210.83</v>
      </c>
      <c r="AG856" s="215"/>
      <c r="AJ856" s="388">
        <f t="shared" si="70"/>
        <v>0</v>
      </c>
    </row>
    <row r="857" spans="1:36" x14ac:dyDescent="0.3">
      <c r="A857" s="192">
        <v>5831</v>
      </c>
      <c r="B857" s="192">
        <v>99</v>
      </c>
      <c r="C857" s="192">
        <v>0</v>
      </c>
      <c r="D857" s="192" t="s">
        <v>1699</v>
      </c>
      <c r="E857" s="192">
        <v>6223332</v>
      </c>
      <c r="F857" s="192" t="s">
        <v>1723</v>
      </c>
      <c r="G857" s="290">
        <v>0.32500000000000001</v>
      </c>
      <c r="H857" s="192">
        <v>1879</v>
      </c>
      <c r="I857" s="192">
        <v>0</v>
      </c>
      <c r="J857" s="192">
        <v>0</v>
      </c>
      <c r="K857" s="192">
        <v>0</v>
      </c>
      <c r="L857" s="192">
        <v>104.62</v>
      </c>
      <c r="M857" s="192">
        <v>0</v>
      </c>
      <c r="N857" s="192">
        <v>0</v>
      </c>
      <c r="O857" s="192">
        <v>1983.62</v>
      </c>
      <c r="P857" s="192">
        <v>0</v>
      </c>
      <c r="Q857" s="192">
        <v>0</v>
      </c>
      <c r="R857" s="192">
        <v>0</v>
      </c>
      <c r="S857" s="285">
        <f t="shared" si="69"/>
        <v>0.32500000000000001</v>
      </c>
      <c r="T857" s="192">
        <v>0</v>
      </c>
      <c r="U857" s="291">
        <v>1983.62</v>
      </c>
      <c r="V857" s="291">
        <v>1983.62</v>
      </c>
      <c r="W857" s="292">
        <v>23803.439999999999</v>
      </c>
      <c r="X857" s="292">
        <v>23803.439999999999</v>
      </c>
      <c r="Y857" s="292">
        <v>23803.439999999999</v>
      </c>
      <c r="Z857" s="292">
        <v>26223.59</v>
      </c>
      <c r="AA857" s="290">
        <v>26826.732569999996</v>
      </c>
      <c r="AB857" s="285">
        <v>26616.943849999996</v>
      </c>
      <c r="AC857" s="290">
        <v>1983.62</v>
      </c>
      <c r="AD857" s="192">
        <v>12</v>
      </c>
      <c r="AE857" s="290">
        <v>1983.62</v>
      </c>
      <c r="AF857" s="194">
        <v>25787.059999999998</v>
      </c>
      <c r="AG857" s="215"/>
      <c r="AJ857" s="388">
        <f t="shared" si="70"/>
        <v>0</v>
      </c>
    </row>
    <row r="858" spans="1:36" x14ac:dyDescent="0.3">
      <c r="A858" s="192">
        <v>5831</v>
      </c>
      <c r="B858" s="192">
        <v>99</v>
      </c>
      <c r="C858" s="192">
        <v>0</v>
      </c>
      <c r="D858" s="192" t="s">
        <v>1699</v>
      </c>
      <c r="E858" s="192">
        <v>6237115</v>
      </c>
      <c r="F858" s="192" t="s">
        <v>1875</v>
      </c>
      <c r="G858" s="290">
        <v>0.7</v>
      </c>
      <c r="H858" s="192">
        <v>5572.92</v>
      </c>
      <c r="I858" s="192">
        <v>69.25</v>
      </c>
      <c r="J858" s="192">
        <v>0</v>
      </c>
      <c r="K858" s="192">
        <v>0</v>
      </c>
      <c r="L858" s="192">
        <v>207.61</v>
      </c>
      <c r="M858" s="192">
        <v>0</v>
      </c>
      <c r="N858" s="192">
        <v>196</v>
      </c>
      <c r="O858" s="192">
        <v>6045.78</v>
      </c>
      <c r="P858" s="192">
        <v>0</v>
      </c>
      <c r="Q858" s="192">
        <v>464.68</v>
      </c>
      <c r="R858" s="192">
        <v>0</v>
      </c>
      <c r="S858" s="285">
        <f t="shared" si="69"/>
        <v>0.69999999999999984</v>
      </c>
      <c r="T858" s="192">
        <v>0</v>
      </c>
      <c r="U858" s="291">
        <v>6510.46</v>
      </c>
      <c r="V858" s="291">
        <v>6510.46</v>
      </c>
      <c r="W858" s="292">
        <v>77990.52</v>
      </c>
      <c r="X858" s="292">
        <v>78125.52</v>
      </c>
      <c r="Y858" s="292">
        <v>78035.520000000004</v>
      </c>
      <c r="Z858" s="292">
        <v>87534.6</v>
      </c>
      <c r="AA858" s="290">
        <v>89547.895799999998</v>
      </c>
      <c r="AB858" s="285">
        <v>88847.618999999992</v>
      </c>
      <c r="AC858" s="290">
        <v>6499.21</v>
      </c>
      <c r="AD858" s="192">
        <v>12</v>
      </c>
      <c r="AE858" s="290">
        <v>6510.46</v>
      </c>
      <c r="AF858" s="194">
        <v>84500.98000000001</v>
      </c>
      <c r="AG858" s="215"/>
      <c r="AJ858" s="388">
        <f t="shared" si="70"/>
        <v>0</v>
      </c>
    </row>
    <row r="859" spans="1:36" x14ac:dyDescent="0.3">
      <c r="A859" s="192">
        <v>5831</v>
      </c>
      <c r="B859" s="192">
        <v>99</v>
      </c>
      <c r="C859" s="192">
        <v>0</v>
      </c>
      <c r="D859" s="192" t="s">
        <v>1699</v>
      </c>
      <c r="E859" s="192">
        <v>6238636</v>
      </c>
      <c r="F859" s="192" t="s">
        <v>1876</v>
      </c>
      <c r="G859" s="290">
        <v>0.7</v>
      </c>
      <c r="H859" s="192">
        <v>7121.62</v>
      </c>
      <c r="I859" s="192">
        <v>1913.1</v>
      </c>
      <c r="J859" s="192">
        <v>0</v>
      </c>
      <c r="K859" s="192">
        <v>0</v>
      </c>
      <c r="L859" s="192">
        <v>276.08999999999997</v>
      </c>
      <c r="M859" s="192">
        <v>0</v>
      </c>
      <c r="N859" s="192">
        <v>0</v>
      </c>
      <c r="O859" s="192">
        <v>9310.81</v>
      </c>
      <c r="P859" s="192">
        <v>0</v>
      </c>
      <c r="Q859" s="192">
        <v>709.56</v>
      </c>
      <c r="R859" s="192">
        <v>0</v>
      </c>
      <c r="S859" s="285">
        <f t="shared" si="69"/>
        <v>0.69999999999999984</v>
      </c>
      <c r="T859" s="192">
        <v>0</v>
      </c>
      <c r="U859" s="291">
        <v>10020.370000000001</v>
      </c>
      <c r="V859" s="291">
        <v>10020.370000000001</v>
      </c>
      <c r="W859" s="292">
        <v>120109.44</v>
      </c>
      <c r="X859" s="292">
        <v>120244.44</v>
      </c>
      <c r="Y859" s="292">
        <v>120154.44</v>
      </c>
      <c r="Z859" s="292">
        <v>131971.13</v>
      </c>
      <c r="AA859" s="290">
        <v>135006.46599</v>
      </c>
      <c r="AB859" s="285">
        <v>133950.69694999998</v>
      </c>
      <c r="AC859" s="290">
        <v>10009.120000000001</v>
      </c>
      <c r="AD859" s="192">
        <v>12</v>
      </c>
      <c r="AE859" s="290">
        <v>10020.370000000001</v>
      </c>
      <c r="AF859" s="194">
        <v>130129.81</v>
      </c>
      <c r="AG859" s="215"/>
      <c r="AJ859" s="388">
        <f t="shared" si="70"/>
        <v>0</v>
      </c>
    </row>
    <row r="860" spans="1:36" x14ac:dyDescent="0.3">
      <c r="A860" s="192">
        <v>5831</v>
      </c>
      <c r="B860" s="192">
        <v>99</v>
      </c>
      <c r="C860" s="192">
        <v>0</v>
      </c>
      <c r="D860" s="192" t="s">
        <v>1699</v>
      </c>
      <c r="E860" s="192">
        <v>6238773</v>
      </c>
      <c r="F860" s="192" t="s">
        <v>1877</v>
      </c>
      <c r="G860" s="290">
        <v>0.39369999999999999</v>
      </c>
      <c r="H860" s="192">
        <v>2519.11</v>
      </c>
      <c r="I860" s="192">
        <v>0</v>
      </c>
      <c r="J860" s="192">
        <v>0</v>
      </c>
      <c r="K860" s="192">
        <v>0</v>
      </c>
      <c r="L860" s="192">
        <v>94.79</v>
      </c>
      <c r="M860" s="192">
        <v>0</v>
      </c>
      <c r="N860" s="192">
        <v>0</v>
      </c>
      <c r="O860" s="192">
        <v>2613.9</v>
      </c>
      <c r="P860" s="192">
        <v>0</v>
      </c>
      <c r="Q860" s="192">
        <v>0</v>
      </c>
      <c r="R860" s="192">
        <v>0</v>
      </c>
      <c r="S860" s="285">
        <f t="shared" si="69"/>
        <v>0.39369999999999999</v>
      </c>
      <c r="T860" s="192">
        <v>0</v>
      </c>
      <c r="U860" s="291">
        <v>2613.9</v>
      </c>
      <c r="V860" s="291">
        <v>2613.9</v>
      </c>
      <c r="W860" s="292">
        <v>31366.800000000003</v>
      </c>
      <c r="X860" s="292">
        <v>31366.800000000003</v>
      </c>
      <c r="Y860" s="292">
        <v>31366.800000000003</v>
      </c>
      <c r="Z860" s="292">
        <v>60204.58</v>
      </c>
      <c r="AA860" s="290">
        <v>61589.285339999995</v>
      </c>
      <c r="AB860" s="285">
        <v>61107.648699999998</v>
      </c>
      <c r="AC860" s="290">
        <v>4446.3599999999997</v>
      </c>
      <c r="AD860" s="192">
        <v>12</v>
      </c>
      <c r="AE860" s="290">
        <v>2613.9</v>
      </c>
      <c r="AF860" s="194">
        <v>55970.219999999994</v>
      </c>
      <c r="AG860" s="215"/>
      <c r="AJ860" s="388">
        <f t="shared" si="70"/>
        <v>0</v>
      </c>
    </row>
    <row r="861" spans="1:36" x14ac:dyDescent="0.3">
      <c r="A861" s="192">
        <v>5831</v>
      </c>
      <c r="B861" s="192">
        <v>99</v>
      </c>
      <c r="C861" s="192">
        <v>0</v>
      </c>
      <c r="D861" s="192" t="s">
        <v>1699</v>
      </c>
      <c r="E861" s="192">
        <v>6239905</v>
      </c>
      <c r="F861" s="192" t="s">
        <v>1878</v>
      </c>
      <c r="G861" s="290">
        <v>0.69</v>
      </c>
      <c r="H861" s="192">
        <v>5239.6000000000004</v>
      </c>
      <c r="I861" s="192">
        <v>0</v>
      </c>
      <c r="J861" s="192">
        <v>0</v>
      </c>
      <c r="K861" s="192">
        <v>0</v>
      </c>
      <c r="L861" s="192">
        <v>153.51</v>
      </c>
      <c r="M861" s="192">
        <v>0</v>
      </c>
      <c r="N861" s="192">
        <v>0</v>
      </c>
      <c r="O861" s="192">
        <v>5393.11</v>
      </c>
      <c r="P861" s="192">
        <v>0</v>
      </c>
      <c r="Q861" s="192">
        <v>415.73</v>
      </c>
      <c r="R861" s="192">
        <v>0</v>
      </c>
      <c r="S861" s="285">
        <f t="shared" si="69"/>
        <v>0.69</v>
      </c>
      <c r="T861" s="192">
        <v>0</v>
      </c>
      <c r="U861" s="291">
        <v>5808.84</v>
      </c>
      <c r="V861" s="291">
        <v>5808.84</v>
      </c>
      <c r="W861" s="292">
        <v>69571.08</v>
      </c>
      <c r="X861" s="292">
        <v>69706.080000000002</v>
      </c>
      <c r="Y861" s="292">
        <v>69616.08</v>
      </c>
      <c r="Z861" s="292">
        <v>79027.320000000007</v>
      </c>
      <c r="AA861" s="290">
        <v>80849.347259999995</v>
      </c>
      <c r="AB861" s="285">
        <v>80217.094299999982</v>
      </c>
      <c r="AC861" s="290">
        <v>5797.59</v>
      </c>
      <c r="AD861" s="192">
        <v>12</v>
      </c>
      <c r="AE861" s="290">
        <v>5808.84</v>
      </c>
      <c r="AF861" s="194">
        <v>75379.92</v>
      </c>
      <c r="AG861" s="215"/>
      <c r="AJ861" s="388">
        <f t="shared" si="70"/>
        <v>0</v>
      </c>
    </row>
    <row r="862" spans="1:36" x14ac:dyDescent="0.3">
      <c r="A862" s="192">
        <v>5831</v>
      </c>
      <c r="B862" s="192">
        <v>99</v>
      </c>
      <c r="C862" s="192">
        <v>0</v>
      </c>
      <c r="D862" s="192" t="s">
        <v>1699</v>
      </c>
      <c r="E862" s="192">
        <v>6251125</v>
      </c>
      <c r="F862" s="192" t="s">
        <v>1879</v>
      </c>
      <c r="G862" s="290">
        <v>0.28000000000000003</v>
      </c>
      <c r="H862" s="192">
        <v>1792.98</v>
      </c>
      <c r="I862" s="192">
        <v>0</v>
      </c>
      <c r="J862" s="192">
        <v>0</v>
      </c>
      <c r="K862" s="192">
        <v>0</v>
      </c>
      <c r="L862" s="192">
        <v>115.2</v>
      </c>
      <c r="M862" s="192">
        <v>0</v>
      </c>
      <c r="N862" s="192">
        <v>0</v>
      </c>
      <c r="O862" s="192">
        <v>1908.18</v>
      </c>
      <c r="P862" s="192">
        <v>0</v>
      </c>
      <c r="Q862" s="192">
        <v>0</v>
      </c>
      <c r="R862" s="192">
        <v>0</v>
      </c>
      <c r="S862" s="285">
        <f t="shared" ref="S862:S925" si="71">G862*AD862/$AG$1</f>
        <v>0.28000000000000003</v>
      </c>
      <c r="T862" s="192">
        <v>0</v>
      </c>
      <c r="U862" s="291">
        <v>1908.18</v>
      </c>
      <c r="V862" s="291">
        <v>1908.18</v>
      </c>
      <c r="W862" s="292">
        <v>22898.16</v>
      </c>
      <c r="X862" s="292">
        <v>22898.16</v>
      </c>
      <c r="Y862" s="292">
        <v>22898.16</v>
      </c>
      <c r="Z862" s="292">
        <v>25090.27</v>
      </c>
      <c r="AA862" s="290">
        <v>25667.34621</v>
      </c>
      <c r="AB862" s="285">
        <v>25466.624049999999</v>
      </c>
      <c r="AC862" s="290">
        <v>1908.18</v>
      </c>
      <c r="AD862" s="192">
        <v>12</v>
      </c>
      <c r="AE862" s="290">
        <v>1908.18</v>
      </c>
      <c r="AF862" s="194">
        <v>24806.34</v>
      </c>
      <c r="AG862" s="215"/>
      <c r="AJ862" s="388">
        <f t="shared" ref="AJ862:AJ925" si="72">G862-S862</f>
        <v>0</v>
      </c>
    </row>
    <row r="863" spans="1:36" x14ac:dyDescent="0.3">
      <c r="A863" s="192">
        <v>5831</v>
      </c>
      <c r="B863" s="192">
        <v>99</v>
      </c>
      <c r="C863" s="192">
        <v>0</v>
      </c>
      <c r="D863" s="192" t="s">
        <v>1699</v>
      </c>
      <c r="E863" s="192">
        <v>6264202</v>
      </c>
      <c r="F863" s="192" t="s">
        <v>1880</v>
      </c>
      <c r="G863" s="290">
        <v>0.318</v>
      </c>
      <c r="H863" s="192">
        <v>2029.56</v>
      </c>
      <c r="I863" s="192">
        <v>0</v>
      </c>
      <c r="J863" s="192">
        <v>0</v>
      </c>
      <c r="K863" s="192">
        <v>0</v>
      </c>
      <c r="L863" s="192">
        <v>77.44</v>
      </c>
      <c r="M863" s="192">
        <v>0</v>
      </c>
      <c r="N863" s="192">
        <v>0</v>
      </c>
      <c r="O863" s="192">
        <v>2107</v>
      </c>
      <c r="P863" s="192">
        <v>0</v>
      </c>
      <c r="Q863" s="192">
        <v>0</v>
      </c>
      <c r="R863" s="192">
        <v>0</v>
      </c>
      <c r="S863" s="285">
        <f t="shared" si="71"/>
        <v>0.318</v>
      </c>
      <c r="T863" s="192">
        <v>0</v>
      </c>
      <c r="U863" s="291">
        <v>2107</v>
      </c>
      <c r="V863" s="291">
        <v>2107</v>
      </c>
      <c r="W863" s="292">
        <v>25284</v>
      </c>
      <c r="X863" s="292">
        <v>25284</v>
      </c>
      <c r="Y863" s="292">
        <v>25284</v>
      </c>
      <c r="Z863" s="292">
        <v>28958.22</v>
      </c>
      <c r="AA863" s="290">
        <v>29624.259059999993</v>
      </c>
      <c r="AB863" s="285">
        <v>29392.593299999993</v>
      </c>
      <c r="AC863" s="290">
        <v>2107</v>
      </c>
      <c r="AD863" s="192">
        <v>12</v>
      </c>
      <c r="AE863" s="290">
        <v>2107</v>
      </c>
      <c r="AF863" s="194">
        <v>27391</v>
      </c>
      <c r="AG863" s="215"/>
      <c r="AJ863" s="388">
        <f t="shared" si="72"/>
        <v>0</v>
      </c>
    </row>
    <row r="864" spans="1:36" x14ac:dyDescent="0.3">
      <c r="A864" s="192">
        <v>5831</v>
      </c>
      <c r="B864" s="192">
        <v>99</v>
      </c>
      <c r="C864" s="192">
        <v>0</v>
      </c>
      <c r="D864" s="192" t="s">
        <v>1699</v>
      </c>
      <c r="E864" s="192">
        <v>6269707</v>
      </c>
      <c r="F864" s="192" t="s">
        <v>1881</v>
      </c>
      <c r="G864" s="290">
        <v>0.3</v>
      </c>
      <c r="H864" s="192">
        <v>2101.64</v>
      </c>
      <c r="I864" s="192">
        <v>0</v>
      </c>
      <c r="J864" s="192">
        <v>0</v>
      </c>
      <c r="K864" s="192">
        <v>0</v>
      </c>
      <c r="L864" s="192">
        <v>52.19</v>
      </c>
      <c r="M864" s="192">
        <v>0</v>
      </c>
      <c r="N864" s="192">
        <v>0</v>
      </c>
      <c r="O864" s="192">
        <v>2153.83</v>
      </c>
      <c r="P864" s="192">
        <v>0</v>
      </c>
      <c r="Q864" s="192">
        <v>0</v>
      </c>
      <c r="R864" s="192">
        <v>0</v>
      </c>
      <c r="S864" s="285">
        <f t="shared" si="71"/>
        <v>0.3</v>
      </c>
      <c r="T864" s="192">
        <v>0</v>
      </c>
      <c r="U864" s="291">
        <v>2153.83</v>
      </c>
      <c r="V864" s="291">
        <v>2153.83</v>
      </c>
      <c r="W864" s="292">
        <v>25845.96</v>
      </c>
      <c r="X864" s="292">
        <v>25845.96</v>
      </c>
      <c r="Y864" s="292">
        <v>25845.96</v>
      </c>
      <c r="Z864" s="292">
        <v>28238.73</v>
      </c>
      <c r="AA864" s="290">
        <v>28888.220789999996</v>
      </c>
      <c r="AB864" s="285">
        <v>28662.310949999996</v>
      </c>
      <c r="AC864" s="290">
        <v>2153.83</v>
      </c>
      <c r="AD864" s="192">
        <v>12</v>
      </c>
      <c r="AE864" s="290">
        <v>2153.83</v>
      </c>
      <c r="AF864" s="194">
        <v>27999.79</v>
      </c>
      <c r="AG864" s="215"/>
      <c r="AJ864" s="388">
        <f t="shared" si="72"/>
        <v>0</v>
      </c>
    </row>
    <row r="865" spans="1:36" x14ac:dyDescent="0.3">
      <c r="A865" s="192">
        <v>5831</v>
      </c>
      <c r="B865" s="192">
        <v>99</v>
      </c>
      <c r="C865" s="192">
        <v>0</v>
      </c>
      <c r="D865" s="192" t="s">
        <v>1699</v>
      </c>
      <c r="E865" s="192">
        <v>6293063</v>
      </c>
      <c r="F865" s="192" t="s">
        <v>1882</v>
      </c>
      <c r="G865" s="290">
        <v>0.48399999999999999</v>
      </c>
      <c r="H865" s="192">
        <v>2842.25</v>
      </c>
      <c r="I865" s="192">
        <v>0</v>
      </c>
      <c r="J865" s="192">
        <v>0</v>
      </c>
      <c r="K865" s="192">
        <v>0</v>
      </c>
      <c r="L865" s="192">
        <v>437.96</v>
      </c>
      <c r="M865" s="192">
        <v>0</v>
      </c>
      <c r="N865" s="192">
        <v>0</v>
      </c>
      <c r="O865" s="192">
        <v>3280.21</v>
      </c>
      <c r="P865" s="192">
        <v>0</v>
      </c>
      <c r="Q865" s="192">
        <v>257.27</v>
      </c>
      <c r="R865" s="192">
        <v>0</v>
      </c>
      <c r="S865" s="285">
        <f t="shared" si="71"/>
        <v>0.48399999999999999</v>
      </c>
      <c r="T865" s="192">
        <v>0</v>
      </c>
      <c r="U865" s="291">
        <v>3537.48</v>
      </c>
      <c r="V865" s="291">
        <v>3537.48</v>
      </c>
      <c r="W865" s="292">
        <v>42314.76</v>
      </c>
      <c r="X865" s="292">
        <v>42449.760000000002</v>
      </c>
      <c r="Y865" s="292">
        <v>42359.76</v>
      </c>
      <c r="Z865" s="292">
        <v>45886.93</v>
      </c>
      <c r="AA865" s="290">
        <v>46942.329389999999</v>
      </c>
      <c r="AB865" s="285">
        <v>46575.233949999994</v>
      </c>
      <c r="AC865" s="290">
        <v>3526.23</v>
      </c>
      <c r="AD865" s="192">
        <v>12</v>
      </c>
      <c r="AE865" s="290">
        <v>3537.48</v>
      </c>
      <c r="AF865" s="194">
        <v>45852.240000000005</v>
      </c>
      <c r="AG865" s="215"/>
      <c r="AJ865" s="388">
        <f t="shared" si="72"/>
        <v>0</v>
      </c>
    </row>
    <row r="866" spans="1:36" x14ac:dyDescent="0.3">
      <c r="A866" s="192">
        <v>5831</v>
      </c>
      <c r="B866" s="192">
        <v>99</v>
      </c>
      <c r="C866" s="192">
        <v>0</v>
      </c>
      <c r="D866" s="192" t="s">
        <v>1699</v>
      </c>
      <c r="E866" s="192">
        <v>6293266</v>
      </c>
      <c r="F866" s="192" t="s">
        <v>1883</v>
      </c>
      <c r="G866" s="290">
        <v>0.66600000000000004</v>
      </c>
      <c r="H866" s="192">
        <v>6397.71</v>
      </c>
      <c r="I866" s="192">
        <v>1717.03</v>
      </c>
      <c r="J866" s="192">
        <v>0</v>
      </c>
      <c r="K866" s="192">
        <v>0</v>
      </c>
      <c r="L866" s="192">
        <v>253.05</v>
      </c>
      <c r="M866" s="192">
        <v>0</v>
      </c>
      <c r="N866" s="192">
        <v>0</v>
      </c>
      <c r="O866" s="192">
        <v>8367.7900000000009</v>
      </c>
      <c r="P866" s="192">
        <v>0</v>
      </c>
      <c r="Q866" s="192">
        <v>638.83000000000004</v>
      </c>
      <c r="R866" s="192">
        <v>0</v>
      </c>
      <c r="S866" s="285">
        <f t="shared" si="71"/>
        <v>0.66600000000000004</v>
      </c>
      <c r="T866" s="192">
        <v>0</v>
      </c>
      <c r="U866" s="291">
        <v>9006.6200000000008</v>
      </c>
      <c r="V866" s="291">
        <v>9006.6200000000008</v>
      </c>
      <c r="W866" s="292">
        <v>107944.44</v>
      </c>
      <c r="X866" s="292">
        <v>108079.44</v>
      </c>
      <c r="Y866" s="292">
        <v>107989.44</v>
      </c>
      <c r="Z866" s="292">
        <v>118973.86</v>
      </c>
      <c r="AA866" s="290">
        <v>121710.25877999997</v>
      </c>
      <c r="AB866" s="285">
        <v>120758.46789999997</v>
      </c>
      <c r="AC866" s="290">
        <v>8995.3700000000008</v>
      </c>
      <c r="AD866" s="192">
        <v>12</v>
      </c>
      <c r="AE866" s="290">
        <v>9006.6200000000008</v>
      </c>
      <c r="AF866" s="194">
        <v>116951.06</v>
      </c>
      <c r="AG866" s="215"/>
      <c r="AJ866" s="388">
        <f t="shared" si="72"/>
        <v>0</v>
      </c>
    </row>
    <row r="867" spans="1:36" x14ac:dyDescent="0.3">
      <c r="A867" s="192">
        <v>5831</v>
      </c>
      <c r="B867" s="192">
        <v>99</v>
      </c>
      <c r="C867" s="192">
        <v>0</v>
      </c>
      <c r="D867" s="192" t="s">
        <v>1699</v>
      </c>
      <c r="E867" s="192">
        <v>6294135</v>
      </c>
      <c r="F867" s="192" t="s">
        <v>1884</v>
      </c>
      <c r="G867" s="290">
        <v>0.32</v>
      </c>
      <c r="H867" s="192">
        <v>3328.6</v>
      </c>
      <c r="I867" s="192">
        <v>0</v>
      </c>
      <c r="J867" s="192">
        <v>0</v>
      </c>
      <c r="K867" s="192">
        <v>0</v>
      </c>
      <c r="L867" s="192">
        <v>124.55</v>
      </c>
      <c r="M867" s="192">
        <v>0</v>
      </c>
      <c r="N867" s="192">
        <v>0</v>
      </c>
      <c r="O867" s="192">
        <v>3453.15</v>
      </c>
      <c r="P867" s="192">
        <v>0</v>
      </c>
      <c r="Q867" s="192">
        <v>0</v>
      </c>
      <c r="R867" s="192">
        <v>0</v>
      </c>
      <c r="S867" s="285">
        <f t="shared" si="71"/>
        <v>0.32</v>
      </c>
      <c r="T867" s="192">
        <v>0</v>
      </c>
      <c r="U867" s="291">
        <v>3453.15</v>
      </c>
      <c r="V867" s="291">
        <v>3453.15</v>
      </c>
      <c r="W867" s="292">
        <v>41437.800000000003</v>
      </c>
      <c r="X867" s="292">
        <v>41437.800000000003</v>
      </c>
      <c r="Y867" s="292">
        <v>41437.800000000003</v>
      </c>
      <c r="Z867" s="292">
        <v>45566.78</v>
      </c>
      <c r="AA867" s="290">
        <v>46614.815939999993</v>
      </c>
      <c r="AB867" s="285">
        <v>46250.281699999992</v>
      </c>
      <c r="AC867" s="290">
        <v>3453.15</v>
      </c>
      <c r="AD867" s="192">
        <v>12</v>
      </c>
      <c r="AE867" s="290">
        <v>3453.15</v>
      </c>
      <c r="AF867" s="194">
        <v>44890.950000000004</v>
      </c>
      <c r="AG867" s="215"/>
      <c r="AJ867" s="388">
        <f t="shared" si="72"/>
        <v>0</v>
      </c>
    </row>
    <row r="868" spans="1:36" x14ac:dyDescent="0.3">
      <c r="A868" s="192">
        <v>5831</v>
      </c>
      <c r="B868" s="192">
        <v>99</v>
      </c>
      <c r="C868" s="192">
        <v>0</v>
      </c>
      <c r="D868" s="192" t="s">
        <v>1699</v>
      </c>
      <c r="E868" s="192">
        <v>6301405</v>
      </c>
      <c r="F868" s="192" t="s">
        <v>1885</v>
      </c>
      <c r="G868" s="290">
        <v>0.63700000000000001</v>
      </c>
      <c r="H868" s="192">
        <v>4548.05</v>
      </c>
      <c r="I868" s="192">
        <v>123.35</v>
      </c>
      <c r="J868" s="192">
        <v>0</v>
      </c>
      <c r="K868" s="192">
        <v>0</v>
      </c>
      <c r="L868" s="192">
        <v>171.78</v>
      </c>
      <c r="M868" s="192">
        <v>0</v>
      </c>
      <c r="N868" s="192">
        <v>0</v>
      </c>
      <c r="O868" s="192">
        <v>4843.18</v>
      </c>
      <c r="P868" s="192">
        <v>0</v>
      </c>
      <c r="Q868" s="192">
        <v>374.49</v>
      </c>
      <c r="R868" s="192">
        <v>0</v>
      </c>
      <c r="S868" s="285">
        <f t="shared" si="71"/>
        <v>0.63700000000000001</v>
      </c>
      <c r="T868" s="192">
        <v>0</v>
      </c>
      <c r="U868" s="291">
        <v>5217.67</v>
      </c>
      <c r="V868" s="291">
        <v>5217.67</v>
      </c>
      <c r="W868" s="292">
        <v>62477.04</v>
      </c>
      <c r="X868" s="292">
        <v>62612.04</v>
      </c>
      <c r="Y868" s="292">
        <v>62522.04</v>
      </c>
      <c r="Z868" s="292">
        <v>25279.51</v>
      </c>
      <c r="AA868" s="290">
        <v>0</v>
      </c>
      <c r="AB868" s="285">
        <v>0</v>
      </c>
      <c r="AC868" s="290">
        <v>5206.42</v>
      </c>
      <c r="AD868" s="192">
        <v>12</v>
      </c>
      <c r="AE868" s="290">
        <v>5217.67</v>
      </c>
      <c r="AF868" s="194">
        <v>67694.710000000006</v>
      </c>
      <c r="AG868" s="215"/>
      <c r="AJ868" s="388">
        <f t="shared" si="72"/>
        <v>0</v>
      </c>
    </row>
    <row r="869" spans="1:36" x14ac:dyDescent="0.3">
      <c r="A869" s="192">
        <v>5831</v>
      </c>
      <c r="B869" s="192">
        <v>99</v>
      </c>
      <c r="C869" s="192">
        <v>0</v>
      </c>
      <c r="D869" s="192" t="s">
        <v>1699</v>
      </c>
      <c r="E869" s="192">
        <v>6302253</v>
      </c>
      <c r="F869" s="192" t="s">
        <v>1886</v>
      </c>
      <c r="G869" s="290">
        <v>0.42</v>
      </c>
      <c r="H869" s="192">
        <v>3422.41</v>
      </c>
      <c r="I869" s="192">
        <v>0</v>
      </c>
      <c r="J869" s="192">
        <v>0</v>
      </c>
      <c r="K869" s="192">
        <v>0</v>
      </c>
      <c r="L869" s="192">
        <v>88.79</v>
      </c>
      <c r="M869" s="192">
        <v>0</v>
      </c>
      <c r="N869" s="192">
        <v>0</v>
      </c>
      <c r="O869" s="192">
        <v>3511.2</v>
      </c>
      <c r="P869" s="192">
        <v>0</v>
      </c>
      <c r="Q869" s="192">
        <v>0</v>
      </c>
      <c r="R869" s="192">
        <v>0</v>
      </c>
      <c r="S869" s="285">
        <f t="shared" si="71"/>
        <v>0.42</v>
      </c>
      <c r="T869" s="192">
        <v>0</v>
      </c>
      <c r="U869" s="291">
        <v>3511.2</v>
      </c>
      <c r="V869" s="291">
        <v>3511.2</v>
      </c>
      <c r="W869" s="292">
        <v>42134.399999999994</v>
      </c>
      <c r="X869" s="292">
        <v>42134.399999999994</v>
      </c>
      <c r="Y869" s="292">
        <v>42134.400000000001</v>
      </c>
      <c r="Z869" s="292">
        <v>47771.73</v>
      </c>
      <c r="AA869" s="290">
        <v>48870.47978999999</v>
      </c>
      <c r="AB869" s="285">
        <v>48488.305949999994</v>
      </c>
      <c r="AC869" s="290">
        <v>3511.2</v>
      </c>
      <c r="AD869" s="192">
        <v>12</v>
      </c>
      <c r="AE869" s="290">
        <v>3511.2</v>
      </c>
      <c r="AF869" s="194">
        <v>45645.599999999991</v>
      </c>
      <c r="AG869" s="215"/>
      <c r="AJ869" s="388">
        <f t="shared" si="72"/>
        <v>0</v>
      </c>
    </row>
    <row r="870" spans="1:36" x14ac:dyDescent="0.3">
      <c r="A870" s="192">
        <v>5831</v>
      </c>
      <c r="B870" s="192">
        <v>99</v>
      </c>
      <c r="C870" s="192">
        <v>0</v>
      </c>
      <c r="D870" s="192" t="s">
        <v>1699</v>
      </c>
      <c r="E870" s="192">
        <v>6304831</v>
      </c>
      <c r="F870" s="192" t="s">
        <v>1887</v>
      </c>
      <c r="G870" s="290">
        <v>0.45</v>
      </c>
      <c r="H870" s="192">
        <v>5113.3100000000004</v>
      </c>
      <c r="I870" s="192">
        <v>1715.91</v>
      </c>
      <c r="J870" s="192">
        <v>0</v>
      </c>
      <c r="K870" s="192">
        <v>0</v>
      </c>
      <c r="L870" s="192">
        <v>207.47</v>
      </c>
      <c r="M870" s="192">
        <v>0</v>
      </c>
      <c r="N870" s="192">
        <v>0</v>
      </c>
      <c r="O870" s="192">
        <v>7036.69</v>
      </c>
      <c r="P870" s="192">
        <v>0</v>
      </c>
      <c r="Q870" s="192">
        <v>539</v>
      </c>
      <c r="R870" s="192">
        <v>0</v>
      </c>
      <c r="S870" s="285">
        <f t="shared" si="71"/>
        <v>0.45</v>
      </c>
      <c r="T870" s="192">
        <v>0</v>
      </c>
      <c r="U870" s="291">
        <v>7575.69</v>
      </c>
      <c r="V870" s="291">
        <v>7575.69</v>
      </c>
      <c r="W870" s="292">
        <v>90773.28</v>
      </c>
      <c r="X870" s="292">
        <v>90908.28</v>
      </c>
      <c r="Y870" s="292">
        <v>90818.28</v>
      </c>
      <c r="Z870" s="292">
        <v>94451.57</v>
      </c>
      <c r="AA870" s="290">
        <v>96623.956109999999</v>
      </c>
      <c r="AB870" s="285">
        <v>95868.343550000005</v>
      </c>
      <c r="AC870" s="290">
        <v>7564.44</v>
      </c>
      <c r="AD870" s="192">
        <v>12</v>
      </c>
      <c r="AE870" s="290">
        <v>7575.69</v>
      </c>
      <c r="AF870" s="194">
        <v>98348.97</v>
      </c>
      <c r="AG870" s="215"/>
      <c r="AJ870" s="388">
        <f t="shared" si="72"/>
        <v>0</v>
      </c>
    </row>
    <row r="871" spans="1:36" x14ac:dyDescent="0.3">
      <c r="A871" s="192">
        <v>5831</v>
      </c>
      <c r="B871" s="192">
        <v>99</v>
      </c>
      <c r="C871" s="192">
        <v>0</v>
      </c>
      <c r="D871" s="192" t="s">
        <v>1699</v>
      </c>
      <c r="E871" s="192">
        <v>6306575</v>
      </c>
      <c r="F871" s="192" t="s">
        <v>1888</v>
      </c>
      <c r="G871" s="290">
        <v>0.34</v>
      </c>
      <c r="H871" s="192">
        <v>1974.78</v>
      </c>
      <c r="I871" s="192">
        <v>0</v>
      </c>
      <c r="J871" s="192">
        <v>0</v>
      </c>
      <c r="K871" s="192">
        <v>0</v>
      </c>
      <c r="L871" s="192">
        <v>74.459999999999994</v>
      </c>
      <c r="M871" s="192">
        <v>0</v>
      </c>
      <c r="N871" s="192">
        <v>0</v>
      </c>
      <c r="O871" s="192">
        <v>2049.2399999999998</v>
      </c>
      <c r="P871" s="192">
        <v>0</v>
      </c>
      <c r="Q871" s="192">
        <v>164.94</v>
      </c>
      <c r="R871" s="192">
        <v>0</v>
      </c>
      <c r="S871" s="285">
        <f t="shared" si="71"/>
        <v>0.34</v>
      </c>
      <c r="T871" s="192">
        <v>0</v>
      </c>
      <c r="U871" s="291">
        <v>2214.1799999999998</v>
      </c>
      <c r="V871" s="291">
        <v>2214.1799999999998</v>
      </c>
      <c r="W871" s="292">
        <v>26435.159999999996</v>
      </c>
      <c r="X871" s="292">
        <v>26570.159999999996</v>
      </c>
      <c r="Y871" s="292">
        <v>26480.159999999996</v>
      </c>
      <c r="Z871" s="292">
        <v>29463.23</v>
      </c>
      <c r="AA871" s="290">
        <v>30140.884289999998</v>
      </c>
      <c r="AB871" s="285">
        <v>29905.178449999996</v>
      </c>
      <c r="AC871" s="290">
        <v>2202.9299999999998</v>
      </c>
      <c r="AD871" s="192">
        <v>12</v>
      </c>
      <c r="AE871" s="290">
        <v>2214.1799999999998</v>
      </c>
      <c r="AF871" s="194">
        <v>28649.339999999997</v>
      </c>
      <c r="AG871" s="215"/>
      <c r="AJ871" s="388">
        <f t="shared" si="72"/>
        <v>0</v>
      </c>
    </row>
    <row r="872" spans="1:36" x14ac:dyDescent="0.3">
      <c r="A872" s="192">
        <v>5831</v>
      </c>
      <c r="B872" s="192">
        <v>99</v>
      </c>
      <c r="C872" s="192">
        <v>0</v>
      </c>
      <c r="D872" s="192" t="s">
        <v>1699</v>
      </c>
      <c r="E872" s="192">
        <v>6309513</v>
      </c>
      <c r="F872" s="192" t="s">
        <v>1889</v>
      </c>
      <c r="G872" s="290">
        <v>0.53557999999999995</v>
      </c>
      <c r="H872" s="192">
        <v>4020.54</v>
      </c>
      <c r="I872" s="192">
        <v>0</v>
      </c>
      <c r="J872" s="192">
        <v>0</v>
      </c>
      <c r="K872" s="192">
        <v>0</v>
      </c>
      <c r="L872" s="192">
        <v>114.75</v>
      </c>
      <c r="M872" s="192">
        <v>0</v>
      </c>
      <c r="N872" s="192">
        <v>160</v>
      </c>
      <c r="O872" s="192">
        <v>4295.29</v>
      </c>
      <c r="P872" s="192">
        <v>0</v>
      </c>
      <c r="Q872" s="192">
        <v>333.4</v>
      </c>
      <c r="R872" s="192">
        <v>0</v>
      </c>
      <c r="S872" s="285">
        <f t="shared" si="71"/>
        <v>0.53557999999999995</v>
      </c>
      <c r="T872" s="192">
        <v>0</v>
      </c>
      <c r="U872" s="291">
        <v>4628.6899999999996</v>
      </c>
      <c r="V872" s="291">
        <v>4628.6899999999996</v>
      </c>
      <c r="W872" s="292">
        <v>55409.279999999999</v>
      </c>
      <c r="X872" s="292">
        <v>55544.28</v>
      </c>
      <c r="Y872" s="292">
        <v>55454.28</v>
      </c>
      <c r="Z872" s="292">
        <v>62546.400000000001</v>
      </c>
      <c r="AA872" s="290">
        <v>63984.967199999999</v>
      </c>
      <c r="AB872" s="285">
        <v>63484.595999999998</v>
      </c>
      <c r="AC872" s="290">
        <v>4617.4399999999996</v>
      </c>
      <c r="AD872" s="192">
        <v>12</v>
      </c>
      <c r="AE872" s="290">
        <v>4628.6899999999996</v>
      </c>
      <c r="AF872" s="194">
        <v>60037.97</v>
      </c>
      <c r="AG872" s="215"/>
      <c r="AJ872" s="388">
        <f t="shared" si="72"/>
        <v>0</v>
      </c>
    </row>
    <row r="873" spans="1:36" x14ac:dyDescent="0.3">
      <c r="A873" s="192">
        <v>5831</v>
      </c>
      <c r="B873" s="192">
        <v>99</v>
      </c>
      <c r="C873" s="192">
        <v>0</v>
      </c>
      <c r="D873" s="192" t="s">
        <v>1699</v>
      </c>
      <c r="E873" s="192">
        <v>6309706</v>
      </c>
      <c r="F873" s="192" t="s">
        <v>1890</v>
      </c>
      <c r="G873" s="290">
        <v>0.7</v>
      </c>
      <c r="H873" s="192">
        <v>5799.62</v>
      </c>
      <c r="I873" s="192">
        <v>0</v>
      </c>
      <c r="J873" s="192">
        <v>0</v>
      </c>
      <c r="K873" s="192">
        <v>0</v>
      </c>
      <c r="L873" s="192">
        <v>170.65</v>
      </c>
      <c r="M873" s="192">
        <v>0</v>
      </c>
      <c r="N873" s="192">
        <v>0</v>
      </c>
      <c r="O873" s="192">
        <v>5970.27</v>
      </c>
      <c r="P873" s="192">
        <v>0</v>
      </c>
      <c r="Q873" s="192">
        <v>459.02</v>
      </c>
      <c r="R873" s="192">
        <v>0</v>
      </c>
      <c r="S873" s="285">
        <f t="shared" si="71"/>
        <v>0.69999999999999984</v>
      </c>
      <c r="T873" s="192">
        <v>0</v>
      </c>
      <c r="U873" s="291">
        <v>6429.29</v>
      </c>
      <c r="V873" s="291">
        <v>6429.29</v>
      </c>
      <c r="W873" s="292">
        <v>77016.479999999996</v>
      </c>
      <c r="X873" s="292">
        <v>77151.48</v>
      </c>
      <c r="Y873" s="292">
        <v>77061.48</v>
      </c>
      <c r="Z873" s="292">
        <v>86878.69</v>
      </c>
      <c r="AA873" s="290">
        <v>88876.899869999994</v>
      </c>
      <c r="AB873" s="285">
        <v>88181.870349999997</v>
      </c>
      <c r="AC873" s="290">
        <v>6418.04</v>
      </c>
      <c r="AD873" s="192">
        <v>12</v>
      </c>
      <c r="AE873" s="290">
        <v>6429.29</v>
      </c>
      <c r="AF873" s="194">
        <v>83445.76999999999</v>
      </c>
      <c r="AG873" s="215"/>
      <c r="AJ873" s="388">
        <f t="shared" si="72"/>
        <v>0</v>
      </c>
    </row>
    <row r="874" spans="1:36" x14ac:dyDescent="0.3">
      <c r="A874" s="192">
        <v>5831</v>
      </c>
      <c r="B874" s="192">
        <v>99</v>
      </c>
      <c r="C874" s="192">
        <v>0</v>
      </c>
      <c r="D874" s="192" t="s">
        <v>1699</v>
      </c>
      <c r="E874" s="192">
        <v>6313672</v>
      </c>
      <c r="F874" s="192" t="s">
        <v>1891</v>
      </c>
      <c r="G874" s="290">
        <v>0.1</v>
      </c>
      <c r="H874" s="192">
        <v>694.01</v>
      </c>
      <c r="I874" s="192">
        <v>0</v>
      </c>
      <c r="J874" s="192">
        <v>0</v>
      </c>
      <c r="K874" s="192">
        <v>0</v>
      </c>
      <c r="L874" s="192">
        <v>40.94</v>
      </c>
      <c r="M874" s="192">
        <v>0</v>
      </c>
      <c r="N874" s="192">
        <v>0</v>
      </c>
      <c r="O874" s="192">
        <v>734.95</v>
      </c>
      <c r="P874" s="192">
        <v>0</v>
      </c>
      <c r="Q874" s="192">
        <v>66.37</v>
      </c>
      <c r="R874" s="192">
        <v>0</v>
      </c>
      <c r="S874" s="285">
        <f t="shared" si="71"/>
        <v>0.10000000000000002</v>
      </c>
      <c r="T874" s="192">
        <v>0</v>
      </c>
      <c r="U874" s="291">
        <v>801.32</v>
      </c>
      <c r="V874" s="291">
        <v>801.32</v>
      </c>
      <c r="W874" s="292">
        <v>9480.84</v>
      </c>
      <c r="X874" s="292">
        <v>9615.84</v>
      </c>
      <c r="Y874" s="292">
        <v>9525.84</v>
      </c>
      <c r="Z874" s="292">
        <v>10552.27</v>
      </c>
      <c r="AA874" s="290">
        <v>10794.97221</v>
      </c>
      <c r="AB874" s="285">
        <v>10710.554049999999</v>
      </c>
      <c r="AC874" s="290">
        <v>790.07</v>
      </c>
      <c r="AD874" s="192">
        <v>12</v>
      </c>
      <c r="AE874" s="290">
        <v>801.32</v>
      </c>
      <c r="AF874" s="194">
        <v>10282.16</v>
      </c>
      <c r="AG874" s="215"/>
      <c r="AJ874" s="388">
        <f t="shared" si="72"/>
        <v>0</v>
      </c>
    </row>
    <row r="875" spans="1:36" x14ac:dyDescent="0.3">
      <c r="A875" s="192">
        <v>5831</v>
      </c>
      <c r="B875" s="192">
        <v>99</v>
      </c>
      <c r="C875" s="192">
        <v>0</v>
      </c>
      <c r="D875" s="192" t="s">
        <v>1699</v>
      </c>
      <c r="E875" s="192">
        <v>6314623</v>
      </c>
      <c r="F875" s="192" t="s">
        <v>1892</v>
      </c>
      <c r="G875" s="290">
        <v>0.28499999999999998</v>
      </c>
      <c r="H875" s="192">
        <v>1605.95</v>
      </c>
      <c r="I875" s="192">
        <v>0</v>
      </c>
      <c r="J875" s="192">
        <v>0</v>
      </c>
      <c r="K875" s="192">
        <v>0</v>
      </c>
      <c r="L875" s="192">
        <v>60.61</v>
      </c>
      <c r="M875" s="192">
        <v>0</v>
      </c>
      <c r="N875" s="192">
        <v>0</v>
      </c>
      <c r="O875" s="192">
        <v>1666.56</v>
      </c>
      <c r="P875" s="192">
        <v>0</v>
      </c>
      <c r="Q875" s="192">
        <v>136.24</v>
      </c>
      <c r="R875" s="192">
        <v>0</v>
      </c>
      <c r="S875" s="285">
        <f t="shared" si="71"/>
        <v>0.28499999999999998</v>
      </c>
      <c r="T875" s="192">
        <v>0</v>
      </c>
      <c r="U875" s="291">
        <v>1802.8</v>
      </c>
      <c r="V875" s="291">
        <v>1802.8</v>
      </c>
      <c r="W875" s="292">
        <v>21498.6</v>
      </c>
      <c r="X875" s="292">
        <v>21633.599999999999</v>
      </c>
      <c r="Y875" s="292">
        <v>21543.599999999999</v>
      </c>
      <c r="Z875" s="292">
        <v>24029.27</v>
      </c>
      <c r="AA875" s="290">
        <v>24581.943209999998</v>
      </c>
      <c r="AB875" s="285">
        <v>24389.709049999998</v>
      </c>
      <c r="AC875" s="290">
        <v>1791.55</v>
      </c>
      <c r="AD875" s="192">
        <v>12</v>
      </c>
      <c r="AE875" s="290">
        <v>1802.8</v>
      </c>
      <c r="AF875" s="194">
        <v>23301.399999999998</v>
      </c>
      <c r="AG875" s="215"/>
      <c r="AJ875" s="388">
        <f t="shared" si="72"/>
        <v>0</v>
      </c>
    </row>
    <row r="876" spans="1:36" x14ac:dyDescent="0.3">
      <c r="A876" s="192">
        <v>5831</v>
      </c>
      <c r="B876" s="192">
        <v>99</v>
      </c>
      <c r="C876" s="192">
        <v>0</v>
      </c>
      <c r="D876" s="192" t="s">
        <v>1699</v>
      </c>
      <c r="E876" s="192">
        <v>6317154</v>
      </c>
      <c r="F876" s="192" t="s">
        <v>1893</v>
      </c>
      <c r="G876" s="290">
        <v>0.65800000000000003</v>
      </c>
      <c r="H876" s="192">
        <v>5150.42</v>
      </c>
      <c r="I876" s="192">
        <v>67.09</v>
      </c>
      <c r="J876" s="192">
        <v>0</v>
      </c>
      <c r="K876" s="192">
        <v>0</v>
      </c>
      <c r="L876" s="192">
        <v>203.83</v>
      </c>
      <c r="M876" s="192">
        <v>0</v>
      </c>
      <c r="N876" s="192">
        <v>196</v>
      </c>
      <c r="O876" s="192">
        <v>5617.34</v>
      </c>
      <c r="P876" s="192">
        <v>0</v>
      </c>
      <c r="Q876" s="192">
        <v>432.55</v>
      </c>
      <c r="R876" s="192">
        <v>0</v>
      </c>
      <c r="S876" s="285">
        <f t="shared" si="71"/>
        <v>0.65800000000000003</v>
      </c>
      <c r="T876" s="192">
        <v>0</v>
      </c>
      <c r="U876" s="291">
        <v>6049.89</v>
      </c>
      <c r="V876" s="291">
        <v>6049.89</v>
      </c>
      <c r="W876" s="292">
        <v>72463.680000000008</v>
      </c>
      <c r="X876" s="292">
        <v>72598.680000000008</v>
      </c>
      <c r="Y876" s="292">
        <v>72508.679999999993</v>
      </c>
      <c r="Z876" s="292">
        <v>81758.45</v>
      </c>
      <c r="AA876" s="290">
        <v>83638.894349999988</v>
      </c>
      <c r="AB876" s="285">
        <v>82984.826749999993</v>
      </c>
      <c r="AC876" s="290">
        <v>6038.64</v>
      </c>
      <c r="AD876" s="192">
        <v>12</v>
      </c>
      <c r="AE876" s="290">
        <v>6049.89</v>
      </c>
      <c r="AF876" s="194">
        <v>78513.570000000007</v>
      </c>
      <c r="AG876" s="215"/>
      <c r="AJ876" s="388">
        <f t="shared" si="72"/>
        <v>0</v>
      </c>
    </row>
    <row r="877" spans="1:36" x14ac:dyDescent="0.3">
      <c r="A877" s="192">
        <v>5831</v>
      </c>
      <c r="B877" s="192">
        <v>99</v>
      </c>
      <c r="C877" s="192">
        <v>0</v>
      </c>
      <c r="D877" s="192" t="s">
        <v>1699</v>
      </c>
      <c r="E877" s="192">
        <v>6319106</v>
      </c>
      <c r="F877" s="192" t="s">
        <v>1894</v>
      </c>
      <c r="G877" s="290">
        <v>0.23499999999999999</v>
      </c>
      <c r="H877" s="192">
        <v>1514.89</v>
      </c>
      <c r="I877" s="192">
        <v>38.61</v>
      </c>
      <c r="J877" s="192">
        <v>0</v>
      </c>
      <c r="K877" s="192">
        <v>0</v>
      </c>
      <c r="L877" s="192">
        <v>60.45</v>
      </c>
      <c r="M877" s="192">
        <v>0</v>
      </c>
      <c r="N877" s="192">
        <v>131</v>
      </c>
      <c r="O877" s="192">
        <v>1744.95</v>
      </c>
      <c r="P877" s="192">
        <v>0</v>
      </c>
      <c r="Q877" s="192">
        <v>142.12</v>
      </c>
      <c r="R877" s="192">
        <v>0</v>
      </c>
      <c r="S877" s="285">
        <f t="shared" si="71"/>
        <v>0.23499999999999999</v>
      </c>
      <c r="T877" s="192">
        <v>0</v>
      </c>
      <c r="U877" s="291">
        <v>1887.07</v>
      </c>
      <c r="V877" s="291">
        <v>1887.07</v>
      </c>
      <c r="W877" s="292">
        <v>22509.84</v>
      </c>
      <c r="X877" s="292">
        <v>22644.84</v>
      </c>
      <c r="Y877" s="292">
        <v>22554.84</v>
      </c>
      <c r="Z877" s="292">
        <v>24550.36</v>
      </c>
      <c r="AA877" s="290">
        <v>25115.018279999997</v>
      </c>
      <c r="AB877" s="285">
        <v>24918.615399999999</v>
      </c>
      <c r="AC877" s="290">
        <v>1875.82</v>
      </c>
      <c r="AD877" s="192">
        <v>12</v>
      </c>
      <c r="AE877" s="290">
        <v>1887.07</v>
      </c>
      <c r="AF877" s="194">
        <v>24396.91</v>
      </c>
      <c r="AG877" s="215"/>
      <c r="AJ877" s="388">
        <f t="shared" si="72"/>
        <v>0</v>
      </c>
    </row>
    <row r="878" spans="1:36" x14ac:dyDescent="0.3">
      <c r="A878" s="192">
        <v>5831</v>
      </c>
      <c r="B878" s="192">
        <v>99</v>
      </c>
      <c r="C878" s="192">
        <v>0</v>
      </c>
      <c r="D878" s="192" t="s">
        <v>1699</v>
      </c>
      <c r="E878" s="192">
        <v>6323513</v>
      </c>
      <c r="F878" s="192" t="s">
        <v>1895</v>
      </c>
      <c r="G878" s="290">
        <v>0.19600000000000001</v>
      </c>
      <c r="H878" s="192">
        <v>1093.9100000000001</v>
      </c>
      <c r="I878" s="192">
        <v>0</v>
      </c>
      <c r="J878" s="192">
        <v>0</v>
      </c>
      <c r="K878" s="192">
        <v>0</v>
      </c>
      <c r="L878" s="192">
        <v>39.94</v>
      </c>
      <c r="M878" s="192">
        <v>0</v>
      </c>
      <c r="N878" s="192">
        <v>0</v>
      </c>
      <c r="O878" s="192">
        <v>1133.8499999999999</v>
      </c>
      <c r="P878" s="192">
        <v>0</v>
      </c>
      <c r="Q878" s="192">
        <v>96.29</v>
      </c>
      <c r="R878" s="192">
        <v>0</v>
      </c>
      <c r="S878" s="285">
        <f t="shared" si="71"/>
        <v>0.19600000000000004</v>
      </c>
      <c r="T878" s="192">
        <v>0</v>
      </c>
      <c r="U878" s="291">
        <v>1230.1400000000001</v>
      </c>
      <c r="V878" s="291">
        <v>1230.1400000000001</v>
      </c>
      <c r="W878" s="292">
        <v>14626.68</v>
      </c>
      <c r="X878" s="292">
        <v>14761.68</v>
      </c>
      <c r="Y878" s="292">
        <v>14671.68</v>
      </c>
      <c r="Z878" s="292">
        <v>16477.650000000001</v>
      </c>
      <c r="AA878" s="290">
        <v>16856.63595</v>
      </c>
      <c r="AB878" s="285">
        <v>16724.814750000001</v>
      </c>
      <c r="AC878" s="290">
        <v>1218.8900000000001</v>
      </c>
      <c r="AD878" s="192">
        <v>12</v>
      </c>
      <c r="AE878" s="290">
        <v>1230.1400000000001</v>
      </c>
      <c r="AF878" s="194">
        <v>15856.82</v>
      </c>
      <c r="AG878" s="215"/>
      <c r="AJ878" s="388">
        <f t="shared" si="72"/>
        <v>0</v>
      </c>
    </row>
    <row r="879" spans="1:36" x14ac:dyDescent="0.3">
      <c r="A879" s="192">
        <v>5831</v>
      </c>
      <c r="B879" s="192">
        <v>99</v>
      </c>
      <c r="C879" s="192">
        <v>0</v>
      </c>
      <c r="D879" s="192" t="s">
        <v>1699</v>
      </c>
      <c r="E879" s="192">
        <v>6324252</v>
      </c>
      <c r="F879" s="192" t="s">
        <v>1896</v>
      </c>
      <c r="G879" s="290">
        <v>0.6</v>
      </c>
      <c r="H879" s="192">
        <v>1425.24</v>
      </c>
      <c r="I879" s="192">
        <v>0</v>
      </c>
      <c r="J879" s="192">
        <v>0</v>
      </c>
      <c r="K879" s="192">
        <v>0</v>
      </c>
      <c r="L879" s="192">
        <v>142.87</v>
      </c>
      <c r="M879" s="192">
        <v>0</v>
      </c>
      <c r="N879" s="192">
        <v>0</v>
      </c>
      <c r="O879" s="192">
        <v>1568.11</v>
      </c>
      <c r="P879" s="192">
        <v>0</v>
      </c>
      <c r="Q879" s="192">
        <v>0</v>
      </c>
      <c r="R879" s="192">
        <v>0</v>
      </c>
      <c r="S879" s="285">
        <f t="shared" si="71"/>
        <v>0.6</v>
      </c>
      <c r="T879" s="192">
        <v>0</v>
      </c>
      <c r="U879" s="291">
        <v>1568.11</v>
      </c>
      <c r="V879" s="291">
        <v>1568.11</v>
      </c>
      <c r="W879" s="292">
        <v>18817.32</v>
      </c>
      <c r="X879" s="292">
        <v>18817.32</v>
      </c>
      <c r="Y879" s="292">
        <v>18817.32</v>
      </c>
      <c r="Z879" s="292">
        <v>52424.160000000003</v>
      </c>
      <c r="AA879" s="290">
        <v>53629.915679999991</v>
      </c>
      <c r="AB879" s="285">
        <v>53210.522399999994</v>
      </c>
      <c r="AC879" s="290">
        <v>2800</v>
      </c>
      <c r="AD879" s="192">
        <v>12</v>
      </c>
      <c r="AE879" s="290">
        <v>1568.11</v>
      </c>
      <c r="AF879" s="194">
        <v>35168.11</v>
      </c>
      <c r="AG879" s="215"/>
      <c r="AJ879" s="388">
        <f t="shared" si="72"/>
        <v>0</v>
      </c>
    </row>
    <row r="880" spans="1:36" x14ac:dyDescent="0.3">
      <c r="A880" s="192">
        <v>5831</v>
      </c>
      <c r="B880" s="192">
        <v>99</v>
      </c>
      <c r="C880" s="192">
        <v>0</v>
      </c>
      <c r="D880" s="192" t="s">
        <v>1699</v>
      </c>
      <c r="E880" s="192">
        <v>6324484</v>
      </c>
      <c r="F880" s="192" t="s">
        <v>1897</v>
      </c>
      <c r="G880" s="290">
        <v>0.66</v>
      </c>
      <c r="H880" s="192">
        <v>4248.6499999999996</v>
      </c>
      <c r="I880" s="192">
        <v>0</v>
      </c>
      <c r="J880" s="192">
        <v>0</v>
      </c>
      <c r="K880" s="192">
        <v>0</v>
      </c>
      <c r="L880" s="192">
        <v>156.25</v>
      </c>
      <c r="M880" s="192">
        <v>0</v>
      </c>
      <c r="N880" s="192">
        <v>0</v>
      </c>
      <c r="O880" s="192">
        <v>4404.8999999999996</v>
      </c>
      <c r="P880" s="192">
        <v>0</v>
      </c>
      <c r="Q880" s="192">
        <v>341.62</v>
      </c>
      <c r="R880" s="192">
        <v>0</v>
      </c>
      <c r="S880" s="285">
        <f t="shared" si="71"/>
        <v>0.66</v>
      </c>
      <c r="T880" s="192">
        <v>0</v>
      </c>
      <c r="U880" s="291">
        <v>4746.5200000000004</v>
      </c>
      <c r="V880" s="291">
        <v>4746.5200000000004</v>
      </c>
      <c r="W880" s="292">
        <v>56823.240000000005</v>
      </c>
      <c r="X880" s="292">
        <v>56958.240000000005</v>
      </c>
      <c r="Y880" s="292">
        <v>56868.239999999991</v>
      </c>
      <c r="Z880" s="292">
        <v>66383.839999999997</v>
      </c>
      <c r="AA880" s="290">
        <v>67910.668319999997</v>
      </c>
      <c r="AB880" s="285">
        <v>67379.597599999994</v>
      </c>
      <c r="AC880" s="290">
        <v>4735.2700000000004</v>
      </c>
      <c r="AD880" s="192">
        <v>12</v>
      </c>
      <c r="AE880" s="290">
        <v>4746.5200000000004</v>
      </c>
      <c r="AF880" s="194">
        <v>61569.760000000009</v>
      </c>
      <c r="AG880" s="215"/>
      <c r="AJ880" s="388">
        <f t="shared" si="72"/>
        <v>0</v>
      </c>
    </row>
    <row r="881" spans="1:36" x14ac:dyDescent="0.3">
      <c r="A881" s="192">
        <v>5831</v>
      </c>
      <c r="B881" s="192">
        <v>99</v>
      </c>
      <c r="C881" s="192">
        <v>0</v>
      </c>
      <c r="D881" s="192" t="s">
        <v>1699</v>
      </c>
      <c r="E881" s="192">
        <v>6325095</v>
      </c>
      <c r="F881" s="192" t="s">
        <v>1898</v>
      </c>
      <c r="G881" s="290">
        <v>0.68</v>
      </c>
      <c r="H881" s="192">
        <v>7232.55</v>
      </c>
      <c r="I881" s="192">
        <v>1942.76</v>
      </c>
      <c r="J881" s="192">
        <v>0</v>
      </c>
      <c r="K881" s="192">
        <v>0</v>
      </c>
      <c r="L881" s="192">
        <v>280.38</v>
      </c>
      <c r="M881" s="192">
        <v>0</v>
      </c>
      <c r="N881" s="192">
        <v>0</v>
      </c>
      <c r="O881" s="192">
        <v>9455.69</v>
      </c>
      <c r="P881" s="192">
        <v>0</v>
      </c>
      <c r="Q881" s="192">
        <v>720.43</v>
      </c>
      <c r="R881" s="192">
        <v>0</v>
      </c>
      <c r="S881" s="285">
        <f t="shared" si="71"/>
        <v>0.68</v>
      </c>
      <c r="T881" s="192">
        <v>0</v>
      </c>
      <c r="U881" s="291">
        <v>10176.120000000001</v>
      </c>
      <c r="V881" s="291">
        <v>10176.120000000001</v>
      </c>
      <c r="W881" s="292">
        <v>121978.44</v>
      </c>
      <c r="X881" s="292">
        <v>122113.44</v>
      </c>
      <c r="Y881" s="292">
        <v>122023.44</v>
      </c>
      <c r="Z881" s="292">
        <v>133750.35</v>
      </c>
      <c r="AA881" s="290">
        <v>136826.60804999998</v>
      </c>
      <c r="AB881" s="285">
        <v>135756.60524999999</v>
      </c>
      <c r="AC881" s="290">
        <v>10164.870000000001</v>
      </c>
      <c r="AD881" s="192">
        <v>12</v>
      </c>
      <c r="AE881" s="290">
        <v>10176.120000000001</v>
      </c>
      <c r="AF881" s="194">
        <v>132154.56</v>
      </c>
      <c r="AG881" s="215"/>
      <c r="AJ881" s="388">
        <f t="shared" si="72"/>
        <v>0</v>
      </c>
    </row>
    <row r="882" spans="1:36" x14ac:dyDescent="0.3">
      <c r="A882" s="192">
        <v>5831</v>
      </c>
      <c r="B882" s="192">
        <v>99</v>
      </c>
      <c r="C882" s="192">
        <v>0</v>
      </c>
      <c r="D882" s="192" t="s">
        <v>1699</v>
      </c>
      <c r="E882" s="192">
        <v>6327953</v>
      </c>
      <c r="F882" s="192" t="s">
        <v>1899</v>
      </c>
      <c r="G882" s="290">
        <v>0.30159999999999998</v>
      </c>
      <c r="H882" s="192">
        <v>1843.21</v>
      </c>
      <c r="I882" s="192">
        <v>0</v>
      </c>
      <c r="J882" s="192">
        <v>0</v>
      </c>
      <c r="K882" s="192">
        <v>0</v>
      </c>
      <c r="L882" s="192">
        <v>57.13</v>
      </c>
      <c r="M882" s="192">
        <v>0</v>
      </c>
      <c r="N882" s="192">
        <v>0</v>
      </c>
      <c r="O882" s="192">
        <v>1900.34</v>
      </c>
      <c r="P882" s="192">
        <v>0</v>
      </c>
      <c r="Q882" s="192">
        <v>153.78</v>
      </c>
      <c r="R882" s="192">
        <v>0</v>
      </c>
      <c r="S882" s="285">
        <f t="shared" si="71"/>
        <v>0.30159999999999998</v>
      </c>
      <c r="T882" s="192">
        <v>0</v>
      </c>
      <c r="U882" s="291">
        <v>2054.12</v>
      </c>
      <c r="V882" s="291">
        <v>2054.12</v>
      </c>
      <c r="W882" s="292">
        <v>24514.44</v>
      </c>
      <c r="X882" s="292">
        <v>24649.439999999999</v>
      </c>
      <c r="Y882" s="292">
        <v>24559.439999999999</v>
      </c>
      <c r="Z882" s="292">
        <v>28519.3</v>
      </c>
      <c r="AA882" s="290">
        <v>29175.243900000001</v>
      </c>
      <c r="AB882" s="285">
        <v>28947.089500000002</v>
      </c>
      <c r="AC882" s="290">
        <v>2042.87</v>
      </c>
      <c r="AD882" s="192">
        <v>12</v>
      </c>
      <c r="AE882" s="290">
        <v>2054.12</v>
      </c>
      <c r="AF882" s="194">
        <v>26568.559999999998</v>
      </c>
      <c r="AG882" s="215"/>
      <c r="AJ882" s="388">
        <f t="shared" si="72"/>
        <v>0</v>
      </c>
    </row>
    <row r="883" spans="1:36" x14ac:dyDescent="0.3">
      <c r="A883" s="192">
        <v>5831</v>
      </c>
      <c r="B883" s="192">
        <v>99</v>
      </c>
      <c r="C883" s="192">
        <v>0</v>
      </c>
      <c r="D883" s="192" t="s">
        <v>1699</v>
      </c>
      <c r="E883" s="192">
        <v>6332582</v>
      </c>
      <c r="F883" s="192" t="s">
        <v>1900</v>
      </c>
      <c r="G883" s="290">
        <v>0.48</v>
      </c>
      <c r="H883" s="192">
        <v>2775.81</v>
      </c>
      <c r="I883" s="192">
        <v>0</v>
      </c>
      <c r="J883" s="192">
        <v>0</v>
      </c>
      <c r="K883" s="192">
        <v>0</v>
      </c>
      <c r="L883" s="192">
        <v>438.88</v>
      </c>
      <c r="M883" s="192">
        <v>0</v>
      </c>
      <c r="N883" s="192">
        <v>0</v>
      </c>
      <c r="O883" s="192">
        <v>3214.69</v>
      </c>
      <c r="P883" s="192">
        <v>0</v>
      </c>
      <c r="Q883" s="192">
        <v>252.35</v>
      </c>
      <c r="R883" s="192">
        <v>0</v>
      </c>
      <c r="S883" s="285">
        <f t="shared" si="71"/>
        <v>0.48</v>
      </c>
      <c r="T883" s="192">
        <v>0</v>
      </c>
      <c r="U883" s="291">
        <v>3467.04</v>
      </c>
      <c r="V883" s="291">
        <v>3467.04</v>
      </c>
      <c r="W883" s="292">
        <v>41469.479999999996</v>
      </c>
      <c r="X883" s="292">
        <v>41604.479999999996</v>
      </c>
      <c r="Y883" s="292">
        <v>41514.480000000003</v>
      </c>
      <c r="Z883" s="292">
        <v>45015.77</v>
      </c>
      <c r="AA883" s="290">
        <v>46051.132709999991</v>
      </c>
      <c r="AB883" s="285">
        <v>45691.006549999991</v>
      </c>
      <c r="AC883" s="290">
        <v>3455.79</v>
      </c>
      <c r="AD883" s="192">
        <v>12</v>
      </c>
      <c r="AE883" s="290">
        <v>3467.04</v>
      </c>
      <c r="AF883" s="194">
        <v>44936.52</v>
      </c>
      <c r="AG883" s="215"/>
      <c r="AJ883" s="388">
        <f t="shared" si="72"/>
        <v>0</v>
      </c>
    </row>
    <row r="884" spans="1:36" x14ac:dyDescent="0.3">
      <c r="A884" s="192">
        <v>5831</v>
      </c>
      <c r="B884" s="192">
        <v>99</v>
      </c>
      <c r="C884" s="192">
        <v>0</v>
      </c>
      <c r="D884" s="192" t="s">
        <v>1699</v>
      </c>
      <c r="E884" s="192">
        <v>6335622</v>
      </c>
      <c r="F884" s="192" t="s">
        <v>1901</v>
      </c>
      <c r="G884" s="290">
        <v>0.4</v>
      </c>
      <c r="H884" s="192">
        <v>2194.3200000000002</v>
      </c>
      <c r="I884" s="192">
        <v>0</v>
      </c>
      <c r="J884" s="192">
        <v>0</v>
      </c>
      <c r="K884" s="192">
        <v>0</v>
      </c>
      <c r="L884" s="192">
        <v>190.6</v>
      </c>
      <c r="M884" s="192">
        <v>0</v>
      </c>
      <c r="N884" s="192">
        <v>0</v>
      </c>
      <c r="O884" s="192">
        <v>2384.92</v>
      </c>
      <c r="P884" s="192">
        <v>0</v>
      </c>
      <c r="Q884" s="192">
        <v>0</v>
      </c>
      <c r="R884" s="192">
        <v>0</v>
      </c>
      <c r="S884" s="285">
        <f t="shared" si="71"/>
        <v>0.40000000000000008</v>
      </c>
      <c r="T884" s="192">
        <v>0</v>
      </c>
      <c r="U884" s="291">
        <v>2384.92</v>
      </c>
      <c r="V884" s="291">
        <v>2384.92</v>
      </c>
      <c r="W884" s="292">
        <v>28619.040000000001</v>
      </c>
      <c r="X884" s="292">
        <v>28619.040000000001</v>
      </c>
      <c r="Y884" s="292">
        <v>28619.040000000001</v>
      </c>
      <c r="Z884" s="292">
        <v>31142.79</v>
      </c>
      <c r="AA884" s="290">
        <v>31859.07417</v>
      </c>
      <c r="AB884" s="285">
        <v>31609.931849999997</v>
      </c>
      <c r="AC884" s="290">
        <v>2384.92</v>
      </c>
      <c r="AD884" s="192">
        <v>12</v>
      </c>
      <c r="AE884" s="290">
        <v>2384.92</v>
      </c>
      <c r="AF884" s="194">
        <v>31003.96</v>
      </c>
      <c r="AG884" s="215"/>
      <c r="AJ884" s="388">
        <f t="shared" si="72"/>
        <v>0</v>
      </c>
    </row>
    <row r="885" spans="1:36" x14ac:dyDescent="0.3">
      <c r="A885" s="192">
        <v>5831</v>
      </c>
      <c r="B885" s="192">
        <v>99</v>
      </c>
      <c r="C885" s="192">
        <v>0</v>
      </c>
      <c r="D885" s="192" t="s">
        <v>1699</v>
      </c>
      <c r="E885" s="192">
        <v>6336144</v>
      </c>
      <c r="F885" s="192" t="s">
        <v>1902</v>
      </c>
      <c r="G885" s="290">
        <v>0.432</v>
      </c>
      <c r="H885" s="192">
        <v>3156.54</v>
      </c>
      <c r="I885" s="192">
        <v>0</v>
      </c>
      <c r="J885" s="192">
        <v>0</v>
      </c>
      <c r="K885" s="192">
        <v>0</v>
      </c>
      <c r="L885" s="192">
        <v>94</v>
      </c>
      <c r="M885" s="192">
        <v>0</v>
      </c>
      <c r="N885" s="192">
        <v>0</v>
      </c>
      <c r="O885" s="192">
        <v>3250.54</v>
      </c>
      <c r="P885" s="192">
        <v>0</v>
      </c>
      <c r="Q885" s="192">
        <v>255.04</v>
      </c>
      <c r="R885" s="192">
        <v>0</v>
      </c>
      <c r="S885" s="285">
        <f t="shared" si="71"/>
        <v>0.432</v>
      </c>
      <c r="T885" s="192">
        <v>0</v>
      </c>
      <c r="U885" s="291">
        <v>3505.58</v>
      </c>
      <c r="V885" s="291">
        <v>3505.58</v>
      </c>
      <c r="W885" s="292">
        <v>41931.96</v>
      </c>
      <c r="X885" s="292">
        <v>42066.96</v>
      </c>
      <c r="Y885" s="292">
        <v>41976.959999999999</v>
      </c>
      <c r="Z885" s="292">
        <v>45587.82</v>
      </c>
      <c r="AA885" s="290">
        <v>46636.339859999993</v>
      </c>
      <c r="AB885" s="285">
        <v>46271.637299999995</v>
      </c>
      <c r="AC885" s="290">
        <v>3494.33</v>
      </c>
      <c r="AD885" s="192">
        <v>12</v>
      </c>
      <c r="AE885" s="290">
        <v>3505.58</v>
      </c>
      <c r="AF885" s="194">
        <v>45437.54</v>
      </c>
      <c r="AG885" s="215"/>
      <c r="AJ885" s="388">
        <f t="shared" si="72"/>
        <v>0</v>
      </c>
    </row>
    <row r="886" spans="1:36" x14ac:dyDescent="0.3">
      <c r="A886" s="192">
        <v>5831</v>
      </c>
      <c r="B886" s="192">
        <v>99</v>
      </c>
      <c r="C886" s="192">
        <v>0</v>
      </c>
      <c r="D886" s="192" t="s">
        <v>1699</v>
      </c>
      <c r="E886" s="192">
        <v>6338613</v>
      </c>
      <c r="F886" s="192" t="s">
        <v>1903</v>
      </c>
      <c r="G886" s="290">
        <v>0.35</v>
      </c>
      <c r="H886" s="192">
        <v>2970.55</v>
      </c>
      <c r="I886" s="192">
        <v>0</v>
      </c>
      <c r="J886" s="192">
        <v>0</v>
      </c>
      <c r="K886" s="192">
        <v>0</v>
      </c>
      <c r="L886" s="192">
        <v>108.11</v>
      </c>
      <c r="M886" s="192">
        <v>0</v>
      </c>
      <c r="N886" s="192">
        <v>0</v>
      </c>
      <c r="O886" s="192">
        <v>3078.66</v>
      </c>
      <c r="P886" s="192">
        <v>0</v>
      </c>
      <c r="Q886" s="192">
        <v>242.15</v>
      </c>
      <c r="R886" s="192">
        <v>0</v>
      </c>
      <c r="S886" s="285">
        <f t="shared" si="71"/>
        <v>0.34999999999999992</v>
      </c>
      <c r="T886" s="192">
        <v>0</v>
      </c>
      <c r="U886" s="291">
        <v>3320.81</v>
      </c>
      <c r="V886" s="291">
        <v>3320.81</v>
      </c>
      <c r="W886" s="292">
        <v>39714.720000000001</v>
      </c>
      <c r="X886" s="292">
        <v>39849.72</v>
      </c>
      <c r="Y886" s="292">
        <v>39759.72</v>
      </c>
      <c r="Z886" s="292">
        <v>43039.51</v>
      </c>
      <c r="AA886" s="290">
        <v>44029.418729999998</v>
      </c>
      <c r="AB886" s="285">
        <v>43685.102650000001</v>
      </c>
      <c r="AC886" s="290">
        <v>3309.56</v>
      </c>
      <c r="AD886" s="192">
        <v>12</v>
      </c>
      <c r="AE886" s="290">
        <v>3320.81</v>
      </c>
      <c r="AF886" s="194">
        <v>43035.53</v>
      </c>
      <c r="AG886" s="215"/>
      <c r="AJ886" s="388">
        <f t="shared" si="72"/>
        <v>0</v>
      </c>
    </row>
    <row r="887" spans="1:36" x14ac:dyDescent="0.3">
      <c r="A887" s="192">
        <v>5831</v>
      </c>
      <c r="B887" s="192">
        <v>99</v>
      </c>
      <c r="C887" s="192">
        <v>0</v>
      </c>
      <c r="D887" s="192" t="s">
        <v>1699</v>
      </c>
      <c r="E887" s="192">
        <v>6338614</v>
      </c>
      <c r="F887" s="192" t="s">
        <v>1904</v>
      </c>
      <c r="G887" s="290">
        <v>0.7</v>
      </c>
      <c r="H887" s="192">
        <v>5359.13</v>
      </c>
      <c r="I887" s="192">
        <v>0</v>
      </c>
      <c r="J887" s="192">
        <v>0</v>
      </c>
      <c r="K887" s="192">
        <v>0</v>
      </c>
      <c r="L887" s="192">
        <v>158.09</v>
      </c>
      <c r="M887" s="192">
        <v>0</v>
      </c>
      <c r="N887" s="192">
        <v>0</v>
      </c>
      <c r="O887" s="192">
        <v>5517.22</v>
      </c>
      <c r="P887" s="192">
        <v>0</v>
      </c>
      <c r="Q887" s="192">
        <v>425.04</v>
      </c>
      <c r="R887" s="192">
        <v>0</v>
      </c>
      <c r="S887" s="285">
        <f t="shared" si="71"/>
        <v>0.69999999999999984</v>
      </c>
      <c r="T887" s="192">
        <v>0</v>
      </c>
      <c r="U887" s="291">
        <v>5942.26</v>
      </c>
      <c r="V887" s="291">
        <v>5942.26</v>
      </c>
      <c r="W887" s="292">
        <v>71172.12</v>
      </c>
      <c r="X887" s="292">
        <v>71307.12</v>
      </c>
      <c r="Y887" s="292">
        <v>71217.119999999995</v>
      </c>
      <c r="Z887" s="292">
        <v>80706.81</v>
      </c>
      <c r="AA887" s="290">
        <v>82563.066629999987</v>
      </c>
      <c r="AB887" s="285">
        <v>81917.412149999989</v>
      </c>
      <c r="AC887" s="290">
        <v>5931.01</v>
      </c>
      <c r="AD887" s="192">
        <v>12</v>
      </c>
      <c r="AE887" s="290">
        <v>5942.26</v>
      </c>
      <c r="AF887" s="194">
        <v>77114.37999999999</v>
      </c>
      <c r="AG887" s="215"/>
      <c r="AJ887" s="388">
        <f t="shared" si="72"/>
        <v>0</v>
      </c>
    </row>
    <row r="888" spans="1:36" x14ac:dyDescent="0.3">
      <c r="A888" s="192">
        <v>5831</v>
      </c>
      <c r="B888" s="192">
        <v>99</v>
      </c>
      <c r="C888" s="192">
        <v>0</v>
      </c>
      <c r="D888" s="192" t="s">
        <v>1699</v>
      </c>
      <c r="E888" s="192">
        <v>6340233</v>
      </c>
      <c r="F888" s="192" t="s">
        <v>1905</v>
      </c>
      <c r="G888" s="290">
        <v>0.40250000000000002</v>
      </c>
      <c r="H888" s="192">
        <v>3410.81</v>
      </c>
      <c r="I888" s="192">
        <v>175.66</v>
      </c>
      <c r="J888" s="192">
        <v>0</v>
      </c>
      <c r="K888" s="192">
        <v>0</v>
      </c>
      <c r="L888" s="192">
        <v>129.1</v>
      </c>
      <c r="M888" s="192">
        <v>0</v>
      </c>
      <c r="N888" s="192">
        <v>0</v>
      </c>
      <c r="O888" s="192">
        <v>3715.57</v>
      </c>
      <c r="P888" s="192">
        <v>0</v>
      </c>
      <c r="Q888" s="192">
        <v>289.92</v>
      </c>
      <c r="R888" s="192">
        <v>0</v>
      </c>
      <c r="S888" s="285">
        <f t="shared" si="71"/>
        <v>0.40250000000000002</v>
      </c>
      <c r="T888" s="192">
        <v>0</v>
      </c>
      <c r="U888" s="291">
        <v>4005.49</v>
      </c>
      <c r="V888" s="291">
        <v>4005.49</v>
      </c>
      <c r="W888" s="292">
        <v>47930.879999999997</v>
      </c>
      <c r="X888" s="292">
        <v>48065.88</v>
      </c>
      <c r="Y888" s="292">
        <v>47975.88</v>
      </c>
      <c r="Z888" s="292">
        <v>65084.53</v>
      </c>
      <c r="AA888" s="290">
        <v>0</v>
      </c>
      <c r="AB888" s="285">
        <v>0</v>
      </c>
      <c r="AC888" s="290">
        <v>3994.24</v>
      </c>
      <c r="AD888" s="192">
        <v>12</v>
      </c>
      <c r="AE888" s="290">
        <v>4005.49</v>
      </c>
      <c r="AF888" s="194">
        <v>51936.369999999995</v>
      </c>
      <c r="AG888" s="215"/>
      <c r="AJ888" s="388">
        <f t="shared" si="72"/>
        <v>0</v>
      </c>
    </row>
    <row r="889" spans="1:36" x14ac:dyDescent="0.3">
      <c r="A889" s="192">
        <v>5831</v>
      </c>
      <c r="B889" s="192">
        <v>99</v>
      </c>
      <c r="C889" s="192">
        <v>0</v>
      </c>
      <c r="D889" s="192" t="s">
        <v>1699</v>
      </c>
      <c r="E889" s="192">
        <v>6340434</v>
      </c>
      <c r="F889" s="192" t="s">
        <v>1906</v>
      </c>
      <c r="G889" s="290">
        <v>0.7</v>
      </c>
      <c r="H889" s="192">
        <v>5965.02</v>
      </c>
      <c r="I889" s="192">
        <v>0</v>
      </c>
      <c r="J889" s="192">
        <v>0</v>
      </c>
      <c r="K889" s="192">
        <v>0</v>
      </c>
      <c r="L889" s="192">
        <v>175.36</v>
      </c>
      <c r="M889" s="192">
        <v>0</v>
      </c>
      <c r="N889" s="192">
        <v>0</v>
      </c>
      <c r="O889" s="192">
        <v>6140.38</v>
      </c>
      <c r="P889" s="192">
        <v>0</v>
      </c>
      <c r="Q889" s="192">
        <v>471.78</v>
      </c>
      <c r="R889" s="192">
        <v>0</v>
      </c>
      <c r="S889" s="285">
        <f t="shared" si="71"/>
        <v>0.69999999999999984</v>
      </c>
      <c r="T889" s="192">
        <v>0</v>
      </c>
      <c r="U889" s="291">
        <v>6612.16</v>
      </c>
      <c r="V889" s="291">
        <v>6612.16</v>
      </c>
      <c r="W889" s="292">
        <v>79210.92</v>
      </c>
      <c r="X889" s="292">
        <v>79345.919999999998</v>
      </c>
      <c r="Y889" s="292">
        <v>79255.92</v>
      </c>
      <c r="Z889" s="292">
        <v>89167.77</v>
      </c>
      <c r="AA889" s="290">
        <v>91218.628709999975</v>
      </c>
      <c r="AB889" s="285">
        <v>90505.286549999975</v>
      </c>
      <c r="AC889" s="290">
        <v>6600.91</v>
      </c>
      <c r="AD889" s="192">
        <v>12</v>
      </c>
      <c r="AE889" s="290">
        <v>6612.16</v>
      </c>
      <c r="AF889" s="194">
        <v>85823.08</v>
      </c>
      <c r="AG889" s="215"/>
      <c r="AJ889" s="388">
        <f t="shared" si="72"/>
        <v>0</v>
      </c>
    </row>
    <row r="890" spans="1:36" x14ac:dyDescent="0.3">
      <c r="A890" s="192">
        <v>5831</v>
      </c>
      <c r="B890" s="192">
        <v>99</v>
      </c>
      <c r="C890" s="192">
        <v>0</v>
      </c>
      <c r="D890" s="192" t="s">
        <v>1699</v>
      </c>
      <c r="E890" s="192">
        <v>6342183</v>
      </c>
      <c r="F890" s="192" t="s">
        <v>1907</v>
      </c>
      <c r="G890" s="290">
        <v>0.36</v>
      </c>
      <c r="H890" s="192">
        <v>2238.7199999999998</v>
      </c>
      <c r="I890" s="192">
        <v>0</v>
      </c>
      <c r="J890" s="192">
        <v>0</v>
      </c>
      <c r="K890" s="192">
        <v>0</v>
      </c>
      <c r="L890" s="192">
        <v>62.57</v>
      </c>
      <c r="M890" s="192">
        <v>0</v>
      </c>
      <c r="N890" s="192">
        <v>0</v>
      </c>
      <c r="O890" s="192">
        <v>2301.29</v>
      </c>
      <c r="P890" s="192">
        <v>0</v>
      </c>
      <c r="Q890" s="192">
        <v>183.85</v>
      </c>
      <c r="R890" s="192">
        <v>0</v>
      </c>
      <c r="S890" s="285">
        <f t="shared" si="71"/>
        <v>0.36000000000000004</v>
      </c>
      <c r="T890" s="192">
        <v>0</v>
      </c>
      <c r="U890" s="291">
        <v>2485.14</v>
      </c>
      <c r="V890" s="291">
        <v>2485.14</v>
      </c>
      <c r="W890" s="292">
        <v>29686.68</v>
      </c>
      <c r="X890" s="292">
        <v>29821.68</v>
      </c>
      <c r="Y890" s="292">
        <v>29731.68</v>
      </c>
      <c r="Z890" s="292">
        <v>32708.880000000001</v>
      </c>
      <c r="AA890" s="290">
        <v>33461.184239999995</v>
      </c>
      <c r="AB890" s="285">
        <v>33199.513199999994</v>
      </c>
      <c r="AC890" s="290">
        <v>2473.89</v>
      </c>
      <c r="AD890" s="192">
        <v>12</v>
      </c>
      <c r="AE890" s="290">
        <v>2485.14</v>
      </c>
      <c r="AF890" s="194">
        <v>32171.82</v>
      </c>
      <c r="AG890" s="215"/>
      <c r="AJ890" s="388">
        <f t="shared" si="72"/>
        <v>0</v>
      </c>
    </row>
    <row r="891" spans="1:36" x14ac:dyDescent="0.3">
      <c r="A891" s="192">
        <v>5831</v>
      </c>
      <c r="B891" s="192">
        <v>99</v>
      </c>
      <c r="C891" s="192">
        <v>0</v>
      </c>
      <c r="D891" s="192" t="s">
        <v>1699</v>
      </c>
      <c r="E891" s="192">
        <v>6344871</v>
      </c>
      <c r="F891" s="192" t="s">
        <v>1908</v>
      </c>
      <c r="G891" s="290">
        <v>0.4</v>
      </c>
      <c r="H891" s="192">
        <v>2549.58</v>
      </c>
      <c r="I891" s="192">
        <v>0</v>
      </c>
      <c r="J891" s="192">
        <v>0</v>
      </c>
      <c r="K891" s="192">
        <v>0</v>
      </c>
      <c r="L891" s="192">
        <v>163.65</v>
      </c>
      <c r="M891" s="192">
        <v>0</v>
      </c>
      <c r="N891" s="192">
        <v>0</v>
      </c>
      <c r="O891" s="192">
        <v>2713.23</v>
      </c>
      <c r="P891" s="192">
        <v>0</v>
      </c>
      <c r="Q891" s="192">
        <v>214.74</v>
      </c>
      <c r="R891" s="192">
        <v>0</v>
      </c>
      <c r="S891" s="285">
        <f t="shared" si="71"/>
        <v>0.40000000000000008</v>
      </c>
      <c r="T891" s="192">
        <v>0</v>
      </c>
      <c r="U891" s="291">
        <v>2927.97</v>
      </c>
      <c r="V891" s="291">
        <v>2927.97</v>
      </c>
      <c r="W891" s="292">
        <v>35000.639999999999</v>
      </c>
      <c r="X891" s="292">
        <v>35135.64</v>
      </c>
      <c r="Y891" s="292">
        <v>35045.64</v>
      </c>
      <c r="Z891" s="292">
        <v>38108.29</v>
      </c>
      <c r="AA891" s="290">
        <v>38984.78067</v>
      </c>
      <c r="AB891" s="285">
        <v>38679.914349999999</v>
      </c>
      <c r="AC891" s="290">
        <v>2916.72</v>
      </c>
      <c r="AD891" s="192">
        <v>12</v>
      </c>
      <c r="AE891" s="290">
        <v>2927.97</v>
      </c>
      <c r="AF891" s="194">
        <v>37928.61</v>
      </c>
      <c r="AG891" s="215"/>
      <c r="AJ891" s="388">
        <f t="shared" si="72"/>
        <v>0</v>
      </c>
    </row>
    <row r="892" spans="1:36" x14ac:dyDescent="0.3">
      <c r="A892" s="192">
        <v>5831</v>
      </c>
      <c r="B892" s="192">
        <v>99</v>
      </c>
      <c r="C892" s="192">
        <v>0</v>
      </c>
      <c r="D892" s="192" t="s">
        <v>1699</v>
      </c>
      <c r="E892" s="192">
        <v>6345214</v>
      </c>
      <c r="F892" s="192" t="s">
        <v>1909</v>
      </c>
      <c r="G892" s="290">
        <v>0.38400000000000001</v>
      </c>
      <c r="H892" s="192">
        <v>2677.04</v>
      </c>
      <c r="I892" s="192">
        <v>0</v>
      </c>
      <c r="J892" s="192">
        <v>0</v>
      </c>
      <c r="K892" s="192">
        <v>0</v>
      </c>
      <c r="L892" s="192">
        <v>182.9</v>
      </c>
      <c r="M892" s="192">
        <v>0</v>
      </c>
      <c r="N892" s="192">
        <v>0</v>
      </c>
      <c r="O892" s="192">
        <v>2859.94</v>
      </c>
      <c r="P892" s="192">
        <v>0</v>
      </c>
      <c r="Q892" s="192">
        <v>0</v>
      </c>
      <c r="R892" s="192">
        <v>0</v>
      </c>
      <c r="S892" s="285">
        <f t="shared" si="71"/>
        <v>0.38400000000000006</v>
      </c>
      <c r="T892" s="192">
        <v>0</v>
      </c>
      <c r="U892" s="291">
        <v>2859.94</v>
      </c>
      <c r="V892" s="291">
        <v>2859.94</v>
      </c>
      <c r="W892" s="292">
        <v>34319.279999999999</v>
      </c>
      <c r="X892" s="292">
        <v>34319.279999999999</v>
      </c>
      <c r="Y892" s="292">
        <v>34319.279999999999</v>
      </c>
      <c r="Z892" s="292">
        <v>37468.04</v>
      </c>
      <c r="AA892" s="290">
        <v>38329.804919999995</v>
      </c>
      <c r="AB892" s="285">
        <v>38030.060599999997</v>
      </c>
      <c r="AC892" s="290">
        <v>2859.94</v>
      </c>
      <c r="AD892" s="192">
        <v>12</v>
      </c>
      <c r="AE892" s="290">
        <v>2859.94</v>
      </c>
      <c r="AF892" s="194">
        <v>37179.22</v>
      </c>
      <c r="AG892" s="215"/>
      <c r="AJ892" s="388">
        <f t="shared" si="72"/>
        <v>0</v>
      </c>
    </row>
    <row r="893" spans="1:36" x14ac:dyDescent="0.3">
      <c r="A893" s="192">
        <v>5831</v>
      </c>
      <c r="B893" s="192">
        <v>99</v>
      </c>
      <c r="C893" s="192">
        <v>0</v>
      </c>
      <c r="D893" s="192" t="s">
        <v>1699</v>
      </c>
      <c r="E893" s="192">
        <v>6345644</v>
      </c>
      <c r="F893" s="192" t="s">
        <v>1910</v>
      </c>
      <c r="G893" s="290">
        <v>0.35</v>
      </c>
      <c r="H893" s="192">
        <v>2303.34</v>
      </c>
      <c r="I893" s="192">
        <v>0</v>
      </c>
      <c r="J893" s="192">
        <v>0</v>
      </c>
      <c r="K893" s="192">
        <v>0</v>
      </c>
      <c r="L893" s="192">
        <v>58.26</v>
      </c>
      <c r="M893" s="192">
        <v>0</v>
      </c>
      <c r="N893" s="192">
        <v>92</v>
      </c>
      <c r="O893" s="192">
        <v>2453.6</v>
      </c>
      <c r="P893" s="192">
        <v>0</v>
      </c>
      <c r="Q893" s="192">
        <v>195.27</v>
      </c>
      <c r="R893" s="192">
        <v>0</v>
      </c>
      <c r="S893" s="285">
        <f t="shared" si="71"/>
        <v>0.34999999999999992</v>
      </c>
      <c r="T893" s="192">
        <v>0</v>
      </c>
      <c r="U893" s="291">
        <v>2648.87</v>
      </c>
      <c r="V893" s="291">
        <v>2648.87</v>
      </c>
      <c r="W893" s="292">
        <v>31651.439999999999</v>
      </c>
      <c r="X893" s="292">
        <v>31786.44</v>
      </c>
      <c r="Y893" s="292">
        <v>31696.44</v>
      </c>
      <c r="Z893" s="292">
        <v>34747.15</v>
      </c>
      <c r="AA893" s="290">
        <v>35546.334449999995</v>
      </c>
      <c r="AB893" s="285">
        <v>35268.357250000001</v>
      </c>
      <c r="AC893" s="290">
        <v>2637.62</v>
      </c>
      <c r="AD893" s="192">
        <v>12</v>
      </c>
      <c r="AE893" s="290">
        <v>2648.87</v>
      </c>
      <c r="AF893" s="194">
        <v>34300.31</v>
      </c>
      <c r="AG893" s="215"/>
      <c r="AJ893" s="388">
        <f t="shared" si="72"/>
        <v>0</v>
      </c>
    </row>
    <row r="894" spans="1:36" x14ac:dyDescent="0.3">
      <c r="A894" s="192">
        <v>5831</v>
      </c>
      <c r="B894" s="192">
        <v>99</v>
      </c>
      <c r="C894" s="192">
        <v>0</v>
      </c>
      <c r="D894" s="192" t="s">
        <v>1699</v>
      </c>
      <c r="E894" s="192">
        <v>6347036</v>
      </c>
      <c r="F894" s="192" t="s">
        <v>1911</v>
      </c>
      <c r="G894" s="290">
        <v>0.38116</v>
      </c>
      <c r="H894" s="192">
        <v>2665.74</v>
      </c>
      <c r="I894" s="192">
        <v>72.989999999999995</v>
      </c>
      <c r="J894" s="192">
        <v>0</v>
      </c>
      <c r="K894" s="192">
        <v>0</v>
      </c>
      <c r="L894" s="192">
        <v>104.54</v>
      </c>
      <c r="M894" s="192">
        <v>0</v>
      </c>
      <c r="N894" s="192">
        <v>0</v>
      </c>
      <c r="O894" s="192">
        <v>2843.27</v>
      </c>
      <c r="P894" s="192">
        <v>0</v>
      </c>
      <c r="Q894" s="192">
        <v>224.5</v>
      </c>
      <c r="R894" s="192">
        <v>0</v>
      </c>
      <c r="S894" s="285">
        <f t="shared" si="71"/>
        <v>0.38116</v>
      </c>
      <c r="T894" s="192">
        <v>0</v>
      </c>
      <c r="U894" s="291">
        <v>3067.77</v>
      </c>
      <c r="V894" s="291">
        <v>3067.77</v>
      </c>
      <c r="W894" s="292">
        <v>36678.239999999998</v>
      </c>
      <c r="X894" s="292">
        <v>36813.24</v>
      </c>
      <c r="Y894" s="292">
        <v>36723.24</v>
      </c>
      <c r="Z894" s="292">
        <v>17217.57</v>
      </c>
      <c r="AA894" s="290">
        <v>0</v>
      </c>
      <c r="AB894" s="285">
        <v>0</v>
      </c>
      <c r="AC894" s="290">
        <v>3056.52</v>
      </c>
      <c r="AD894" s="192">
        <v>12</v>
      </c>
      <c r="AE894" s="290">
        <v>3067.77</v>
      </c>
      <c r="AF894" s="194">
        <v>39746.009999999995</v>
      </c>
      <c r="AG894" s="215"/>
      <c r="AJ894" s="388">
        <f t="shared" si="72"/>
        <v>0</v>
      </c>
    </row>
    <row r="895" spans="1:36" x14ac:dyDescent="0.3">
      <c r="A895" s="192">
        <v>5831</v>
      </c>
      <c r="B895" s="192">
        <v>99</v>
      </c>
      <c r="C895" s="192">
        <v>0</v>
      </c>
      <c r="D895" s="192" t="s">
        <v>1699</v>
      </c>
      <c r="E895" s="192">
        <v>6356033</v>
      </c>
      <c r="F895" s="192" t="s">
        <v>1912</v>
      </c>
      <c r="G895" s="290">
        <v>0.7</v>
      </c>
      <c r="H895" s="192">
        <v>5669.52</v>
      </c>
      <c r="I895" s="192">
        <v>0</v>
      </c>
      <c r="J895" s="192">
        <v>0</v>
      </c>
      <c r="K895" s="192">
        <v>0</v>
      </c>
      <c r="L895" s="192">
        <v>168.09</v>
      </c>
      <c r="M895" s="192">
        <v>0</v>
      </c>
      <c r="N895" s="192">
        <v>71</v>
      </c>
      <c r="O895" s="192">
        <v>5908.61</v>
      </c>
      <c r="P895" s="192">
        <v>0</v>
      </c>
      <c r="Q895" s="192">
        <v>454.4</v>
      </c>
      <c r="R895" s="192">
        <v>0</v>
      </c>
      <c r="S895" s="285">
        <f t="shared" si="71"/>
        <v>0.69999999999999984</v>
      </c>
      <c r="T895" s="192">
        <v>0</v>
      </c>
      <c r="U895" s="291">
        <v>6363.01</v>
      </c>
      <c r="V895" s="291">
        <v>6363.01</v>
      </c>
      <c r="W895" s="292">
        <v>76221.119999999995</v>
      </c>
      <c r="X895" s="292">
        <v>76356.12</v>
      </c>
      <c r="Y895" s="292">
        <v>76266.12</v>
      </c>
      <c r="Z895" s="292">
        <v>86125.82</v>
      </c>
      <c r="AA895" s="290">
        <v>88106.713859999989</v>
      </c>
      <c r="AB895" s="285">
        <v>87417.70729999998</v>
      </c>
      <c r="AC895" s="290">
        <v>6351.76</v>
      </c>
      <c r="AD895" s="192">
        <v>12</v>
      </c>
      <c r="AE895" s="290">
        <v>6363.01</v>
      </c>
      <c r="AF895" s="194">
        <v>82584.12999999999</v>
      </c>
      <c r="AG895" s="215"/>
      <c r="AJ895" s="388">
        <f t="shared" si="72"/>
        <v>0</v>
      </c>
    </row>
    <row r="896" spans="1:36" x14ac:dyDescent="0.3">
      <c r="A896" s="192">
        <v>5831</v>
      </c>
      <c r="B896" s="192">
        <v>99</v>
      </c>
      <c r="C896" s="192">
        <v>0</v>
      </c>
      <c r="D896" s="192" t="s">
        <v>1699</v>
      </c>
      <c r="E896" s="192">
        <v>6356034</v>
      </c>
      <c r="F896" s="192" t="s">
        <v>1913</v>
      </c>
      <c r="G896" s="290">
        <v>0.33</v>
      </c>
      <c r="H896" s="192">
        <v>2086.37</v>
      </c>
      <c r="I896" s="192">
        <v>0</v>
      </c>
      <c r="J896" s="192">
        <v>0</v>
      </c>
      <c r="K896" s="192">
        <v>0</v>
      </c>
      <c r="L896" s="192">
        <v>59.66</v>
      </c>
      <c r="M896" s="192">
        <v>0</v>
      </c>
      <c r="N896" s="192">
        <v>92.4</v>
      </c>
      <c r="O896" s="192">
        <v>2238.4299999999998</v>
      </c>
      <c r="P896" s="192">
        <v>0</v>
      </c>
      <c r="Q896" s="192">
        <v>179.13</v>
      </c>
      <c r="R896" s="192">
        <v>0</v>
      </c>
      <c r="S896" s="285">
        <f t="shared" si="71"/>
        <v>0.33</v>
      </c>
      <c r="T896" s="192">
        <v>0</v>
      </c>
      <c r="U896" s="291">
        <v>2417.56</v>
      </c>
      <c r="V896" s="291">
        <v>2417.56</v>
      </c>
      <c r="W896" s="292">
        <v>28875.72</v>
      </c>
      <c r="X896" s="292">
        <v>29010.720000000001</v>
      </c>
      <c r="Y896" s="292">
        <v>28920.720000000001</v>
      </c>
      <c r="Z896" s="292">
        <v>31676.52</v>
      </c>
      <c r="AA896" s="290">
        <v>32405.079959999999</v>
      </c>
      <c r="AB896" s="285">
        <v>32151.667799999996</v>
      </c>
      <c r="AC896" s="290">
        <v>2406.31</v>
      </c>
      <c r="AD896" s="192">
        <v>12</v>
      </c>
      <c r="AE896" s="290">
        <v>2417.56</v>
      </c>
      <c r="AF896" s="194">
        <v>31293.280000000002</v>
      </c>
      <c r="AG896" s="215"/>
      <c r="AJ896" s="388">
        <f t="shared" si="72"/>
        <v>0</v>
      </c>
    </row>
    <row r="897" spans="1:36" x14ac:dyDescent="0.3">
      <c r="A897" s="192">
        <v>5831</v>
      </c>
      <c r="B897" s="192">
        <v>99</v>
      </c>
      <c r="C897" s="192">
        <v>0</v>
      </c>
      <c r="D897" s="192" t="s">
        <v>1699</v>
      </c>
      <c r="E897" s="192">
        <v>6356038</v>
      </c>
      <c r="F897" s="192" t="s">
        <v>1914</v>
      </c>
      <c r="G897" s="290">
        <v>0.7</v>
      </c>
      <c r="H897" s="192">
        <v>4652.0600000000004</v>
      </c>
      <c r="I897" s="192">
        <v>0</v>
      </c>
      <c r="J897" s="192">
        <v>0</v>
      </c>
      <c r="K897" s="192">
        <v>0</v>
      </c>
      <c r="L897" s="192">
        <v>175.53</v>
      </c>
      <c r="M897" s="192">
        <v>0</v>
      </c>
      <c r="N897" s="192">
        <v>0</v>
      </c>
      <c r="O897" s="192">
        <v>4827.59</v>
      </c>
      <c r="P897" s="192">
        <v>0</v>
      </c>
      <c r="Q897" s="192">
        <v>373.32</v>
      </c>
      <c r="R897" s="192">
        <v>0</v>
      </c>
      <c r="S897" s="285">
        <f t="shared" si="71"/>
        <v>0.69999999999999984</v>
      </c>
      <c r="T897" s="192">
        <v>0</v>
      </c>
      <c r="U897" s="291">
        <v>5200.91</v>
      </c>
      <c r="V897" s="291">
        <v>5200.91</v>
      </c>
      <c r="W897" s="292">
        <v>62275.92</v>
      </c>
      <c r="X897" s="292">
        <v>62410.92</v>
      </c>
      <c r="Y897" s="292">
        <v>62320.92</v>
      </c>
      <c r="Z897" s="292">
        <v>71517.03</v>
      </c>
      <c r="AA897" s="290">
        <v>73161.921689999988</v>
      </c>
      <c r="AB897" s="285">
        <v>72589.785449999996</v>
      </c>
      <c r="AC897" s="290">
        <v>5189.66</v>
      </c>
      <c r="AD897" s="192">
        <v>12</v>
      </c>
      <c r="AE897" s="290">
        <v>5200.91</v>
      </c>
      <c r="AF897" s="194">
        <v>67476.83</v>
      </c>
      <c r="AG897" s="215"/>
      <c r="AJ897" s="388">
        <f t="shared" si="72"/>
        <v>0</v>
      </c>
    </row>
    <row r="898" spans="1:36" x14ac:dyDescent="0.3">
      <c r="A898" s="192">
        <v>5831</v>
      </c>
      <c r="B898" s="192">
        <v>99</v>
      </c>
      <c r="C898" s="192">
        <v>0</v>
      </c>
      <c r="D898" s="192" t="s">
        <v>1699</v>
      </c>
      <c r="E898" s="192">
        <v>6356983</v>
      </c>
      <c r="F898" s="192" t="s">
        <v>1915</v>
      </c>
      <c r="G898" s="290">
        <v>0.4</v>
      </c>
      <c r="H898" s="192">
        <v>2568.09</v>
      </c>
      <c r="I898" s="192">
        <v>73.13</v>
      </c>
      <c r="J898" s="192">
        <v>0</v>
      </c>
      <c r="K898" s="192">
        <v>0</v>
      </c>
      <c r="L898" s="192">
        <v>100.89</v>
      </c>
      <c r="M898" s="192">
        <v>0</v>
      </c>
      <c r="N898" s="192">
        <v>0</v>
      </c>
      <c r="O898" s="192">
        <v>2742.11</v>
      </c>
      <c r="P898" s="192">
        <v>0</v>
      </c>
      <c r="Q898" s="192">
        <v>216.91</v>
      </c>
      <c r="R898" s="192">
        <v>0</v>
      </c>
      <c r="S898" s="285">
        <f t="shared" si="71"/>
        <v>0.40000000000000008</v>
      </c>
      <c r="T898" s="192">
        <v>0</v>
      </c>
      <c r="U898" s="291">
        <v>2959.02</v>
      </c>
      <c r="V898" s="291">
        <v>2959.02</v>
      </c>
      <c r="W898" s="292">
        <v>35373.24</v>
      </c>
      <c r="X898" s="292">
        <v>35508.239999999998</v>
      </c>
      <c r="Y898" s="292">
        <v>35418.239999999998</v>
      </c>
      <c r="Z898" s="292">
        <v>60816.78</v>
      </c>
      <c r="AA898" s="290">
        <v>0</v>
      </c>
      <c r="AB898" s="285">
        <v>0</v>
      </c>
      <c r="AC898" s="290">
        <v>2947.77</v>
      </c>
      <c r="AD898" s="192">
        <v>12</v>
      </c>
      <c r="AE898" s="290">
        <v>2959.02</v>
      </c>
      <c r="AF898" s="194">
        <v>38332.259999999995</v>
      </c>
      <c r="AG898" s="215"/>
      <c r="AJ898" s="388">
        <f t="shared" si="72"/>
        <v>0</v>
      </c>
    </row>
    <row r="899" spans="1:36" x14ac:dyDescent="0.3">
      <c r="A899" s="192">
        <v>5831</v>
      </c>
      <c r="B899" s="192">
        <v>99</v>
      </c>
      <c r="C899" s="192">
        <v>0</v>
      </c>
      <c r="D899" s="192" t="s">
        <v>1699</v>
      </c>
      <c r="E899" s="192">
        <v>6377623</v>
      </c>
      <c r="F899" s="192" t="s">
        <v>1916</v>
      </c>
      <c r="G899" s="290">
        <v>0.60899999999999999</v>
      </c>
      <c r="H899" s="192">
        <v>4766.32</v>
      </c>
      <c r="I899" s="192">
        <v>61.05</v>
      </c>
      <c r="J899" s="192">
        <v>0</v>
      </c>
      <c r="K899" s="192">
        <v>0</v>
      </c>
      <c r="L899" s="192">
        <v>188.75</v>
      </c>
      <c r="M899" s="192">
        <v>0</v>
      </c>
      <c r="N899" s="192">
        <v>196</v>
      </c>
      <c r="O899" s="192">
        <v>5212.12</v>
      </c>
      <c r="P899" s="192">
        <v>0</v>
      </c>
      <c r="Q899" s="192">
        <v>402.16</v>
      </c>
      <c r="R899" s="192">
        <v>0</v>
      </c>
      <c r="S899" s="285">
        <f t="shared" si="71"/>
        <v>0.60899999999999999</v>
      </c>
      <c r="T899" s="192">
        <v>0</v>
      </c>
      <c r="U899" s="291">
        <v>5614.28</v>
      </c>
      <c r="V899" s="291">
        <v>5614.28</v>
      </c>
      <c r="W899" s="292">
        <v>67236.36</v>
      </c>
      <c r="X899" s="292">
        <v>67371.360000000001</v>
      </c>
      <c r="Y899" s="292">
        <v>67281.36</v>
      </c>
      <c r="Z899" s="292">
        <v>75870.679999999993</v>
      </c>
      <c r="AA899" s="290">
        <v>77603.889989999996</v>
      </c>
      <c r="AB899" s="285">
        <v>76997.01694999999</v>
      </c>
      <c r="AC899" s="290">
        <v>5603.03</v>
      </c>
      <c r="AD899" s="192">
        <v>12</v>
      </c>
      <c r="AE899" s="290">
        <v>5614.28</v>
      </c>
      <c r="AF899" s="194">
        <v>72850.64</v>
      </c>
      <c r="AG899" s="215"/>
      <c r="AJ899" s="388">
        <f t="shared" si="72"/>
        <v>0</v>
      </c>
    </row>
    <row r="900" spans="1:36" x14ac:dyDescent="0.3">
      <c r="A900" s="192">
        <v>5831</v>
      </c>
      <c r="B900" s="192">
        <v>99</v>
      </c>
      <c r="C900" s="192">
        <v>0</v>
      </c>
      <c r="D900" s="192" t="s">
        <v>1699</v>
      </c>
      <c r="E900" s="192">
        <v>6379031</v>
      </c>
      <c r="F900" s="192" t="s">
        <v>1917</v>
      </c>
      <c r="G900" s="290">
        <v>0.58599999999999997</v>
      </c>
      <c r="H900" s="192">
        <v>3429.68</v>
      </c>
      <c r="I900" s="192">
        <v>0</v>
      </c>
      <c r="J900" s="192">
        <v>0</v>
      </c>
      <c r="K900" s="192">
        <v>0</v>
      </c>
      <c r="L900" s="192">
        <v>262.95999999999998</v>
      </c>
      <c r="M900" s="192">
        <v>0</v>
      </c>
      <c r="N900" s="192">
        <v>0</v>
      </c>
      <c r="O900" s="192">
        <v>3692.64</v>
      </c>
      <c r="P900" s="192">
        <v>0</v>
      </c>
      <c r="Q900" s="192">
        <v>288.2</v>
      </c>
      <c r="R900" s="192">
        <v>0</v>
      </c>
      <c r="S900" s="285">
        <f t="shared" si="71"/>
        <v>0.58599999999999997</v>
      </c>
      <c r="T900" s="192">
        <v>0</v>
      </c>
      <c r="U900" s="291">
        <v>3980.84</v>
      </c>
      <c r="V900" s="291">
        <v>3980.84</v>
      </c>
      <c r="W900" s="292">
        <v>47635.08</v>
      </c>
      <c r="X900" s="292">
        <v>47770.080000000002</v>
      </c>
      <c r="Y900" s="292">
        <v>47680.08</v>
      </c>
      <c r="Z900" s="292">
        <v>51324.26</v>
      </c>
      <c r="AA900" s="290">
        <v>52504.717979999994</v>
      </c>
      <c r="AB900" s="285">
        <v>52094.123899999999</v>
      </c>
      <c r="AC900" s="290">
        <v>3969.59</v>
      </c>
      <c r="AD900" s="192">
        <v>12</v>
      </c>
      <c r="AE900" s="290">
        <v>3980.84</v>
      </c>
      <c r="AF900" s="194">
        <v>51615.92</v>
      </c>
      <c r="AG900" s="215"/>
      <c r="AJ900" s="388">
        <f t="shared" si="72"/>
        <v>0</v>
      </c>
    </row>
    <row r="901" spans="1:36" x14ac:dyDescent="0.3">
      <c r="A901" s="192">
        <v>5831</v>
      </c>
      <c r="B901" s="192">
        <v>99</v>
      </c>
      <c r="C901" s="192">
        <v>0</v>
      </c>
      <c r="D901" s="192" t="s">
        <v>1699</v>
      </c>
      <c r="E901" s="192">
        <v>6379032</v>
      </c>
      <c r="F901" s="192" t="s">
        <v>1918</v>
      </c>
      <c r="G901" s="290">
        <v>0.42499999999999999</v>
      </c>
      <c r="H901" s="192">
        <v>2403.2600000000002</v>
      </c>
      <c r="I901" s="192">
        <v>0</v>
      </c>
      <c r="J901" s="192">
        <v>0</v>
      </c>
      <c r="K901" s="192">
        <v>0</v>
      </c>
      <c r="L901" s="192">
        <v>342.61</v>
      </c>
      <c r="M901" s="192">
        <v>0</v>
      </c>
      <c r="N901" s="192">
        <v>0</v>
      </c>
      <c r="O901" s="192">
        <v>2745.87</v>
      </c>
      <c r="P901" s="192">
        <v>0</v>
      </c>
      <c r="Q901" s="192">
        <v>217.19</v>
      </c>
      <c r="R901" s="192">
        <v>0</v>
      </c>
      <c r="S901" s="285">
        <f t="shared" si="71"/>
        <v>0.42499999999999999</v>
      </c>
      <c r="T901" s="192">
        <v>0</v>
      </c>
      <c r="U901" s="291">
        <v>2963.06</v>
      </c>
      <c r="V901" s="291">
        <v>2963.06</v>
      </c>
      <c r="W901" s="292">
        <v>35421.72</v>
      </c>
      <c r="X901" s="292">
        <v>35556.720000000001</v>
      </c>
      <c r="Y901" s="292">
        <v>35466.720000000001</v>
      </c>
      <c r="Z901" s="292">
        <v>38424.71</v>
      </c>
      <c r="AA901" s="290">
        <v>39308.478329999998</v>
      </c>
      <c r="AB901" s="285">
        <v>39001.080649999996</v>
      </c>
      <c r="AC901" s="290">
        <v>2951.81</v>
      </c>
      <c r="AD901" s="192">
        <v>12</v>
      </c>
      <c r="AE901" s="290">
        <v>2963.06</v>
      </c>
      <c r="AF901" s="194">
        <v>38384.78</v>
      </c>
      <c r="AG901" s="215"/>
      <c r="AJ901" s="388">
        <f t="shared" si="72"/>
        <v>0</v>
      </c>
    </row>
    <row r="902" spans="1:36" x14ac:dyDescent="0.3">
      <c r="A902" s="192">
        <v>5831</v>
      </c>
      <c r="B902" s="192">
        <v>99</v>
      </c>
      <c r="C902" s="192">
        <v>0</v>
      </c>
      <c r="D902" s="192" t="s">
        <v>1699</v>
      </c>
      <c r="E902" s="192">
        <v>6379045</v>
      </c>
      <c r="F902" s="192" t="s">
        <v>1919</v>
      </c>
      <c r="G902" s="290">
        <v>0.7</v>
      </c>
      <c r="H902" s="192">
        <v>4442.6099999999997</v>
      </c>
      <c r="I902" s="192">
        <v>0</v>
      </c>
      <c r="J902" s="192">
        <v>0</v>
      </c>
      <c r="K902" s="192">
        <v>0</v>
      </c>
      <c r="L902" s="192">
        <v>168.07</v>
      </c>
      <c r="M902" s="192">
        <v>0</v>
      </c>
      <c r="N902" s="192">
        <v>0</v>
      </c>
      <c r="O902" s="192">
        <v>4610.68</v>
      </c>
      <c r="P902" s="192">
        <v>0</v>
      </c>
      <c r="Q902" s="192">
        <v>357.05</v>
      </c>
      <c r="R902" s="192">
        <v>0</v>
      </c>
      <c r="S902" s="285">
        <f t="shared" si="71"/>
        <v>0.69999999999999984</v>
      </c>
      <c r="T902" s="192">
        <v>0</v>
      </c>
      <c r="U902" s="291">
        <v>4967.7299999999996</v>
      </c>
      <c r="V902" s="291">
        <v>4967.7299999999996</v>
      </c>
      <c r="W902" s="292">
        <v>59477.759999999995</v>
      </c>
      <c r="X902" s="292">
        <v>59612.759999999995</v>
      </c>
      <c r="Y902" s="292">
        <v>59522.760000000009</v>
      </c>
      <c r="Z902" s="292">
        <v>68833.009999999995</v>
      </c>
      <c r="AA902" s="290">
        <v>70416.169229999985</v>
      </c>
      <c r="AB902" s="285">
        <v>69865.505149999983</v>
      </c>
      <c r="AC902" s="290">
        <v>4956.4799999999996</v>
      </c>
      <c r="AD902" s="192">
        <v>12</v>
      </c>
      <c r="AE902" s="290">
        <v>4967.7299999999996</v>
      </c>
      <c r="AF902" s="194">
        <v>64445.489999999991</v>
      </c>
      <c r="AG902" s="215"/>
      <c r="AJ902" s="388">
        <f t="shared" si="72"/>
        <v>0</v>
      </c>
    </row>
    <row r="903" spans="1:36" x14ac:dyDescent="0.3">
      <c r="A903" s="192">
        <v>5831</v>
      </c>
      <c r="B903" s="192">
        <v>99</v>
      </c>
      <c r="C903" s="192">
        <v>0</v>
      </c>
      <c r="D903" s="192" t="s">
        <v>1699</v>
      </c>
      <c r="E903" s="192">
        <v>6390023</v>
      </c>
      <c r="F903" s="192" t="s">
        <v>1920</v>
      </c>
      <c r="G903" s="290">
        <v>0.6</v>
      </c>
      <c r="H903" s="192">
        <v>6826.34</v>
      </c>
      <c r="I903" s="192">
        <v>0</v>
      </c>
      <c r="J903" s="192">
        <v>0</v>
      </c>
      <c r="K903" s="192">
        <v>0</v>
      </c>
      <c r="L903" s="192">
        <v>190.23</v>
      </c>
      <c r="M903" s="192">
        <v>0</v>
      </c>
      <c r="N903" s="192">
        <v>0</v>
      </c>
      <c r="O903" s="192">
        <v>7016.57</v>
      </c>
      <c r="P903" s="192">
        <v>0</v>
      </c>
      <c r="Q903" s="192">
        <v>537.49</v>
      </c>
      <c r="R903" s="192">
        <v>0</v>
      </c>
      <c r="S903" s="285">
        <f t="shared" si="71"/>
        <v>0.6</v>
      </c>
      <c r="T903" s="192">
        <v>0</v>
      </c>
      <c r="U903" s="291">
        <v>7554.06</v>
      </c>
      <c r="V903" s="291">
        <v>7554.06</v>
      </c>
      <c r="W903" s="292">
        <v>90513.72</v>
      </c>
      <c r="X903" s="292">
        <v>90648.72</v>
      </c>
      <c r="Y903" s="292">
        <v>90558.720000000001</v>
      </c>
      <c r="Z903" s="292">
        <v>97689.78</v>
      </c>
      <c r="AA903" s="290">
        <v>99936.644939999984</v>
      </c>
      <c r="AB903" s="285">
        <v>99155.126699999993</v>
      </c>
      <c r="AC903" s="290">
        <v>7542.81</v>
      </c>
      <c r="AD903" s="192">
        <v>12</v>
      </c>
      <c r="AE903" s="290">
        <v>7554.06</v>
      </c>
      <c r="AF903" s="194">
        <v>98067.78</v>
      </c>
      <c r="AG903" s="215"/>
      <c r="AJ903" s="388">
        <f t="shared" si="72"/>
        <v>0</v>
      </c>
    </row>
    <row r="904" spans="1:36" x14ac:dyDescent="0.3">
      <c r="A904" s="192">
        <v>5831</v>
      </c>
      <c r="B904" s="192">
        <v>99</v>
      </c>
      <c r="C904" s="192">
        <v>0</v>
      </c>
      <c r="D904" s="192" t="s">
        <v>1699</v>
      </c>
      <c r="E904" s="192">
        <v>6413114</v>
      </c>
      <c r="F904" s="192" t="s">
        <v>1921</v>
      </c>
      <c r="G904" s="290">
        <v>0.28999999999999998</v>
      </c>
      <c r="H904" s="192">
        <v>1906.79</v>
      </c>
      <c r="I904" s="192">
        <v>0</v>
      </c>
      <c r="J904" s="192">
        <v>0</v>
      </c>
      <c r="K904" s="192">
        <v>0</v>
      </c>
      <c r="L904" s="192">
        <v>117.01</v>
      </c>
      <c r="M904" s="192">
        <v>0</v>
      </c>
      <c r="N904" s="192">
        <v>0</v>
      </c>
      <c r="O904" s="192">
        <v>2023.8</v>
      </c>
      <c r="P904" s="192">
        <v>0</v>
      </c>
      <c r="Q904" s="192">
        <v>163.04</v>
      </c>
      <c r="R904" s="192">
        <v>0</v>
      </c>
      <c r="S904" s="285">
        <f t="shared" si="71"/>
        <v>0.28999999999999998</v>
      </c>
      <c r="T904" s="192">
        <v>0</v>
      </c>
      <c r="U904" s="291">
        <v>2186.84</v>
      </c>
      <c r="V904" s="291">
        <v>2186.84</v>
      </c>
      <c r="W904" s="292">
        <v>26107.08</v>
      </c>
      <c r="X904" s="292">
        <v>26242.080000000002</v>
      </c>
      <c r="Y904" s="292">
        <v>26152.080000000002</v>
      </c>
      <c r="Z904" s="292">
        <v>28488.46</v>
      </c>
      <c r="AA904" s="290">
        <v>29143.694579999996</v>
      </c>
      <c r="AB904" s="285">
        <v>28915.786899999996</v>
      </c>
      <c r="AC904" s="290">
        <v>2175.59</v>
      </c>
      <c r="AD904" s="192">
        <v>12</v>
      </c>
      <c r="AE904" s="290">
        <v>2186.84</v>
      </c>
      <c r="AF904" s="194">
        <v>28293.920000000002</v>
      </c>
      <c r="AG904" s="215"/>
      <c r="AJ904" s="388">
        <f t="shared" si="72"/>
        <v>0</v>
      </c>
    </row>
    <row r="905" spans="1:36" x14ac:dyDescent="0.3">
      <c r="A905" s="192">
        <v>5831</v>
      </c>
      <c r="B905" s="192">
        <v>99</v>
      </c>
      <c r="C905" s="192">
        <v>0</v>
      </c>
      <c r="D905" s="192" t="s">
        <v>1699</v>
      </c>
      <c r="E905" s="192">
        <v>6413526</v>
      </c>
      <c r="F905" s="192" t="s">
        <v>1922</v>
      </c>
      <c r="G905" s="290">
        <v>0.7</v>
      </c>
      <c r="H905" s="192">
        <v>6047.19</v>
      </c>
      <c r="I905" s="192">
        <v>1619.1</v>
      </c>
      <c r="J905" s="192">
        <v>0</v>
      </c>
      <c r="K905" s="192">
        <v>0</v>
      </c>
      <c r="L905" s="192">
        <v>311.14999999999998</v>
      </c>
      <c r="M905" s="192">
        <v>0</v>
      </c>
      <c r="N905" s="192">
        <v>0</v>
      </c>
      <c r="O905" s="192">
        <v>7977.44</v>
      </c>
      <c r="P905" s="192">
        <v>0</v>
      </c>
      <c r="Q905" s="192">
        <v>609.55999999999995</v>
      </c>
      <c r="R905" s="192">
        <v>0</v>
      </c>
      <c r="S905" s="285">
        <f t="shared" si="71"/>
        <v>0.69999999999999984</v>
      </c>
      <c r="T905" s="192">
        <v>0</v>
      </c>
      <c r="U905" s="291">
        <v>8587</v>
      </c>
      <c r="V905" s="291">
        <v>8587</v>
      </c>
      <c r="W905" s="292">
        <v>102909</v>
      </c>
      <c r="X905" s="292">
        <v>103044</v>
      </c>
      <c r="Y905" s="292">
        <v>102954</v>
      </c>
      <c r="Z905" s="292">
        <v>113563.23</v>
      </c>
      <c r="AA905" s="290">
        <v>116117.79398999999</v>
      </c>
      <c r="AB905" s="285">
        <v>115209.73694999999</v>
      </c>
      <c r="AC905" s="290">
        <v>8575.75</v>
      </c>
      <c r="AD905" s="192">
        <v>12</v>
      </c>
      <c r="AE905" s="290">
        <v>8587</v>
      </c>
      <c r="AF905" s="194">
        <v>111496</v>
      </c>
      <c r="AG905" s="215"/>
      <c r="AJ905" s="388">
        <f t="shared" si="72"/>
        <v>0</v>
      </c>
    </row>
    <row r="906" spans="1:36" x14ac:dyDescent="0.3">
      <c r="A906" s="192">
        <v>5831</v>
      </c>
      <c r="B906" s="192">
        <v>99</v>
      </c>
      <c r="C906" s="192">
        <v>0</v>
      </c>
      <c r="D906" s="192" t="s">
        <v>1699</v>
      </c>
      <c r="E906" s="192">
        <v>6414491</v>
      </c>
      <c r="F906" s="192" t="s">
        <v>1923</v>
      </c>
      <c r="G906" s="290">
        <v>0.56630000000000003</v>
      </c>
      <c r="H906" s="192">
        <v>4104.5200000000004</v>
      </c>
      <c r="I906" s="192">
        <v>0</v>
      </c>
      <c r="J906" s="192">
        <v>0</v>
      </c>
      <c r="K906" s="192">
        <v>0</v>
      </c>
      <c r="L906" s="192">
        <v>113.42</v>
      </c>
      <c r="M906" s="192">
        <v>0</v>
      </c>
      <c r="N906" s="192">
        <v>196</v>
      </c>
      <c r="O906" s="192">
        <v>4413.9399999999996</v>
      </c>
      <c r="P906" s="192">
        <v>0</v>
      </c>
      <c r="Q906" s="192">
        <v>342.3</v>
      </c>
      <c r="R906" s="192">
        <v>0</v>
      </c>
      <c r="S906" s="285">
        <f t="shared" si="71"/>
        <v>0.56630000000000003</v>
      </c>
      <c r="T906" s="192">
        <v>0</v>
      </c>
      <c r="U906" s="291">
        <v>4756.24</v>
      </c>
      <c r="V906" s="291">
        <v>4756.24</v>
      </c>
      <c r="W906" s="292">
        <v>56939.88</v>
      </c>
      <c r="X906" s="292">
        <v>57074.879999999997</v>
      </c>
      <c r="Y906" s="292">
        <v>56984.88</v>
      </c>
      <c r="Z906" s="292">
        <v>64276.44</v>
      </c>
      <c r="AA906" s="290">
        <v>65754.798119999992</v>
      </c>
      <c r="AB906" s="285">
        <v>65240.586599999995</v>
      </c>
      <c r="AC906" s="290">
        <v>4744.99</v>
      </c>
      <c r="AD906" s="192">
        <v>12</v>
      </c>
      <c r="AE906" s="290">
        <v>4756.24</v>
      </c>
      <c r="AF906" s="194">
        <v>61696.119999999995</v>
      </c>
      <c r="AG906" s="215"/>
      <c r="AJ906" s="388">
        <f t="shared" si="72"/>
        <v>0</v>
      </c>
    </row>
    <row r="907" spans="1:36" x14ac:dyDescent="0.3">
      <c r="A907" s="192">
        <v>5831</v>
      </c>
      <c r="B907" s="192">
        <v>99</v>
      </c>
      <c r="C907" s="192">
        <v>0</v>
      </c>
      <c r="D907" s="192" t="s">
        <v>1699</v>
      </c>
      <c r="E907" s="192">
        <v>6414798</v>
      </c>
      <c r="F907" s="192" t="s">
        <v>1924</v>
      </c>
      <c r="G907" s="290">
        <v>0.7</v>
      </c>
      <c r="H907" s="192">
        <v>4817.72</v>
      </c>
      <c r="I907" s="192">
        <v>0</v>
      </c>
      <c r="J907" s="192">
        <v>0</v>
      </c>
      <c r="K907" s="192">
        <v>0</v>
      </c>
      <c r="L907" s="192">
        <v>220.32</v>
      </c>
      <c r="M907" s="192">
        <v>0</v>
      </c>
      <c r="N907" s="192">
        <v>0</v>
      </c>
      <c r="O907" s="192">
        <v>5038.04</v>
      </c>
      <c r="P907" s="192">
        <v>0</v>
      </c>
      <c r="Q907" s="192">
        <v>389.1</v>
      </c>
      <c r="R907" s="192">
        <v>0</v>
      </c>
      <c r="S907" s="285">
        <f t="shared" si="71"/>
        <v>0.69999999999999984</v>
      </c>
      <c r="T907" s="192">
        <v>0</v>
      </c>
      <c r="U907" s="291">
        <v>5427.14</v>
      </c>
      <c r="V907" s="291">
        <v>5427.14</v>
      </c>
      <c r="W907" s="292">
        <v>64990.680000000008</v>
      </c>
      <c r="X907" s="292">
        <v>65125.680000000008</v>
      </c>
      <c r="Y907" s="292">
        <v>65035.680000000008</v>
      </c>
      <c r="Z907" s="292">
        <v>70699.509999999995</v>
      </c>
      <c r="AA907" s="290">
        <v>72325.598729999998</v>
      </c>
      <c r="AB907" s="285">
        <v>71760.002650000009</v>
      </c>
      <c r="AC907" s="290">
        <v>5415.89</v>
      </c>
      <c r="AD907" s="192">
        <v>12</v>
      </c>
      <c r="AE907" s="290">
        <v>5427.14</v>
      </c>
      <c r="AF907" s="194">
        <v>70417.820000000007</v>
      </c>
      <c r="AG907" s="215"/>
      <c r="AJ907" s="388">
        <f t="shared" si="72"/>
        <v>0</v>
      </c>
    </row>
    <row r="908" spans="1:36" x14ac:dyDescent="0.3">
      <c r="A908" s="192">
        <v>5831</v>
      </c>
      <c r="B908" s="192">
        <v>99</v>
      </c>
      <c r="C908" s="192">
        <v>0</v>
      </c>
      <c r="D908" s="192" t="s">
        <v>1699</v>
      </c>
      <c r="E908" s="192">
        <v>6415521</v>
      </c>
      <c r="F908" s="192" t="s">
        <v>1925</v>
      </c>
      <c r="G908" s="290">
        <v>0.4</v>
      </c>
      <c r="H908" s="192">
        <v>2762.3</v>
      </c>
      <c r="I908" s="192">
        <v>0</v>
      </c>
      <c r="J908" s="192">
        <v>0</v>
      </c>
      <c r="K908" s="192">
        <v>0</v>
      </c>
      <c r="L908" s="192">
        <v>126.3</v>
      </c>
      <c r="M908" s="192">
        <v>0</v>
      </c>
      <c r="N908" s="192">
        <v>0</v>
      </c>
      <c r="O908" s="192">
        <v>2888.6</v>
      </c>
      <c r="P908" s="192">
        <v>0</v>
      </c>
      <c r="Q908" s="192">
        <v>0</v>
      </c>
      <c r="R908" s="192">
        <v>0</v>
      </c>
      <c r="S908" s="285">
        <f t="shared" si="71"/>
        <v>0.40000000000000008</v>
      </c>
      <c r="T908" s="192">
        <v>0</v>
      </c>
      <c r="U908" s="291">
        <v>2888.6</v>
      </c>
      <c r="V908" s="291">
        <v>2888.6</v>
      </c>
      <c r="W908" s="292">
        <v>34663.199999999997</v>
      </c>
      <c r="X908" s="292">
        <v>34663.199999999997</v>
      </c>
      <c r="Y908" s="292">
        <v>34663.199999999997</v>
      </c>
      <c r="Z908" s="292">
        <v>37927.07</v>
      </c>
      <c r="AA908" s="290">
        <v>38799.392609999995</v>
      </c>
      <c r="AB908" s="285">
        <v>38495.976049999997</v>
      </c>
      <c r="AC908" s="290">
        <v>2888.6</v>
      </c>
      <c r="AD908" s="192">
        <v>12</v>
      </c>
      <c r="AE908" s="290">
        <v>2888.6</v>
      </c>
      <c r="AF908" s="194">
        <v>37551.799999999996</v>
      </c>
      <c r="AG908" s="215"/>
      <c r="AJ908" s="388">
        <f t="shared" si="72"/>
        <v>0</v>
      </c>
    </row>
    <row r="909" spans="1:36" x14ac:dyDescent="0.3">
      <c r="A909" s="192">
        <v>5831</v>
      </c>
      <c r="B909" s="192">
        <v>99</v>
      </c>
      <c r="C909" s="192">
        <v>0</v>
      </c>
      <c r="D909" s="192" t="s">
        <v>1699</v>
      </c>
      <c r="E909" s="192">
        <v>6418114</v>
      </c>
      <c r="F909" s="192" t="s">
        <v>1926</v>
      </c>
      <c r="G909" s="290">
        <v>0.7</v>
      </c>
      <c r="H909" s="192">
        <v>5965.44</v>
      </c>
      <c r="I909" s="192">
        <v>0</v>
      </c>
      <c r="J909" s="192">
        <v>0</v>
      </c>
      <c r="K909" s="192">
        <v>0</v>
      </c>
      <c r="L909" s="192">
        <v>300.3</v>
      </c>
      <c r="M909" s="192">
        <v>0</v>
      </c>
      <c r="N909" s="192">
        <v>0</v>
      </c>
      <c r="O909" s="192">
        <v>6265.74</v>
      </c>
      <c r="P909" s="192">
        <v>0</v>
      </c>
      <c r="Q909" s="192">
        <v>481.18</v>
      </c>
      <c r="R909" s="192">
        <v>0</v>
      </c>
      <c r="S909" s="285">
        <f t="shared" si="71"/>
        <v>0.69999999999999984</v>
      </c>
      <c r="T909" s="192">
        <v>0</v>
      </c>
      <c r="U909" s="291">
        <v>6746.92</v>
      </c>
      <c r="V909" s="291">
        <v>6746.92</v>
      </c>
      <c r="W909" s="292">
        <v>80828.040000000008</v>
      </c>
      <c r="X909" s="292">
        <v>80963.040000000008</v>
      </c>
      <c r="Y909" s="292">
        <v>80873.039999999994</v>
      </c>
      <c r="Z909" s="292">
        <v>90490.38</v>
      </c>
      <c r="AA909" s="290">
        <v>92571.658739999999</v>
      </c>
      <c r="AB909" s="285">
        <v>91847.73569999999</v>
      </c>
      <c r="AC909" s="290">
        <v>6735.67</v>
      </c>
      <c r="AD909" s="192">
        <v>12</v>
      </c>
      <c r="AE909" s="290">
        <v>6746.92</v>
      </c>
      <c r="AF909" s="194">
        <v>87574.96</v>
      </c>
      <c r="AG909" s="215"/>
      <c r="AJ909" s="388">
        <f t="shared" si="72"/>
        <v>0</v>
      </c>
    </row>
    <row r="910" spans="1:36" x14ac:dyDescent="0.3">
      <c r="A910" s="192">
        <v>5831</v>
      </c>
      <c r="B910" s="192">
        <v>99</v>
      </c>
      <c r="C910" s="192">
        <v>0</v>
      </c>
      <c r="D910" s="192" t="s">
        <v>1699</v>
      </c>
      <c r="E910" s="192">
        <v>6420412</v>
      </c>
      <c r="F910" s="192" t="s">
        <v>1927</v>
      </c>
      <c r="G910" s="290">
        <v>0.39</v>
      </c>
      <c r="H910" s="192">
        <v>2180.36</v>
      </c>
      <c r="I910" s="192">
        <v>0</v>
      </c>
      <c r="J910" s="192">
        <v>0</v>
      </c>
      <c r="K910" s="192">
        <v>0</v>
      </c>
      <c r="L910" s="192">
        <v>81.010000000000005</v>
      </c>
      <c r="M910" s="192">
        <v>0</v>
      </c>
      <c r="N910" s="192">
        <v>0</v>
      </c>
      <c r="O910" s="192">
        <v>2261.37</v>
      </c>
      <c r="P910" s="192">
        <v>0</v>
      </c>
      <c r="Q910" s="192">
        <v>0</v>
      </c>
      <c r="R910" s="192">
        <v>0</v>
      </c>
      <c r="S910" s="285">
        <f t="shared" si="71"/>
        <v>0.38999999999999996</v>
      </c>
      <c r="T910" s="192">
        <v>0</v>
      </c>
      <c r="U910" s="291">
        <v>2261.37</v>
      </c>
      <c r="V910" s="291">
        <v>2261.37</v>
      </c>
      <c r="W910" s="292">
        <v>27136.44</v>
      </c>
      <c r="X910" s="292">
        <v>27136.44</v>
      </c>
      <c r="Y910" s="292">
        <v>27136.44</v>
      </c>
      <c r="Z910" s="292">
        <v>30495.26</v>
      </c>
      <c r="AA910" s="290">
        <v>31196.650979999995</v>
      </c>
      <c r="AB910" s="285">
        <v>30952.688899999994</v>
      </c>
      <c r="AC910" s="290">
        <v>2261.37</v>
      </c>
      <c r="AD910" s="192">
        <v>12</v>
      </c>
      <c r="AE910" s="290">
        <v>2261.37</v>
      </c>
      <c r="AF910" s="194">
        <v>29397.809999999998</v>
      </c>
      <c r="AG910" s="215"/>
      <c r="AJ910" s="388">
        <f t="shared" si="72"/>
        <v>0</v>
      </c>
    </row>
    <row r="911" spans="1:36" x14ac:dyDescent="0.3">
      <c r="A911" s="192">
        <v>5831</v>
      </c>
      <c r="B911" s="192">
        <v>99</v>
      </c>
      <c r="C911" s="192">
        <v>0</v>
      </c>
      <c r="D911" s="192" t="s">
        <v>1699</v>
      </c>
      <c r="E911" s="192">
        <v>6421021</v>
      </c>
      <c r="F911" s="192" t="s">
        <v>1928</v>
      </c>
      <c r="G911" s="290">
        <v>0.7</v>
      </c>
      <c r="H911" s="192">
        <v>6535.85</v>
      </c>
      <c r="I911" s="192">
        <v>1829.1</v>
      </c>
      <c r="J911" s="192">
        <v>0</v>
      </c>
      <c r="K911" s="192">
        <v>0</v>
      </c>
      <c r="L911" s="192">
        <v>256.17</v>
      </c>
      <c r="M911" s="192">
        <v>0</v>
      </c>
      <c r="N911" s="192">
        <v>0</v>
      </c>
      <c r="O911" s="192">
        <v>8621.1200000000008</v>
      </c>
      <c r="P911" s="192">
        <v>0</v>
      </c>
      <c r="Q911" s="192">
        <v>657.83</v>
      </c>
      <c r="R911" s="192">
        <v>0</v>
      </c>
      <c r="S911" s="285">
        <f t="shared" si="71"/>
        <v>0.69999999999999984</v>
      </c>
      <c r="T911" s="192">
        <v>0</v>
      </c>
      <c r="U911" s="291">
        <v>9278.9500000000007</v>
      </c>
      <c r="V911" s="291">
        <v>9278.9500000000007</v>
      </c>
      <c r="W911" s="292">
        <v>111212.40000000001</v>
      </c>
      <c r="X911" s="292">
        <v>111347.40000000001</v>
      </c>
      <c r="Y911" s="292">
        <v>111257.4</v>
      </c>
      <c r="Z911" s="292">
        <v>122686.06</v>
      </c>
      <c r="AA911" s="290">
        <v>125507.83938</v>
      </c>
      <c r="AB911" s="285">
        <v>124526.3509</v>
      </c>
      <c r="AC911" s="290">
        <v>9267.7000000000007</v>
      </c>
      <c r="AD911" s="192">
        <v>12</v>
      </c>
      <c r="AE911" s="290">
        <v>9278.9500000000007</v>
      </c>
      <c r="AF911" s="194">
        <v>120491.35</v>
      </c>
      <c r="AG911" s="215"/>
      <c r="AJ911" s="388">
        <f t="shared" si="72"/>
        <v>0</v>
      </c>
    </row>
    <row r="912" spans="1:36" x14ac:dyDescent="0.3">
      <c r="A912" s="192">
        <v>5831</v>
      </c>
      <c r="B912" s="192">
        <v>99</v>
      </c>
      <c r="C912" s="192">
        <v>0</v>
      </c>
      <c r="D912" s="192" t="s">
        <v>1699</v>
      </c>
      <c r="E912" s="192">
        <v>6428502</v>
      </c>
      <c r="F912" s="192" t="s">
        <v>1929</v>
      </c>
      <c r="G912" s="290">
        <v>0.9</v>
      </c>
      <c r="H912" s="192">
        <v>5145.99</v>
      </c>
      <c r="I912" s="192">
        <v>0</v>
      </c>
      <c r="J912" s="192">
        <v>0</v>
      </c>
      <c r="K912" s="192">
        <v>0</v>
      </c>
      <c r="L912" s="192">
        <v>230.1</v>
      </c>
      <c r="M912" s="192">
        <v>0</v>
      </c>
      <c r="N912" s="192">
        <v>0</v>
      </c>
      <c r="O912" s="192">
        <v>5376.09</v>
      </c>
      <c r="P912" s="192">
        <v>0</v>
      </c>
      <c r="Q912" s="192">
        <v>0</v>
      </c>
      <c r="R912" s="192">
        <v>0</v>
      </c>
      <c r="S912" s="285">
        <f t="shared" si="71"/>
        <v>0.9</v>
      </c>
      <c r="T912" s="192">
        <v>0</v>
      </c>
      <c r="U912" s="291">
        <v>5376.09</v>
      </c>
      <c r="V912" s="291">
        <v>5376.09</v>
      </c>
      <c r="W912" s="292">
        <v>64513.08</v>
      </c>
      <c r="X912" s="292">
        <v>64513.08</v>
      </c>
      <c r="Y912" s="292">
        <v>64513.08</v>
      </c>
      <c r="Z912" s="292">
        <v>79686.75</v>
      </c>
      <c r="AA912" s="290">
        <v>79961.884529999996</v>
      </c>
      <c r="AB912" s="285">
        <v>79336.571649999998</v>
      </c>
      <c r="AC912" s="290">
        <v>6500</v>
      </c>
      <c r="AD912" s="192">
        <v>12</v>
      </c>
      <c r="AE912" s="290">
        <v>5376.09</v>
      </c>
      <c r="AF912" s="194">
        <v>83376.09</v>
      </c>
      <c r="AG912" s="215"/>
      <c r="AJ912" s="388">
        <f t="shared" si="72"/>
        <v>0</v>
      </c>
    </row>
    <row r="913" spans="1:36" x14ac:dyDescent="0.3">
      <c r="A913" s="192">
        <v>5831</v>
      </c>
      <c r="B913" s="192">
        <v>99</v>
      </c>
      <c r="C913" s="192">
        <v>0</v>
      </c>
      <c r="D913" s="192" t="s">
        <v>1699</v>
      </c>
      <c r="E913" s="192">
        <v>6457715</v>
      </c>
      <c r="F913" s="192" t="s">
        <v>1930</v>
      </c>
      <c r="G913" s="290">
        <v>0.7</v>
      </c>
      <c r="H913" s="192">
        <v>5209.2700000000004</v>
      </c>
      <c r="I913" s="192">
        <v>0</v>
      </c>
      <c r="J913" s="192">
        <v>0</v>
      </c>
      <c r="K913" s="192">
        <v>0</v>
      </c>
      <c r="L913" s="192">
        <v>148.47999999999999</v>
      </c>
      <c r="M913" s="192">
        <v>0</v>
      </c>
      <c r="N913" s="192">
        <v>0</v>
      </c>
      <c r="O913" s="192">
        <v>5357.75</v>
      </c>
      <c r="P913" s="192">
        <v>0</v>
      </c>
      <c r="Q913" s="192">
        <v>413.08</v>
      </c>
      <c r="R913" s="192">
        <v>0</v>
      </c>
      <c r="S913" s="285">
        <f t="shared" si="71"/>
        <v>0.69999999999999984</v>
      </c>
      <c r="T913" s="192">
        <v>0</v>
      </c>
      <c r="U913" s="291">
        <v>5770.83</v>
      </c>
      <c r="V913" s="291">
        <v>5770.83</v>
      </c>
      <c r="W913" s="292">
        <v>69114.959999999992</v>
      </c>
      <c r="X913" s="292">
        <v>69249.959999999992</v>
      </c>
      <c r="Y913" s="292">
        <v>69159.960000000006</v>
      </c>
      <c r="Z913" s="292">
        <v>78617.42</v>
      </c>
      <c r="AA913" s="290">
        <v>80425.620659999986</v>
      </c>
      <c r="AB913" s="285">
        <v>79796.681299999997</v>
      </c>
      <c r="AC913" s="290">
        <v>5759.58</v>
      </c>
      <c r="AD913" s="192">
        <v>12</v>
      </c>
      <c r="AE913" s="290">
        <v>5770.83</v>
      </c>
      <c r="AF913" s="194">
        <v>74885.789999999994</v>
      </c>
      <c r="AG913" s="215"/>
      <c r="AJ913" s="388">
        <f t="shared" si="72"/>
        <v>0</v>
      </c>
    </row>
    <row r="914" spans="1:36" x14ac:dyDescent="0.3">
      <c r="A914" s="192">
        <v>5831</v>
      </c>
      <c r="B914" s="192">
        <v>99</v>
      </c>
      <c r="C914" s="192">
        <v>0</v>
      </c>
      <c r="D914" s="192" t="s">
        <v>1699</v>
      </c>
      <c r="E914" s="192">
        <v>6464305</v>
      </c>
      <c r="F914" s="192" t="s">
        <v>1931</v>
      </c>
      <c r="G914" s="290">
        <v>0.68700000000000006</v>
      </c>
      <c r="H914" s="192">
        <v>4480.6499999999996</v>
      </c>
      <c r="I914" s="192">
        <v>0</v>
      </c>
      <c r="J914" s="192">
        <v>0</v>
      </c>
      <c r="K914" s="192">
        <v>0</v>
      </c>
      <c r="L914" s="192">
        <v>213.18</v>
      </c>
      <c r="M914" s="192">
        <v>0</v>
      </c>
      <c r="N914" s="192">
        <v>223</v>
      </c>
      <c r="O914" s="192">
        <v>4916.83</v>
      </c>
      <c r="P914" s="192">
        <v>0</v>
      </c>
      <c r="Q914" s="192">
        <v>380.01</v>
      </c>
      <c r="R914" s="192">
        <v>0</v>
      </c>
      <c r="S914" s="285">
        <f t="shared" si="71"/>
        <v>0.68699999999999994</v>
      </c>
      <c r="T914" s="192">
        <v>0</v>
      </c>
      <c r="U914" s="291">
        <v>5296.84</v>
      </c>
      <c r="V914" s="291">
        <v>5296.84</v>
      </c>
      <c r="W914" s="292">
        <v>63427.08</v>
      </c>
      <c r="X914" s="292">
        <v>63562.080000000002</v>
      </c>
      <c r="Y914" s="292">
        <v>63472.08</v>
      </c>
      <c r="Z914" s="292">
        <v>72105.649999999994</v>
      </c>
      <c r="AA914" s="290">
        <v>73764.079949999985</v>
      </c>
      <c r="AB914" s="285">
        <v>73187.234749999989</v>
      </c>
      <c r="AC914" s="290">
        <v>5285.59</v>
      </c>
      <c r="AD914" s="192">
        <v>12</v>
      </c>
      <c r="AE914" s="290">
        <v>5296.84</v>
      </c>
      <c r="AF914" s="194">
        <v>68723.92</v>
      </c>
      <c r="AG914" s="215"/>
      <c r="AJ914" s="388">
        <f t="shared" si="72"/>
        <v>0</v>
      </c>
    </row>
    <row r="915" spans="1:36" x14ac:dyDescent="0.3">
      <c r="A915" s="192">
        <v>5831</v>
      </c>
      <c r="B915" s="192">
        <v>99</v>
      </c>
      <c r="C915" s="192">
        <v>0</v>
      </c>
      <c r="D915" s="192" t="s">
        <v>1699</v>
      </c>
      <c r="E915" s="192">
        <v>6475402</v>
      </c>
      <c r="F915" s="192" t="s">
        <v>1932</v>
      </c>
      <c r="G915" s="290">
        <v>0.26400000000000001</v>
      </c>
      <c r="H915" s="192">
        <v>1522</v>
      </c>
      <c r="I915" s="192">
        <v>0</v>
      </c>
      <c r="J915" s="192">
        <v>0</v>
      </c>
      <c r="K915" s="192">
        <v>0</v>
      </c>
      <c r="L915" s="192">
        <v>56.76</v>
      </c>
      <c r="M915" s="192">
        <v>0</v>
      </c>
      <c r="N915" s="192">
        <v>0</v>
      </c>
      <c r="O915" s="192">
        <v>1578.76</v>
      </c>
      <c r="P915" s="192">
        <v>0</v>
      </c>
      <c r="Q915" s="192">
        <v>0</v>
      </c>
      <c r="R915" s="192">
        <v>0</v>
      </c>
      <c r="S915" s="285">
        <f t="shared" si="71"/>
        <v>0.26400000000000001</v>
      </c>
      <c r="T915" s="192">
        <v>0</v>
      </c>
      <c r="U915" s="291">
        <v>1578.76</v>
      </c>
      <c r="V915" s="291">
        <v>1578.76</v>
      </c>
      <c r="W915" s="292">
        <v>18945.12</v>
      </c>
      <c r="X915" s="292">
        <v>18945.12</v>
      </c>
      <c r="Y915" s="292">
        <v>18945.12</v>
      </c>
      <c r="Z915" s="292">
        <v>21375.24</v>
      </c>
      <c r="AA915" s="290">
        <v>21866.87052</v>
      </c>
      <c r="AB915" s="285">
        <v>21695.868599999998</v>
      </c>
      <c r="AC915" s="290">
        <v>1578.76</v>
      </c>
      <c r="AD915" s="192">
        <v>12</v>
      </c>
      <c r="AE915" s="290">
        <v>1578.76</v>
      </c>
      <c r="AF915" s="194">
        <v>20523.879999999997</v>
      </c>
      <c r="AG915" s="215"/>
      <c r="AJ915" s="388">
        <f t="shared" si="72"/>
        <v>0</v>
      </c>
    </row>
    <row r="916" spans="1:36" x14ac:dyDescent="0.3">
      <c r="A916" s="192">
        <v>5831</v>
      </c>
      <c r="B916" s="192">
        <v>99</v>
      </c>
      <c r="C916" s="192">
        <v>0</v>
      </c>
      <c r="D916" s="192" t="s">
        <v>1699</v>
      </c>
      <c r="E916" s="192">
        <v>6477419</v>
      </c>
      <c r="F916" s="192" t="s">
        <v>1933</v>
      </c>
      <c r="G916" s="290">
        <v>0.42</v>
      </c>
      <c r="H916" s="192">
        <v>2641.07</v>
      </c>
      <c r="I916" s="192">
        <v>0</v>
      </c>
      <c r="J916" s="192">
        <v>0</v>
      </c>
      <c r="K916" s="192">
        <v>0</v>
      </c>
      <c r="L916" s="192">
        <v>97.25</v>
      </c>
      <c r="M916" s="192">
        <v>0</v>
      </c>
      <c r="N916" s="192">
        <v>0</v>
      </c>
      <c r="O916" s="192">
        <v>2738.32</v>
      </c>
      <c r="P916" s="192">
        <v>0</v>
      </c>
      <c r="Q916" s="192">
        <v>216.62</v>
      </c>
      <c r="R916" s="192">
        <v>0</v>
      </c>
      <c r="S916" s="285">
        <f t="shared" si="71"/>
        <v>0.42</v>
      </c>
      <c r="T916" s="192">
        <v>0</v>
      </c>
      <c r="U916" s="291">
        <v>2954.94</v>
      </c>
      <c r="V916" s="291">
        <v>2954.94</v>
      </c>
      <c r="W916" s="292">
        <v>35324.28</v>
      </c>
      <c r="X916" s="292">
        <v>35459.279999999999</v>
      </c>
      <c r="Y916" s="292">
        <v>35369.279999999999</v>
      </c>
      <c r="Z916" s="292">
        <v>40791.33</v>
      </c>
      <c r="AA916" s="290">
        <v>41729.530589999995</v>
      </c>
      <c r="AB916" s="285">
        <v>41403.199949999995</v>
      </c>
      <c r="AC916" s="290">
        <v>2943.69</v>
      </c>
      <c r="AD916" s="192">
        <v>12</v>
      </c>
      <c r="AE916" s="290">
        <v>2954.94</v>
      </c>
      <c r="AF916" s="194">
        <v>38279.22</v>
      </c>
      <c r="AG916" s="215"/>
      <c r="AJ916" s="388">
        <f t="shared" si="72"/>
        <v>0</v>
      </c>
    </row>
    <row r="917" spans="1:36" x14ac:dyDescent="0.3">
      <c r="A917" s="192">
        <v>5831</v>
      </c>
      <c r="B917" s="192">
        <v>99</v>
      </c>
      <c r="C917" s="192">
        <v>0</v>
      </c>
      <c r="D917" s="192" t="s">
        <v>1699</v>
      </c>
      <c r="E917" s="192">
        <v>6481200</v>
      </c>
      <c r="F917" s="192" t="s">
        <v>1934</v>
      </c>
      <c r="G917" s="290">
        <v>0.372</v>
      </c>
      <c r="H917" s="192">
        <v>2026.4</v>
      </c>
      <c r="I917" s="192">
        <v>0</v>
      </c>
      <c r="J917" s="192">
        <v>0</v>
      </c>
      <c r="K917" s="192">
        <v>0</v>
      </c>
      <c r="L917" s="192">
        <v>111.3</v>
      </c>
      <c r="M917" s="192">
        <v>0</v>
      </c>
      <c r="N917" s="192">
        <v>0</v>
      </c>
      <c r="O917" s="192">
        <v>2137.6999999999998</v>
      </c>
      <c r="P917" s="192">
        <v>0</v>
      </c>
      <c r="Q917" s="192">
        <v>0</v>
      </c>
      <c r="R917" s="192">
        <v>0</v>
      </c>
      <c r="S917" s="285">
        <f t="shared" si="71"/>
        <v>0.37200000000000005</v>
      </c>
      <c r="T917" s="192">
        <v>0</v>
      </c>
      <c r="U917" s="291">
        <v>2137.6999999999998</v>
      </c>
      <c r="V917" s="291">
        <v>2137.6999999999998</v>
      </c>
      <c r="W917" s="292">
        <v>25652.399999999998</v>
      </c>
      <c r="X917" s="292">
        <v>25652.399999999998</v>
      </c>
      <c r="Y917" s="292">
        <v>25652.400000000001</v>
      </c>
      <c r="Z917" s="292">
        <v>-303.23</v>
      </c>
      <c r="AA917" s="290">
        <v>0</v>
      </c>
      <c r="AB917" s="285"/>
      <c r="AC917" s="290">
        <v>2137.6999999999998</v>
      </c>
      <c r="AD917" s="192">
        <v>12</v>
      </c>
      <c r="AE917" s="290">
        <v>2137.6999999999998</v>
      </c>
      <c r="AF917" s="194">
        <v>27790.1</v>
      </c>
      <c r="AG917" s="215"/>
      <c r="AJ917" s="388">
        <f t="shared" si="72"/>
        <v>0</v>
      </c>
    </row>
    <row r="918" spans="1:36" x14ac:dyDescent="0.3">
      <c r="A918" s="192">
        <v>5831</v>
      </c>
      <c r="B918" s="192">
        <v>99</v>
      </c>
      <c r="C918" s="192">
        <v>0</v>
      </c>
      <c r="D918" s="192" t="s">
        <v>1699</v>
      </c>
      <c r="E918" s="192">
        <v>6481672</v>
      </c>
      <c r="F918" s="192" t="s">
        <v>1935</v>
      </c>
      <c r="G918" s="290">
        <v>0.38400000000000001</v>
      </c>
      <c r="H918" s="192">
        <v>2495.88</v>
      </c>
      <c r="I918" s="192">
        <v>32.36</v>
      </c>
      <c r="J918" s="192">
        <v>0</v>
      </c>
      <c r="K918" s="192">
        <v>0</v>
      </c>
      <c r="L918" s="192">
        <v>97.15</v>
      </c>
      <c r="M918" s="192">
        <v>0</v>
      </c>
      <c r="N918" s="192">
        <v>135</v>
      </c>
      <c r="O918" s="192">
        <v>2760.39</v>
      </c>
      <c r="P918" s="192">
        <v>0</v>
      </c>
      <c r="Q918" s="192">
        <v>218.28</v>
      </c>
      <c r="R918" s="192">
        <v>0</v>
      </c>
      <c r="S918" s="285">
        <f t="shared" si="71"/>
        <v>0.38400000000000006</v>
      </c>
      <c r="T918" s="192">
        <v>0</v>
      </c>
      <c r="U918" s="291">
        <v>2978.67</v>
      </c>
      <c r="V918" s="291">
        <v>2978.67</v>
      </c>
      <c r="W918" s="292">
        <v>35609.040000000001</v>
      </c>
      <c r="X918" s="292">
        <v>35744.04</v>
      </c>
      <c r="Y918" s="292">
        <v>35654.04</v>
      </c>
      <c r="Z918" s="292">
        <v>38862.68</v>
      </c>
      <c r="AA918" s="290">
        <v>39756.521639999999</v>
      </c>
      <c r="AB918" s="285">
        <v>39445.620199999998</v>
      </c>
      <c r="AC918" s="290">
        <v>2967.42</v>
      </c>
      <c r="AD918" s="192">
        <v>12</v>
      </c>
      <c r="AE918" s="290">
        <v>2978.67</v>
      </c>
      <c r="AF918" s="194">
        <v>38587.71</v>
      </c>
      <c r="AG918" s="215"/>
      <c r="AJ918" s="388">
        <f t="shared" si="72"/>
        <v>0</v>
      </c>
    </row>
    <row r="919" spans="1:36" x14ac:dyDescent="0.3">
      <c r="A919" s="192">
        <v>5831</v>
      </c>
      <c r="B919" s="192">
        <v>99</v>
      </c>
      <c r="C919" s="192">
        <v>0</v>
      </c>
      <c r="D919" s="192" t="s">
        <v>1699</v>
      </c>
      <c r="E919" s="192">
        <v>6486920</v>
      </c>
      <c r="F919" s="192" t="s">
        <v>1936</v>
      </c>
      <c r="G919" s="290">
        <v>0.37</v>
      </c>
      <c r="H919" s="192">
        <v>2243.56</v>
      </c>
      <c r="I919" s="192">
        <v>0</v>
      </c>
      <c r="J919" s="192">
        <v>0</v>
      </c>
      <c r="K919" s="192">
        <v>0</v>
      </c>
      <c r="L919" s="192">
        <v>81.78</v>
      </c>
      <c r="M919" s="192">
        <v>0</v>
      </c>
      <c r="N919" s="192">
        <v>0</v>
      </c>
      <c r="O919" s="192">
        <v>2325.34</v>
      </c>
      <c r="P919" s="192">
        <v>0</v>
      </c>
      <c r="Q919" s="192">
        <v>185.65</v>
      </c>
      <c r="R919" s="192">
        <v>0</v>
      </c>
      <c r="S919" s="285">
        <f t="shared" si="71"/>
        <v>0.36999999999999994</v>
      </c>
      <c r="T919" s="192">
        <v>0</v>
      </c>
      <c r="U919" s="291">
        <v>2510.9899999999998</v>
      </c>
      <c r="V919" s="291">
        <v>2510.9899999999998</v>
      </c>
      <c r="W919" s="292">
        <v>29996.879999999997</v>
      </c>
      <c r="X919" s="292">
        <v>30131.879999999997</v>
      </c>
      <c r="Y919" s="292">
        <v>30041.880000000005</v>
      </c>
      <c r="Z919" s="292">
        <v>33280.69</v>
      </c>
      <c r="AA919" s="290">
        <v>34046.14587</v>
      </c>
      <c r="AB919" s="285">
        <v>33779.900349999996</v>
      </c>
      <c r="AC919" s="290">
        <v>2499.7399999999998</v>
      </c>
      <c r="AD919" s="192">
        <v>12</v>
      </c>
      <c r="AE919" s="290">
        <v>2510.9899999999998</v>
      </c>
      <c r="AF919" s="194">
        <v>32507.869999999995</v>
      </c>
      <c r="AG919" s="215"/>
      <c r="AJ919" s="388">
        <f t="shared" si="72"/>
        <v>0</v>
      </c>
    </row>
    <row r="920" spans="1:36" x14ac:dyDescent="0.3">
      <c r="A920" s="192">
        <v>5831</v>
      </c>
      <c r="B920" s="192">
        <v>99</v>
      </c>
      <c r="C920" s="192">
        <v>0</v>
      </c>
      <c r="D920" s="192" t="s">
        <v>1699</v>
      </c>
      <c r="E920" s="192">
        <v>6510489</v>
      </c>
      <c r="F920" s="192" t="s">
        <v>1937</v>
      </c>
      <c r="G920" s="290">
        <v>0.39779999999999999</v>
      </c>
      <c r="H920" s="192">
        <v>2595.5100000000002</v>
      </c>
      <c r="I920" s="192">
        <v>0</v>
      </c>
      <c r="J920" s="192">
        <v>0</v>
      </c>
      <c r="K920" s="192">
        <v>0</v>
      </c>
      <c r="L920" s="192">
        <v>166.21</v>
      </c>
      <c r="M920" s="192">
        <v>0</v>
      </c>
      <c r="N920" s="192">
        <v>103</v>
      </c>
      <c r="O920" s="192">
        <v>2864.72</v>
      </c>
      <c r="P920" s="192">
        <v>0</v>
      </c>
      <c r="Q920" s="192">
        <v>226.1</v>
      </c>
      <c r="R920" s="192">
        <v>0</v>
      </c>
      <c r="S920" s="285">
        <f t="shared" si="71"/>
        <v>0.39779999999999999</v>
      </c>
      <c r="T920" s="192">
        <v>0</v>
      </c>
      <c r="U920" s="291">
        <v>3090.82</v>
      </c>
      <c r="V920" s="291">
        <v>3090.82</v>
      </c>
      <c r="W920" s="292">
        <v>36954.840000000004</v>
      </c>
      <c r="X920" s="292">
        <v>37089.840000000004</v>
      </c>
      <c r="Y920" s="292">
        <v>36999.839999999997</v>
      </c>
      <c r="Z920" s="292">
        <v>40405.629999999997</v>
      </c>
      <c r="AA920" s="290">
        <v>41334.959490000001</v>
      </c>
      <c r="AB920" s="285">
        <v>41011.714449999999</v>
      </c>
      <c r="AC920" s="290">
        <v>3079.57</v>
      </c>
      <c r="AD920" s="192">
        <v>12</v>
      </c>
      <c r="AE920" s="290">
        <v>3090.82</v>
      </c>
      <c r="AF920" s="194">
        <v>40045.660000000003</v>
      </c>
      <c r="AG920" s="215"/>
      <c r="AJ920" s="388">
        <f t="shared" si="72"/>
        <v>0</v>
      </c>
    </row>
    <row r="921" spans="1:36" x14ac:dyDescent="0.3">
      <c r="A921" s="192">
        <v>5831</v>
      </c>
      <c r="B921" s="192">
        <v>99</v>
      </c>
      <c r="C921" s="192">
        <v>0</v>
      </c>
      <c r="D921" s="192" t="s">
        <v>1699</v>
      </c>
      <c r="E921" s="192">
        <v>6516374</v>
      </c>
      <c r="F921" s="192" t="s">
        <v>1938</v>
      </c>
      <c r="G921" s="290">
        <v>0.14499999999999999</v>
      </c>
      <c r="H921" s="192">
        <v>845.58</v>
      </c>
      <c r="I921" s="192">
        <v>0</v>
      </c>
      <c r="J921" s="192">
        <v>0</v>
      </c>
      <c r="K921" s="192">
        <v>0</v>
      </c>
      <c r="L921" s="192">
        <v>23.38</v>
      </c>
      <c r="M921" s="192">
        <v>0</v>
      </c>
      <c r="N921" s="192">
        <v>81</v>
      </c>
      <c r="O921" s="192">
        <v>949.96</v>
      </c>
      <c r="P921" s="192">
        <v>0</v>
      </c>
      <c r="Q921" s="192">
        <v>82.5</v>
      </c>
      <c r="R921" s="192">
        <v>0</v>
      </c>
      <c r="S921" s="285">
        <f t="shared" si="71"/>
        <v>0.14499999999999999</v>
      </c>
      <c r="T921" s="192">
        <v>0</v>
      </c>
      <c r="U921" s="291">
        <v>1032.46</v>
      </c>
      <c r="V921" s="291">
        <v>1032.46</v>
      </c>
      <c r="W921" s="292">
        <v>12254.52</v>
      </c>
      <c r="X921" s="292">
        <v>12389.52</v>
      </c>
      <c r="Y921" s="292">
        <v>12299.52</v>
      </c>
      <c r="Z921" s="292">
        <v>13689.04</v>
      </c>
      <c r="AA921" s="290">
        <v>14003.887919999999</v>
      </c>
      <c r="AB921" s="285">
        <v>13894.375599999999</v>
      </c>
      <c r="AC921" s="290">
        <v>1021.21</v>
      </c>
      <c r="AD921" s="192">
        <v>12</v>
      </c>
      <c r="AE921" s="290">
        <v>1032.46</v>
      </c>
      <c r="AF921" s="194">
        <v>13286.98</v>
      </c>
      <c r="AG921" s="215"/>
      <c r="AJ921" s="388">
        <f t="shared" si="72"/>
        <v>0</v>
      </c>
    </row>
    <row r="922" spans="1:36" x14ac:dyDescent="0.3">
      <c r="A922" s="192">
        <v>5831</v>
      </c>
      <c r="B922" s="192">
        <v>99</v>
      </c>
      <c r="C922" s="192">
        <v>0</v>
      </c>
      <c r="D922" s="192" t="s">
        <v>1699</v>
      </c>
      <c r="E922" s="192">
        <v>6532955</v>
      </c>
      <c r="F922" s="192" t="s">
        <v>1939</v>
      </c>
      <c r="G922" s="290">
        <v>0.57899999999999996</v>
      </c>
      <c r="H922" s="192">
        <v>3444.73</v>
      </c>
      <c r="I922" s="192">
        <v>0</v>
      </c>
      <c r="J922" s="192">
        <v>0</v>
      </c>
      <c r="K922" s="192">
        <v>0</v>
      </c>
      <c r="L922" s="192">
        <v>265.32</v>
      </c>
      <c r="M922" s="192">
        <v>0</v>
      </c>
      <c r="N922" s="192">
        <v>0</v>
      </c>
      <c r="O922" s="192">
        <v>3710.05</v>
      </c>
      <c r="P922" s="192">
        <v>0</v>
      </c>
      <c r="Q922" s="192">
        <v>289.5</v>
      </c>
      <c r="R922" s="192">
        <v>0</v>
      </c>
      <c r="S922" s="285">
        <f t="shared" si="71"/>
        <v>0.57899999999999996</v>
      </c>
      <c r="T922" s="192">
        <v>0</v>
      </c>
      <c r="U922" s="291">
        <v>3999.55</v>
      </c>
      <c r="V922" s="291">
        <v>3999.55</v>
      </c>
      <c r="W922" s="292">
        <v>47859.600000000006</v>
      </c>
      <c r="X922" s="292">
        <v>47994.600000000006</v>
      </c>
      <c r="Y922" s="292">
        <v>47904.6</v>
      </c>
      <c r="Z922" s="292">
        <v>51775.63</v>
      </c>
      <c r="AA922" s="290">
        <v>52966.469490000003</v>
      </c>
      <c r="AB922" s="285">
        <v>52552.264450000002</v>
      </c>
      <c r="AC922" s="290">
        <v>3988.3</v>
      </c>
      <c r="AD922" s="192">
        <v>12</v>
      </c>
      <c r="AE922" s="290">
        <v>3999.55</v>
      </c>
      <c r="AF922" s="194">
        <v>51859.150000000009</v>
      </c>
      <c r="AG922" s="215"/>
      <c r="AJ922" s="388">
        <f t="shared" si="72"/>
        <v>0</v>
      </c>
    </row>
    <row r="923" spans="1:36" x14ac:dyDescent="0.3">
      <c r="A923" s="192">
        <v>5831</v>
      </c>
      <c r="B923" s="192">
        <v>99</v>
      </c>
      <c r="C923" s="192">
        <v>0</v>
      </c>
      <c r="D923" s="192" t="s">
        <v>1699</v>
      </c>
      <c r="E923" s="192">
        <v>6551272</v>
      </c>
      <c r="F923" s="192" t="s">
        <v>1940</v>
      </c>
      <c r="G923" s="290">
        <v>0.38</v>
      </c>
      <c r="H923" s="192">
        <v>3309.87</v>
      </c>
      <c r="I923" s="192">
        <v>0</v>
      </c>
      <c r="J923" s="192">
        <v>0</v>
      </c>
      <c r="K923" s="192">
        <v>0</v>
      </c>
      <c r="L923" s="192">
        <v>0</v>
      </c>
      <c r="M923" s="192">
        <v>0</v>
      </c>
      <c r="N923" s="192">
        <v>0</v>
      </c>
      <c r="O923" s="192">
        <v>3309.87</v>
      </c>
      <c r="P923" s="192">
        <v>0</v>
      </c>
      <c r="Q923" s="192">
        <v>0</v>
      </c>
      <c r="R923" s="192">
        <v>0</v>
      </c>
      <c r="S923" s="285">
        <f t="shared" si="71"/>
        <v>0.38000000000000006</v>
      </c>
      <c r="T923" s="192">
        <v>0</v>
      </c>
      <c r="U923" s="291">
        <v>3309.87</v>
      </c>
      <c r="V923" s="291">
        <v>3309.87</v>
      </c>
      <c r="W923" s="292">
        <v>39718.44</v>
      </c>
      <c r="X923" s="292">
        <v>39718.44</v>
      </c>
      <c r="Y923" s="292">
        <v>39718.44</v>
      </c>
      <c r="Z923" s="292">
        <v>64531.34</v>
      </c>
      <c r="AA923" s="290">
        <v>66015.560819999984</v>
      </c>
      <c r="AB923" s="285">
        <v>65499.310099999988</v>
      </c>
      <c r="AC923" s="290">
        <v>5097.51</v>
      </c>
      <c r="AD923" s="192">
        <v>12</v>
      </c>
      <c r="AE923" s="290">
        <v>3309.87</v>
      </c>
      <c r="AF923" s="194">
        <v>64479.990000000005</v>
      </c>
      <c r="AG923" s="215"/>
      <c r="AJ923" s="388">
        <f t="shared" si="72"/>
        <v>0</v>
      </c>
    </row>
    <row r="924" spans="1:36" x14ac:dyDescent="0.3">
      <c r="A924" s="192">
        <v>5831</v>
      </c>
      <c r="B924" s="192">
        <v>99</v>
      </c>
      <c r="C924" s="192">
        <v>0</v>
      </c>
      <c r="D924" s="192" t="s">
        <v>1699</v>
      </c>
      <c r="E924" s="192">
        <v>6551709</v>
      </c>
      <c r="F924" s="192" t="s">
        <v>1941</v>
      </c>
      <c r="G924" s="290">
        <v>0.7</v>
      </c>
      <c r="H924" s="192">
        <v>5704.23</v>
      </c>
      <c r="I924" s="192">
        <v>0</v>
      </c>
      <c r="J924" s="192">
        <v>0</v>
      </c>
      <c r="K924" s="192">
        <v>0</v>
      </c>
      <c r="L924" s="192">
        <v>170.07</v>
      </c>
      <c r="M924" s="192">
        <v>0</v>
      </c>
      <c r="N924" s="192">
        <v>196</v>
      </c>
      <c r="O924" s="192">
        <v>6070.3</v>
      </c>
      <c r="P924" s="192">
        <v>0</v>
      </c>
      <c r="Q924" s="192">
        <v>466.52</v>
      </c>
      <c r="R924" s="192">
        <v>0</v>
      </c>
      <c r="S924" s="285">
        <f t="shared" si="71"/>
        <v>0.69999999999999984</v>
      </c>
      <c r="T924" s="192">
        <v>0</v>
      </c>
      <c r="U924" s="291">
        <v>6536.82</v>
      </c>
      <c r="V924" s="291">
        <v>6536.82</v>
      </c>
      <c r="W924" s="292">
        <v>78306.84</v>
      </c>
      <c r="X924" s="292">
        <v>78441.84</v>
      </c>
      <c r="Y924" s="292">
        <v>78351.839999999997</v>
      </c>
      <c r="Z924" s="292">
        <v>88348.74</v>
      </c>
      <c r="AA924" s="290">
        <v>90380.761019999976</v>
      </c>
      <c r="AB924" s="285">
        <v>89673.971099999981</v>
      </c>
      <c r="AC924" s="290">
        <v>6525.57</v>
      </c>
      <c r="AD924" s="192">
        <v>12</v>
      </c>
      <c r="AE924" s="290">
        <v>6536.82</v>
      </c>
      <c r="AF924" s="194">
        <v>84843.66</v>
      </c>
      <c r="AG924" s="215"/>
      <c r="AJ924" s="388">
        <f t="shared" si="72"/>
        <v>0</v>
      </c>
    </row>
    <row r="925" spans="1:36" x14ac:dyDescent="0.3">
      <c r="A925" s="192">
        <v>5831</v>
      </c>
      <c r="B925" s="192">
        <v>99</v>
      </c>
      <c r="C925" s="192">
        <v>0</v>
      </c>
      <c r="D925" s="192" t="s">
        <v>1699</v>
      </c>
      <c r="E925" s="192">
        <v>6580499</v>
      </c>
      <c r="F925" s="192" t="s">
        <v>1942</v>
      </c>
      <c r="G925" s="290">
        <v>0.34203</v>
      </c>
      <c r="H925" s="192">
        <v>2489.21</v>
      </c>
      <c r="I925" s="192">
        <v>98.24</v>
      </c>
      <c r="J925" s="192">
        <v>0</v>
      </c>
      <c r="K925" s="192">
        <v>0</v>
      </c>
      <c r="L925" s="192">
        <v>140.02000000000001</v>
      </c>
      <c r="M925" s="192">
        <v>0</v>
      </c>
      <c r="N925" s="192">
        <v>0</v>
      </c>
      <c r="O925" s="192">
        <v>2727.47</v>
      </c>
      <c r="P925" s="192">
        <v>0</v>
      </c>
      <c r="Q925" s="192">
        <v>215.81</v>
      </c>
      <c r="R925" s="192">
        <v>0</v>
      </c>
      <c r="S925" s="285">
        <f t="shared" si="71"/>
        <v>0.34203</v>
      </c>
      <c r="T925" s="192">
        <v>0</v>
      </c>
      <c r="U925" s="291">
        <v>2943.28</v>
      </c>
      <c r="V925" s="291">
        <v>2943.28</v>
      </c>
      <c r="W925" s="292">
        <v>35184.36</v>
      </c>
      <c r="X925" s="292">
        <v>35319.360000000001</v>
      </c>
      <c r="Y925" s="292">
        <v>35229.360000000001</v>
      </c>
      <c r="Z925" s="292">
        <v>85652.3</v>
      </c>
      <c r="AA925" s="290">
        <v>87622.302899999995</v>
      </c>
      <c r="AB925" s="285">
        <v>0</v>
      </c>
      <c r="AC925" s="290">
        <v>2943</v>
      </c>
      <c r="AD925" s="192">
        <v>12</v>
      </c>
      <c r="AE925" s="305">
        <v>22000</v>
      </c>
      <c r="AF925" s="194">
        <v>57316</v>
      </c>
      <c r="AG925" s="215"/>
      <c r="AJ925" s="388">
        <f t="shared" si="72"/>
        <v>0</v>
      </c>
    </row>
    <row r="926" spans="1:36" x14ac:dyDescent="0.3">
      <c r="A926" s="192">
        <v>5831</v>
      </c>
      <c r="B926" s="192">
        <v>99</v>
      </c>
      <c r="C926" s="192">
        <v>0</v>
      </c>
      <c r="D926" s="192" t="s">
        <v>1699</v>
      </c>
      <c r="E926" s="192">
        <v>6581516</v>
      </c>
      <c r="F926" s="192" t="s">
        <v>1943</v>
      </c>
      <c r="G926" s="290">
        <v>0.7</v>
      </c>
      <c r="H926" s="192">
        <v>6188.43</v>
      </c>
      <c r="I926" s="192">
        <v>0</v>
      </c>
      <c r="J926" s="192">
        <v>0</v>
      </c>
      <c r="K926" s="192">
        <v>0</v>
      </c>
      <c r="L926" s="192">
        <v>303.7</v>
      </c>
      <c r="M926" s="192">
        <v>0</v>
      </c>
      <c r="N926" s="192">
        <v>0</v>
      </c>
      <c r="O926" s="192">
        <v>6492.13</v>
      </c>
      <c r="P926" s="192">
        <v>0</v>
      </c>
      <c r="Q926" s="192">
        <v>498.16</v>
      </c>
      <c r="R926" s="192">
        <v>0</v>
      </c>
      <c r="S926" s="285">
        <f t="shared" ref="S926:S989" si="73">G926*AD926/$AG$1</f>
        <v>0.69999999999999984</v>
      </c>
      <c r="T926" s="192">
        <v>0</v>
      </c>
      <c r="U926" s="291">
        <v>6990.29</v>
      </c>
      <c r="V926" s="291">
        <v>6990.29</v>
      </c>
      <c r="W926" s="292">
        <v>83748.479999999996</v>
      </c>
      <c r="X926" s="292">
        <v>83883.48</v>
      </c>
      <c r="Y926" s="292">
        <v>83793.48</v>
      </c>
      <c r="Z926" s="292">
        <v>93883.31</v>
      </c>
      <c r="AA926" s="290">
        <v>96042.62612999999</v>
      </c>
      <c r="AB926" s="285">
        <v>95291.559649999996</v>
      </c>
      <c r="AC926" s="290">
        <v>6979.04</v>
      </c>
      <c r="AD926" s="192">
        <v>12</v>
      </c>
      <c r="AE926" s="290">
        <v>6990.29</v>
      </c>
      <c r="AF926" s="194">
        <v>90738.76999999999</v>
      </c>
      <c r="AG926" s="215"/>
      <c r="AJ926" s="388">
        <f t="shared" ref="AJ926:AJ989" si="74">G926-S926</f>
        <v>0</v>
      </c>
    </row>
    <row r="927" spans="1:36" x14ac:dyDescent="0.3">
      <c r="A927" s="192">
        <v>5831</v>
      </c>
      <c r="B927" s="192">
        <v>99</v>
      </c>
      <c r="C927" s="192">
        <v>0</v>
      </c>
      <c r="D927" s="192" t="s">
        <v>1699</v>
      </c>
      <c r="E927" s="192">
        <v>6711787</v>
      </c>
      <c r="F927" s="192" t="s">
        <v>1944</v>
      </c>
      <c r="G927" s="290">
        <v>0.60199999999999998</v>
      </c>
      <c r="H927" s="192">
        <v>7268.55</v>
      </c>
      <c r="I927" s="192">
        <v>3480.23</v>
      </c>
      <c r="J927" s="192">
        <v>0</v>
      </c>
      <c r="K927" s="192">
        <v>0</v>
      </c>
      <c r="L927" s="192">
        <v>503.55</v>
      </c>
      <c r="M927" s="192">
        <v>0</v>
      </c>
      <c r="N927" s="192">
        <v>0</v>
      </c>
      <c r="O927" s="192">
        <v>11252.33</v>
      </c>
      <c r="P927" s="192">
        <v>0</v>
      </c>
      <c r="Q927" s="192">
        <v>855.17</v>
      </c>
      <c r="R927" s="192">
        <v>0</v>
      </c>
      <c r="S927" s="285">
        <f t="shared" si="73"/>
        <v>0.60199999999999998</v>
      </c>
      <c r="T927" s="192">
        <v>0</v>
      </c>
      <c r="U927" s="291">
        <v>12107.5</v>
      </c>
      <c r="V927" s="291">
        <v>12107.5</v>
      </c>
      <c r="W927" s="292">
        <v>145155</v>
      </c>
      <c r="X927" s="292">
        <v>145290</v>
      </c>
      <c r="Y927" s="292">
        <v>145200</v>
      </c>
      <c r="Z927" s="292">
        <v>150161.84</v>
      </c>
      <c r="AA927" s="290">
        <v>153615.56232</v>
      </c>
      <c r="AB927" s="285">
        <v>152414.26759999999</v>
      </c>
      <c r="AC927" s="290">
        <v>12096.25</v>
      </c>
      <c r="AD927" s="192">
        <v>12</v>
      </c>
      <c r="AE927" s="290">
        <v>12107.5</v>
      </c>
      <c r="AF927" s="194">
        <v>157262.5</v>
      </c>
      <c r="AG927" s="215"/>
      <c r="AJ927" s="388">
        <f t="shared" si="74"/>
        <v>0</v>
      </c>
    </row>
    <row r="928" spans="1:36" x14ac:dyDescent="0.3">
      <c r="A928" s="192">
        <v>5831</v>
      </c>
      <c r="B928" s="192">
        <v>99</v>
      </c>
      <c r="C928" s="192">
        <v>0</v>
      </c>
      <c r="D928" s="192" t="s">
        <v>1699</v>
      </c>
      <c r="E928" s="192">
        <v>6718111</v>
      </c>
      <c r="F928" s="192" t="s">
        <v>1945</v>
      </c>
      <c r="G928" s="290">
        <v>0.19500000000000001</v>
      </c>
      <c r="H928" s="192">
        <v>1067.01</v>
      </c>
      <c r="I928" s="192">
        <v>0</v>
      </c>
      <c r="J928" s="192">
        <v>0</v>
      </c>
      <c r="K928" s="192">
        <v>0</v>
      </c>
      <c r="L928" s="192">
        <v>37.340000000000003</v>
      </c>
      <c r="M928" s="192">
        <v>0</v>
      </c>
      <c r="N928" s="192">
        <v>0</v>
      </c>
      <c r="O928" s="192">
        <v>1104.3499999999999</v>
      </c>
      <c r="P928" s="192">
        <v>0</v>
      </c>
      <c r="Q928" s="192">
        <v>0</v>
      </c>
      <c r="R928" s="192">
        <v>0</v>
      </c>
      <c r="S928" s="285">
        <f t="shared" si="73"/>
        <v>0.19499999999999998</v>
      </c>
      <c r="T928" s="192">
        <v>0</v>
      </c>
      <c r="U928" s="291">
        <v>1104.3499999999999</v>
      </c>
      <c r="V928" s="291">
        <v>1104.3499999999999</v>
      </c>
      <c r="W928" s="292">
        <v>13252.199999999999</v>
      </c>
      <c r="X928" s="292">
        <v>13252.199999999999</v>
      </c>
      <c r="Y928" s="292">
        <v>13252.2</v>
      </c>
      <c r="Z928" s="292">
        <v>15935.42</v>
      </c>
      <c r="AA928" s="290">
        <v>16301.934659999999</v>
      </c>
      <c r="AB928" s="285">
        <v>16174.451299999999</v>
      </c>
      <c r="AC928" s="290">
        <v>1187.18</v>
      </c>
      <c r="AD928" s="192">
        <v>12</v>
      </c>
      <c r="AE928" s="290">
        <v>1104.3499999999999</v>
      </c>
      <c r="AF928" s="194">
        <v>15350.51</v>
      </c>
      <c r="AG928" s="215"/>
      <c r="AJ928" s="388">
        <f t="shared" si="74"/>
        <v>0</v>
      </c>
    </row>
    <row r="929" spans="1:36" x14ac:dyDescent="0.3">
      <c r="A929" s="192">
        <v>5831</v>
      </c>
      <c r="B929" s="192">
        <v>99</v>
      </c>
      <c r="C929" s="192">
        <v>0</v>
      </c>
      <c r="D929" s="192" t="s">
        <v>1699</v>
      </c>
      <c r="E929" s="192">
        <v>6737621</v>
      </c>
      <c r="F929" s="192" t="s">
        <v>1946</v>
      </c>
      <c r="G929" s="290">
        <v>0.36757000000000001</v>
      </c>
      <c r="H929" s="192">
        <v>2086.34</v>
      </c>
      <c r="I929" s="192">
        <v>0</v>
      </c>
      <c r="J929" s="192">
        <v>0</v>
      </c>
      <c r="K929" s="192">
        <v>0</v>
      </c>
      <c r="L929" s="192">
        <v>67.260000000000005</v>
      </c>
      <c r="M929" s="192">
        <v>0</v>
      </c>
      <c r="N929" s="192">
        <v>0</v>
      </c>
      <c r="O929" s="192">
        <v>2153.6</v>
      </c>
      <c r="P929" s="192">
        <v>0</v>
      </c>
      <c r="Q929" s="192">
        <v>172.77</v>
      </c>
      <c r="R929" s="192">
        <v>0</v>
      </c>
      <c r="S929" s="285">
        <f t="shared" si="73"/>
        <v>0.36757000000000001</v>
      </c>
      <c r="T929" s="192">
        <v>0</v>
      </c>
      <c r="U929" s="291">
        <v>2326.37</v>
      </c>
      <c r="V929" s="291">
        <v>2326.37</v>
      </c>
      <c r="W929" s="292">
        <v>27781.439999999999</v>
      </c>
      <c r="X929" s="292">
        <v>27916.44</v>
      </c>
      <c r="Y929" s="292">
        <v>27826.44</v>
      </c>
      <c r="Z929" s="292">
        <v>30307.43</v>
      </c>
      <c r="AA929" s="290">
        <v>31004.500889999999</v>
      </c>
      <c r="AB929" s="285">
        <v>30762.041449999997</v>
      </c>
      <c r="AC929" s="290">
        <v>2315.12</v>
      </c>
      <c r="AD929" s="192">
        <v>12</v>
      </c>
      <c r="AE929" s="290">
        <v>2326.37</v>
      </c>
      <c r="AF929" s="194">
        <v>30107.809999999998</v>
      </c>
      <c r="AG929" s="215"/>
      <c r="AJ929" s="388">
        <f t="shared" si="74"/>
        <v>0</v>
      </c>
    </row>
    <row r="930" spans="1:36" x14ac:dyDescent="0.3">
      <c r="A930" s="192">
        <v>5831</v>
      </c>
      <c r="B930" s="192">
        <v>99</v>
      </c>
      <c r="C930" s="192">
        <v>0</v>
      </c>
      <c r="D930" s="192" t="s">
        <v>1699</v>
      </c>
      <c r="E930" s="192">
        <v>6737623</v>
      </c>
      <c r="F930" s="192" t="s">
        <v>1947</v>
      </c>
      <c r="G930" s="290">
        <v>0.48</v>
      </c>
      <c r="H930" s="192">
        <v>2891.12</v>
      </c>
      <c r="I930" s="192">
        <v>0</v>
      </c>
      <c r="J930" s="192">
        <v>0</v>
      </c>
      <c r="K930" s="192">
        <v>0</v>
      </c>
      <c r="L930" s="192">
        <v>110.46</v>
      </c>
      <c r="M930" s="192">
        <v>0</v>
      </c>
      <c r="N930" s="192">
        <v>0</v>
      </c>
      <c r="O930" s="192">
        <v>3001.58</v>
      </c>
      <c r="P930" s="192">
        <v>0</v>
      </c>
      <c r="Q930" s="192">
        <v>236.37</v>
      </c>
      <c r="R930" s="192">
        <v>0</v>
      </c>
      <c r="S930" s="285">
        <f t="shared" si="73"/>
        <v>0.48</v>
      </c>
      <c r="T930" s="192">
        <v>0</v>
      </c>
      <c r="U930" s="291">
        <v>3237.95</v>
      </c>
      <c r="V930" s="291">
        <v>3237.95</v>
      </c>
      <c r="W930" s="292">
        <v>38720.399999999994</v>
      </c>
      <c r="X930" s="292">
        <v>38855.399999999994</v>
      </c>
      <c r="Y930" s="292">
        <v>38765.4</v>
      </c>
      <c r="Z930" s="292">
        <v>43261.08</v>
      </c>
      <c r="AA930" s="290">
        <v>44256.084839999989</v>
      </c>
      <c r="AB930" s="285">
        <v>43909.996199999987</v>
      </c>
      <c r="AC930" s="290">
        <v>3226.7</v>
      </c>
      <c r="AD930" s="192">
        <v>12</v>
      </c>
      <c r="AE930" s="290">
        <v>3237.95</v>
      </c>
      <c r="AF930" s="194">
        <v>41958.349999999991</v>
      </c>
      <c r="AG930" s="215"/>
      <c r="AJ930" s="388">
        <f t="shared" si="74"/>
        <v>0</v>
      </c>
    </row>
    <row r="931" spans="1:36" x14ac:dyDescent="0.3">
      <c r="A931" s="192">
        <v>5831</v>
      </c>
      <c r="B931" s="192">
        <v>99</v>
      </c>
      <c r="C931" s="192">
        <v>0</v>
      </c>
      <c r="D931" s="192" t="s">
        <v>1699</v>
      </c>
      <c r="E931" s="192">
        <v>6742719</v>
      </c>
      <c r="F931" s="192" t="s">
        <v>1462</v>
      </c>
      <c r="G931" s="290">
        <v>0.81200000000000006</v>
      </c>
      <c r="H931" s="192">
        <v>3135.19</v>
      </c>
      <c r="I931" s="192">
        <v>0</v>
      </c>
      <c r="J931" s="192">
        <v>0</v>
      </c>
      <c r="K931" s="192">
        <v>0</v>
      </c>
      <c r="L931" s="192">
        <v>202.18</v>
      </c>
      <c r="M931" s="192">
        <v>0</v>
      </c>
      <c r="N931" s="192">
        <v>0</v>
      </c>
      <c r="O931" s="192">
        <v>3337.37</v>
      </c>
      <c r="P931" s="192">
        <v>0</v>
      </c>
      <c r="Q931" s="192">
        <v>0</v>
      </c>
      <c r="R931" s="192">
        <v>0</v>
      </c>
      <c r="S931" s="285">
        <f t="shared" si="73"/>
        <v>0.81199999999999994</v>
      </c>
      <c r="T931" s="192">
        <v>0</v>
      </c>
      <c r="U931" s="291">
        <v>3337.37</v>
      </c>
      <c r="V931" s="291">
        <v>3337.37</v>
      </c>
      <c r="W931" s="292">
        <v>26455.56</v>
      </c>
      <c r="X931" s="292">
        <v>40048.44</v>
      </c>
      <c r="Y931" s="292">
        <v>26455.56</v>
      </c>
      <c r="Z931" s="292">
        <v>77382.06</v>
      </c>
      <c r="AA931" s="290">
        <v>79161.847379999992</v>
      </c>
      <c r="AB931" s="285">
        <v>78542.790899999993</v>
      </c>
      <c r="AC931" s="290">
        <v>3337</v>
      </c>
      <c r="AD931" s="192">
        <v>12</v>
      </c>
      <c r="AE931" s="305">
        <v>2500</v>
      </c>
      <c r="AF931" s="194">
        <v>42544</v>
      </c>
      <c r="AG931" s="215"/>
      <c r="AJ931" s="388">
        <f t="shared" si="74"/>
        <v>0</v>
      </c>
    </row>
    <row r="932" spans="1:36" x14ac:dyDescent="0.3">
      <c r="A932" s="192">
        <v>5831</v>
      </c>
      <c r="B932" s="192">
        <v>99</v>
      </c>
      <c r="C932" s="192">
        <v>0</v>
      </c>
      <c r="D932" s="192" t="s">
        <v>1699</v>
      </c>
      <c r="E932" s="192">
        <v>6744802</v>
      </c>
      <c r="F932" s="192" t="s">
        <v>1948</v>
      </c>
      <c r="G932" s="290">
        <v>0.35099999999999998</v>
      </c>
      <c r="H932" s="192">
        <v>2256.7600000000002</v>
      </c>
      <c r="I932" s="192">
        <v>0</v>
      </c>
      <c r="J932" s="192">
        <v>0</v>
      </c>
      <c r="K932" s="192">
        <v>0</v>
      </c>
      <c r="L932" s="192">
        <v>135.28</v>
      </c>
      <c r="M932" s="192">
        <v>0</v>
      </c>
      <c r="N932" s="192">
        <v>74</v>
      </c>
      <c r="O932" s="192">
        <v>2466.04</v>
      </c>
      <c r="P932" s="192">
        <v>0</v>
      </c>
      <c r="Q932" s="192">
        <v>196.2</v>
      </c>
      <c r="R932" s="192">
        <v>0</v>
      </c>
      <c r="S932" s="285">
        <f t="shared" si="73"/>
        <v>0.35099999999999998</v>
      </c>
      <c r="T932" s="192">
        <v>0</v>
      </c>
      <c r="U932" s="291">
        <v>2662.24</v>
      </c>
      <c r="V932" s="291">
        <v>2662.24</v>
      </c>
      <c r="W932" s="292">
        <v>31811.879999999997</v>
      </c>
      <c r="X932" s="292">
        <v>31946.879999999997</v>
      </c>
      <c r="Y932" s="292">
        <v>31856.880000000005</v>
      </c>
      <c r="Z932" s="292">
        <v>34687.82</v>
      </c>
      <c r="AA932" s="290">
        <v>35485.639859999996</v>
      </c>
      <c r="AB932" s="285">
        <v>35208.137299999995</v>
      </c>
      <c r="AC932" s="290">
        <v>2650.99</v>
      </c>
      <c r="AD932" s="192">
        <v>12</v>
      </c>
      <c r="AE932" s="290">
        <v>2662.24</v>
      </c>
      <c r="AF932" s="194">
        <v>34474.119999999995</v>
      </c>
      <c r="AG932" s="215"/>
      <c r="AJ932" s="388">
        <f t="shared" si="74"/>
        <v>0</v>
      </c>
    </row>
    <row r="933" spans="1:36" x14ac:dyDescent="0.3">
      <c r="A933" s="192">
        <v>5831</v>
      </c>
      <c r="B933" s="192">
        <v>99</v>
      </c>
      <c r="C933" s="192">
        <v>0</v>
      </c>
      <c r="D933" s="192" t="s">
        <v>1699</v>
      </c>
      <c r="E933" s="192">
        <v>6744832</v>
      </c>
      <c r="F933" s="192" t="s">
        <v>1949</v>
      </c>
      <c r="G933" s="290">
        <v>0.41</v>
      </c>
      <c r="H933" s="192">
        <v>7549.26</v>
      </c>
      <c r="I933" s="192">
        <v>1314.65</v>
      </c>
      <c r="J933" s="192">
        <v>0</v>
      </c>
      <c r="K933" s="192">
        <v>0</v>
      </c>
      <c r="L933" s="192">
        <v>350.96</v>
      </c>
      <c r="M933" s="192">
        <v>0</v>
      </c>
      <c r="N933" s="192">
        <v>0</v>
      </c>
      <c r="O933" s="192">
        <v>9214.8700000000008</v>
      </c>
      <c r="P933" s="192">
        <v>0</v>
      </c>
      <c r="Q933" s="192">
        <v>702.37</v>
      </c>
      <c r="R933" s="192">
        <v>0</v>
      </c>
      <c r="S933" s="285">
        <f t="shared" si="73"/>
        <v>0.41</v>
      </c>
      <c r="T933" s="192">
        <v>0</v>
      </c>
      <c r="U933" s="291">
        <v>9917.24</v>
      </c>
      <c r="V933" s="291">
        <v>9917.24</v>
      </c>
      <c r="W933" s="292">
        <v>118871.88</v>
      </c>
      <c r="X933" s="292">
        <v>119006.88</v>
      </c>
      <c r="Y933" s="292">
        <v>118916.88</v>
      </c>
      <c r="Z933" s="292">
        <v>122228.99</v>
      </c>
      <c r="AA933" s="290">
        <v>125040.25676999998</v>
      </c>
      <c r="AB933" s="285">
        <v>124062.42484999998</v>
      </c>
      <c r="AC933" s="290">
        <v>9905.99</v>
      </c>
      <c r="AD933" s="192">
        <v>12</v>
      </c>
      <c r="AE933" s="290">
        <v>9917.24</v>
      </c>
      <c r="AF933" s="194">
        <v>128789.12000000001</v>
      </c>
      <c r="AG933" s="215"/>
      <c r="AJ933" s="388">
        <f t="shared" si="74"/>
        <v>0</v>
      </c>
    </row>
    <row r="934" spans="1:36" x14ac:dyDescent="0.3">
      <c r="A934" s="192">
        <v>5831</v>
      </c>
      <c r="B934" s="192">
        <v>99</v>
      </c>
      <c r="C934" s="192">
        <v>0</v>
      </c>
      <c r="D934" s="192" t="s">
        <v>1699</v>
      </c>
      <c r="E934" s="192">
        <v>6749399</v>
      </c>
      <c r="F934" s="192" t="s">
        <v>1950</v>
      </c>
      <c r="G934" s="290">
        <v>0.3</v>
      </c>
      <c r="H934" s="192">
        <v>1890.89</v>
      </c>
      <c r="I934" s="192">
        <v>0</v>
      </c>
      <c r="J934" s="192">
        <v>0</v>
      </c>
      <c r="K934" s="192">
        <v>0</v>
      </c>
      <c r="L934" s="192">
        <v>119.73</v>
      </c>
      <c r="M934" s="192">
        <v>0</v>
      </c>
      <c r="N934" s="192">
        <v>84</v>
      </c>
      <c r="O934" s="192">
        <v>2094.62</v>
      </c>
      <c r="P934" s="192">
        <v>0</v>
      </c>
      <c r="Q934" s="192">
        <v>0</v>
      </c>
      <c r="R934" s="192">
        <v>0</v>
      </c>
      <c r="S934" s="285">
        <f t="shared" si="73"/>
        <v>0.3</v>
      </c>
      <c r="T934" s="192">
        <v>0</v>
      </c>
      <c r="U934" s="291">
        <v>2094.62</v>
      </c>
      <c r="V934" s="291">
        <v>2094.62</v>
      </c>
      <c r="W934" s="292">
        <v>25135.439999999999</v>
      </c>
      <c r="X934" s="292">
        <v>25135.439999999999</v>
      </c>
      <c r="Y934" s="292">
        <v>25135.439999999999</v>
      </c>
      <c r="Z934" s="292">
        <v>27321.21</v>
      </c>
      <c r="AA934" s="290">
        <v>27949.597829999995</v>
      </c>
      <c r="AB934" s="285">
        <v>27731.028149999995</v>
      </c>
      <c r="AC934" s="290">
        <v>2094.62</v>
      </c>
      <c r="AD934" s="192">
        <v>12</v>
      </c>
      <c r="AE934" s="290">
        <v>2094.62</v>
      </c>
      <c r="AF934" s="194">
        <v>27230.059999999998</v>
      </c>
      <c r="AG934" s="215"/>
      <c r="AJ934" s="388">
        <f t="shared" si="74"/>
        <v>0</v>
      </c>
    </row>
    <row r="935" spans="1:36" x14ac:dyDescent="0.3">
      <c r="A935" s="192">
        <v>5831</v>
      </c>
      <c r="B935" s="192">
        <v>99</v>
      </c>
      <c r="C935" s="192">
        <v>0</v>
      </c>
      <c r="D935" s="192" t="s">
        <v>1699</v>
      </c>
      <c r="E935" s="192">
        <v>6750374</v>
      </c>
      <c r="F935" s="192" t="s">
        <v>1951</v>
      </c>
      <c r="G935" s="290">
        <v>0.49626999999999999</v>
      </c>
      <c r="H935" s="192">
        <v>4013.75</v>
      </c>
      <c r="I935" s="192">
        <v>192.45</v>
      </c>
      <c r="J935" s="192">
        <v>0</v>
      </c>
      <c r="K935" s="192">
        <v>0</v>
      </c>
      <c r="L935" s="192">
        <v>289.39999999999998</v>
      </c>
      <c r="M935" s="192">
        <v>0</v>
      </c>
      <c r="N935" s="192">
        <v>0</v>
      </c>
      <c r="O935" s="192">
        <v>4495.6000000000004</v>
      </c>
      <c r="P935" s="192">
        <v>0</v>
      </c>
      <c r="Q935" s="192">
        <v>348.42</v>
      </c>
      <c r="R935" s="192">
        <v>0</v>
      </c>
      <c r="S935" s="285">
        <f t="shared" si="73"/>
        <v>0.49626999999999999</v>
      </c>
      <c r="T935" s="192">
        <v>0</v>
      </c>
      <c r="U935" s="291">
        <v>4844.0200000000004</v>
      </c>
      <c r="V935" s="291">
        <v>4844.0200000000004</v>
      </c>
      <c r="W935" s="292">
        <v>115116.84</v>
      </c>
      <c r="X935" s="292">
        <v>58128.240000000005</v>
      </c>
      <c r="Y935" s="292">
        <v>38707.160000000003</v>
      </c>
      <c r="Z935" s="292">
        <v>133455.67000000001</v>
      </c>
      <c r="AA935" s="290">
        <v>136525.15040999997</v>
      </c>
      <c r="AB935" s="285">
        <v>22576.250841666664</v>
      </c>
      <c r="AC935" s="290">
        <v>4844</v>
      </c>
      <c r="AD935" s="192">
        <v>12</v>
      </c>
      <c r="AE935" s="305">
        <v>87000</v>
      </c>
      <c r="AF935" s="194">
        <v>145128</v>
      </c>
      <c r="AG935" s="215"/>
      <c r="AJ935" s="388">
        <f t="shared" si="74"/>
        <v>0</v>
      </c>
    </row>
    <row r="936" spans="1:36" x14ac:dyDescent="0.3">
      <c r="A936" s="192">
        <v>5831</v>
      </c>
      <c r="B936" s="192">
        <v>99</v>
      </c>
      <c r="C936" s="192">
        <v>0</v>
      </c>
      <c r="D936" s="192" t="s">
        <v>1699</v>
      </c>
      <c r="E936" s="192">
        <v>6753841</v>
      </c>
      <c r="F936" s="192" t="s">
        <v>1952</v>
      </c>
      <c r="G936" s="290">
        <v>0.33600000000000002</v>
      </c>
      <c r="H936" s="192">
        <v>2161.14</v>
      </c>
      <c r="I936" s="192">
        <v>0</v>
      </c>
      <c r="J936" s="192">
        <v>0</v>
      </c>
      <c r="K936" s="192">
        <v>0</v>
      </c>
      <c r="L936" s="192">
        <v>137.83000000000001</v>
      </c>
      <c r="M936" s="192">
        <v>0</v>
      </c>
      <c r="N936" s="192">
        <v>84</v>
      </c>
      <c r="O936" s="192">
        <v>2382.9699999999998</v>
      </c>
      <c r="P936" s="192">
        <v>0</v>
      </c>
      <c r="Q936" s="192">
        <v>189.97</v>
      </c>
      <c r="R936" s="192">
        <v>0</v>
      </c>
      <c r="S936" s="285">
        <f t="shared" si="73"/>
        <v>0.33600000000000002</v>
      </c>
      <c r="T936" s="192">
        <v>0</v>
      </c>
      <c r="U936" s="291">
        <v>2572.94</v>
      </c>
      <c r="V936" s="291">
        <v>2572.94</v>
      </c>
      <c r="W936" s="292">
        <v>30740.28</v>
      </c>
      <c r="X936" s="292">
        <v>30875.279999999999</v>
      </c>
      <c r="Y936" s="292">
        <v>30785.279999999999</v>
      </c>
      <c r="Z936" s="292">
        <v>33731</v>
      </c>
      <c r="AA936" s="290">
        <v>34506.812999999995</v>
      </c>
      <c r="AB936" s="285">
        <v>34236.964999999997</v>
      </c>
      <c r="AC936" s="290">
        <v>2561.69</v>
      </c>
      <c r="AD936" s="192">
        <v>12</v>
      </c>
      <c r="AE936" s="290">
        <v>2572.94</v>
      </c>
      <c r="AF936" s="194">
        <v>33313.22</v>
      </c>
      <c r="AG936" s="215"/>
      <c r="AJ936" s="388">
        <f t="shared" si="74"/>
        <v>0</v>
      </c>
    </row>
    <row r="937" spans="1:36" x14ac:dyDescent="0.3">
      <c r="A937" s="192">
        <v>5831</v>
      </c>
      <c r="B937" s="192">
        <v>99</v>
      </c>
      <c r="C937" s="192">
        <v>0</v>
      </c>
      <c r="D937" s="192" t="s">
        <v>1699</v>
      </c>
      <c r="E937" s="192">
        <v>6754571</v>
      </c>
      <c r="F937" s="192" t="s">
        <v>1929</v>
      </c>
      <c r="G937" s="290">
        <v>0.7</v>
      </c>
      <c r="H937" s="192">
        <v>10133.17</v>
      </c>
      <c r="I937" s="192">
        <v>0</v>
      </c>
      <c r="J937" s="192">
        <v>0</v>
      </c>
      <c r="K937" s="192">
        <v>0</v>
      </c>
      <c r="L937" s="192">
        <v>381.16</v>
      </c>
      <c r="M937" s="192">
        <v>0</v>
      </c>
      <c r="N937" s="192">
        <v>0</v>
      </c>
      <c r="O937" s="192">
        <v>10514.33</v>
      </c>
      <c r="P937" s="192">
        <v>0</v>
      </c>
      <c r="Q937" s="192">
        <v>799.82</v>
      </c>
      <c r="R937" s="192">
        <v>0</v>
      </c>
      <c r="S937" s="285">
        <f t="shared" si="73"/>
        <v>0.69999999999999984</v>
      </c>
      <c r="T937" s="192">
        <v>0</v>
      </c>
      <c r="U937" s="291">
        <v>11314.15</v>
      </c>
      <c r="V937" s="291">
        <v>11314.15</v>
      </c>
      <c r="W937" s="292">
        <v>135634.79999999999</v>
      </c>
      <c r="X937" s="292">
        <v>135769.79999999999</v>
      </c>
      <c r="Y937" s="292">
        <v>135679.79999999999</v>
      </c>
      <c r="Z937" s="292">
        <v>148051.59</v>
      </c>
      <c r="AA937" s="290">
        <v>151456.77656999999</v>
      </c>
      <c r="AB937" s="285">
        <v>150272.36384999999</v>
      </c>
      <c r="AC937" s="290">
        <v>11302.9</v>
      </c>
      <c r="AD937" s="192">
        <v>12</v>
      </c>
      <c r="AE937" s="290">
        <v>11314.15</v>
      </c>
      <c r="AF937" s="194">
        <v>146948.94999999998</v>
      </c>
      <c r="AG937" s="215"/>
      <c r="AJ937" s="388">
        <f t="shared" si="74"/>
        <v>0</v>
      </c>
    </row>
    <row r="938" spans="1:36" x14ac:dyDescent="0.3">
      <c r="A938" s="192">
        <v>5831</v>
      </c>
      <c r="B938" s="192">
        <v>99</v>
      </c>
      <c r="C938" s="192">
        <v>0</v>
      </c>
      <c r="D938" s="192" t="s">
        <v>1699</v>
      </c>
      <c r="E938" s="192">
        <v>6754812</v>
      </c>
      <c r="F938" s="192" t="s">
        <v>1953</v>
      </c>
      <c r="G938" s="290">
        <v>0.56000000000000005</v>
      </c>
      <c r="H938" s="192">
        <v>3794.33</v>
      </c>
      <c r="I938" s="192">
        <v>0</v>
      </c>
      <c r="J938" s="192">
        <v>0</v>
      </c>
      <c r="K938" s="192">
        <v>0</v>
      </c>
      <c r="L938" s="192">
        <v>142.72</v>
      </c>
      <c r="M938" s="192">
        <v>0</v>
      </c>
      <c r="N938" s="192">
        <v>0</v>
      </c>
      <c r="O938" s="192">
        <v>3937.05</v>
      </c>
      <c r="P938" s="192">
        <v>0</v>
      </c>
      <c r="Q938" s="192">
        <v>306.52999999999997</v>
      </c>
      <c r="R938" s="192">
        <v>0</v>
      </c>
      <c r="S938" s="285">
        <f t="shared" si="73"/>
        <v>0.56000000000000005</v>
      </c>
      <c r="T938" s="192">
        <v>0</v>
      </c>
      <c r="U938" s="291">
        <v>4243.58</v>
      </c>
      <c r="V938" s="291">
        <v>4243.58</v>
      </c>
      <c r="W938" s="292">
        <v>50787.96</v>
      </c>
      <c r="X938" s="292">
        <v>50922.96</v>
      </c>
      <c r="Y938" s="292">
        <v>50832.959999999999</v>
      </c>
      <c r="Z938" s="292">
        <v>58319.35</v>
      </c>
      <c r="AA938" s="290">
        <v>59660.695049999995</v>
      </c>
      <c r="AB938" s="285">
        <v>59194.140249999989</v>
      </c>
      <c r="AC938" s="290">
        <v>4232.33</v>
      </c>
      <c r="AD938" s="192">
        <v>12</v>
      </c>
      <c r="AE938" s="290">
        <v>4243.58</v>
      </c>
      <c r="AF938" s="194">
        <v>55031.54</v>
      </c>
      <c r="AG938" s="215"/>
      <c r="AJ938" s="388">
        <f t="shared" si="74"/>
        <v>0</v>
      </c>
    </row>
    <row r="939" spans="1:36" x14ac:dyDescent="0.3">
      <c r="A939" s="192">
        <v>5831</v>
      </c>
      <c r="B939" s="192">
        <v>99</v>
      </c>
      <c r="C939" s="192">
        <v>0</v>
      </c>
      <c r="D939" s="192" t="s">
        <v>1699</v>
      </c>
      <c r="E939" s="192">
        <v>6754842</v>
      </c>
      <c r="F939" s="192" t="s">
        <v>1954</v>
      </c>
      <c r="G939" s="290">
        <v>0.36399999999999999</v>
      </c>
      <c r="H939" s="192">
        <v>2359.46</v>
      </c>
      <c r="I939" s="192">
        <v>0</v>
      </c>
      <c r="J939" s="192">
        <v>0</v>
      </c>
      <c r="K939" s="192">
        <v>0</v>
      </c>
      <c r="L939" s="192">
        <v>101.05</v>
      </c>
      <c r="M939" s="192">
        <v>0</v>
      </c>
      <c r="N939" s="192">
        <v>0</v>
      </c>
      <c r="O939" s="192">
        <v>2460.5100000000002</v>
      </c>
      <c r="P939" s="192">
        <v>0</v>
      </c>
      <c r="Q939" s="192">
        <v>0</v>
      </c>
      <c r="R939" s="192">
        <v>0</v>
      </c>
      <c r="S939" s="285">
        <f t="shared" si="73"/>
        <v>0.36400000000000005</v>
      </c>
      <c r="T939" s="192">
        <v>0</v>
      </c>
      <c r="U939" s="291">
        <v>2460.5100000000002</v>
      </c>
      <c r="V939" s="291">
        <v>2460.5100000000002</v>
      </c>
      <c r="W939" s="292">
        <v>29526.120000000003</v>
      </c>
      <c r="X939" s="292">
        <v>29526.120000000003</v>
      </c>
      <c r="Y939" s="292">
        <v>29526.119999999995</v>
      </c>
      <c r="Z939" s="292">
        <v>33919.040000000001</v>
      </c>
      <c r="AA939" s="290">
        <v>34699.177919999995</v>
      </c>
      <c r="AB939" s="285">
        <v>34427.825599999996</v>
      </c>
      <c r="AC939" s="290">
        <v>2460.5100000000002</v>
      </c>
      <c r="AD939" s="192">
        <v>12</v>
      </c>
      <c r="AE939" s="290">
        <v>2460.5100000000002</v>
      </c>
      <c r="AF939" s="194">
        <v>31986.630000000005</v>
      </c>
      <c r="AG939" s="215"/>
      <c r="AJ939" s="388">
        <f t="shared" si="74"/>
        <v>0</v>
      </c>
    </row>
    <row r="940" spans="1:36" x14ac:dyDescent="0.3">
      <c r="A940" s="192">
        <v>5831</v>
      </c>
      <c r="B940" s="192">
        <v>99</v>
      </c>
      <c r="C940" s="192">
        <v>0</v>
      </c>
      <c r="D940" s="192" t="s">
        <v>1699</v>
      </c>
      <c r="E940" s="192">
        <v>6755485</v>
      </c>
      <c r="F940" s="192" t="s">
        <v>1955</v>
      </c>
      <c r="G940" s="290">
        <v>0.5</v>
      </c>
      <c r="H940" s="192">
        <v>3599.55</v>
      </c>
      <c r="I940" s="192">
        <v>49.26</v>
      </c>
      <c r="J940" s="192">
        <v>0</v>
      </c>
      <c r="K940" s="192">
        <v>0</v>
      </c>
      <c r="L940" s="192">
        <v>137.24</v>
      </c>
      <c r="M940" s="192">
        <v>0</v>
      </c>
      <c r="N940" s="192">
        <v>0</v>
      </c>
      <c r="O940" s="192">
        <v>3786.05</v>
      </c>
      <c r="P940" s="192">
        <v>0</v>
      </c>
      <c r="Q940" s="192">
        <v>295.2</v>
      </c>
      <c r="R940" s="192">
        <v>0</v>
      </c>
      <c r="S940" s="285">
        <f t="shared" si="73"/>
        <v>0.5</v>
      </c>
      <c r="T940" s="192">
        <v>0</v>
      </c>
      <c r="U940" s="291">
        <v>4081.25</v>
      </c>
      <c r="V940" s="291">
        <v>4081.25</v>
      </c>
      <c r="W940" s="292">
        <v>48840</v>
      </c>
      <c r="X940" s="292">
        <v>48975</v>
      </c>
      <c r="Y940" s="292">
        <v>48885</v>
      </c>
      <c r="Z940" s="292">
        <v>55765.04</v>
      </c>
      <c r="AA940" s="290">
        <v>57047.635919999993</v>
      </c>
      <c r="AB940" s="285">
        <v>56601.515599999999</v>
      </c>
      <c r="AC940" s="290">
        <v>4070</v>
      </c>
      <c r="AD940" s="192">
        <v>12</v>
      </c>
      <c r="AE940" s="290">
        <v>4081.25</v>
      </c>
      <c r="AF940" s="194">
        <v>52921.25</v>
      </c>
      <c r="AG940" s="215"/>
      <c r="AJ940" s="388">
        <f t="shared" si="74"/>
        <v>0</v>
      </c>
    </row>
    <row r="941" spans="1:36" x14ac:dyDescent="0.3">
      <c r="A941" s="192">
        <v>5831</v>
      </c>
      <c r="B941" s="192">
        <v>99</v>
      </c>
      <c r="C941" s="192">
        <v>0</v>
      </c>
      <c r="D941" s="192" t="s">
        <v>1699</v>
      </c>
      <c r="E941" s="192">
        <v>6756548</v>
      </c>
      <c r="F941" s="192" t="s">
        <v>1956</v>
      </c>
      <c r="G941" s="290">
        <v>0.214</v>
      </c>
      <c r="H941" s="192">
        <v>9057.39</v>
      </c>
      <c r="I941" s="192">
        <v>0</v>
      </c>
      <c r="J941" s="192">
        <v>0</v>
      </c>
      <c r="K941" s="192">
        <v>0</v>
      </c>
      <c r="L941" s="192">
        <v>0</v>
      </c>
      <c r="M941" s="192">
        <v>0</v>
      </c>
      <c r="N941" s="192">
        <v>429</v>
      </c>
      <c r="O941" s="192">
        <v>9486.39</v>
      </c>
      <c r="P941" s="192">
        <v>0</v>
      </c>
      <c r="Q941" s="192">
        <v>722.73</v>
      </c>
      <c r="R941" s="192">
        <v>0</v>
      </c>
      <c r="S941" s="285">
        <f t="shared" si="73"/>
        <v>0.214</v>
      </c>
      <c r="T941" s="192">
        <v>0</v>
      </c>
      <c r="U941" s="291">
        <v>10209.120000000001</v>
      </c>
      <c r="V941" s="291">
        <v>10209.120000000001</v>
      </c>
      <c r="W941" s="292">
        <v>122374.44</v>
      </c>
      <c r="X941" s="292">
        <v>122509.44</v>
      </c>
      <c r="Y941" s="292">
        <v>122419.44</v>
      </c>
      <c r="Z941" s="292">
        <v>122869.15</v>
      </c>
      <c r="AA941" s="290">
        <v>125695.14044999999</v>
      </c>
      <c r="AB941" s="285">
        <v>124712.18725</v>
      </c>
      <c r="AC941" s="290">
        <v>10197.870000000001</v>
      </c>
      <c r="AD941" s="192">
        <v>12</v>
      </c>
      <c r="AE941" s="290">
        <v>10209.120000000001</v>
      </c>
      <c r="AF941" s="194">
        <v>132583.56</v>
      </c>
      <c r="AG941" s="215"/>
      <c r="AJ941" s="388">
        <f t="shared" si="74"/>
        <v>0</v>
      </c>
    </row>
    <row r="942" spans="1:36" x14ac:dyDescent="0.3">
      <c r="A942" s="192">
        <v>5831</v>
      </c>
      <c r="B942" s="192">
        <v>99</v>
      </c>
      <c r="C942" s="192">
        <v>0</v>
      </c>
      <c r="D942" s="192" t="s">
        <v>1699</v>
      </c>
      <c r="E942" s="192">
        <v>6756711</v>
      </c>
      <c r="F942" s="192" t="s">
        <v>1957</v>
      </c>
      <c r="G942" s="290">
        <v>0.35499999999999998</v>
      </c>
      <c r="H942" s="192">
        <v>2156.34</v>
      </c>
      <c r="I942" s="192">
        <v>0</v>
      </c>
      <c r="J942" s="192">
        <v>0</v>
      </c>
      <c r="K942" s="192">
        <v>0</v>
      </c>
      <c r="L942" s="192">
        <v>1447.63</v>
      </c>
      <c r="M942" s="192">
        <v>0</v>
      </c>
      <c r="N942" s="192">
        <v>0</v>
      </c>
      <c r="O942" s="192">
        <v>3603.97</v>
      </c>
      <c r="P942" s="192">
        <v>0</v>
      </c>
      <c r="Q942" s="192">
        <v>0</v>
      </c>
      <c r="R942" s="192">
        <v>0</v>
      </c>
      <c r="S942" s="285">
        <f t="shared" si="73"/>
        <v>0.35499999999999998</v>
      </c>
      <c r="T942" s="192">
        <v>0</v>
      </c>
      <c r="U942" s="291">
        <v>3603.97</v>
      </c>
      <c r="V942" s="291">
        <v>3603.97</v>
      </c>
      <c r="W942" s="292">
        <v>43247.64</v>
      </c>
      <c r="X942" s="292">
        <v>43247.64</v>
      </c>
      <c r="Y942" s="292">
        <v>43247.64</v>
      </c>
      <c r="Z942" s="292">
        <v>47133.17</v>
      </c>
      <c r="AA942" s="290">
        <v>48217.232909999992</v>
      </c>
      <c r="AB942" s="285">
        <v>47840.167549999991</v>
      </c>
      <c r="AC942" s="290">
        <v>3603.97</v>
      </c>
      <c r="AD942" s="192">
        <v>12</v>
      </c>
      <c r="AE942" s="290">
        <v>3603.97</v>
      </c>
      <c r="AF942" s="194">
        <v>46851.61</v>
      </c>
      <c r="AG942" s="215"/>
      <c r="AJ942" s="388">
        <f t="shared" si="74"/>
        <v>0</v>
      </c>
    </row>
    <row r="943" spans="1:36" x14ac:dyDescent="0.3">
      <c r="A943" s="192">
        <v>5831</v>
      </c>
      <c r="B943" s="192">
        <v>99</v>
      </c>
      <c r="C943" s="192">
        <v>0</v>
      </c>
      <c r="D943" s="192" t="s">
        <v>1699</v>
      </c>
      <c r="E943" s="192">
        <v>6761020</v>
      </c>
      <c r="F943" s="192" t="s">
        <v>1958</v>
      </c>
      <c r="G943" s="290">
        <v>0.50700000000000001</v>
      </c>
      <c r="H943" s="192">
        <v>3649.14</v>
      </c>
      <c r="I943" s="192">
        <v>0</v>
      </c>
      <c r="J943" s="192">
        <v>0</v>
      </c>
      <c r="K943" s="192">
        <v>0</v>
      </c>
      <c r="L943" s="192">
        <v>102.03</v>
      </c>
      <c r="M943" s="192">
        <v>0</v>
      </c>
      <c r="N943" s="192">
        <v>0</v>
      </c>
      <c r="O943" s="192">
        <v>3751.17</v>
      </c>
      <c r="P943" s="192">
        <v>0</v>
      </c>
      <c r="Q943" s="192">
        <v>292.58999999999997</v>
      </c>
      <c r="R943" s="192">
        <v>0</v>
      </c>
      <c r="S943" s="285">
        <f t="shared" si="73"/>
        <v>0.50700000000000001</v>
      </c>
      <c r="T943" s="192">
        <v>0</v>
      </c>
      <c r="U943" s="291">
        <v>4043.76</v>
      </c>
      <c r="V943" s="291">
        <v>4043.76</v>
      </c>
      <c r="W943" s="292">
        <v>48390.12</v>
      </c>
      <c r="X943" s="292">
        <v>48525.120000000003</v>
      </c>
      <c r="Y943" s="292">
        <v>48435.12</v>
      </c>
      <c r="Z943" s="292">
        <v>55003.66</v>
      </c>
      <c r="AA943" s="290">
        <v>56268.744180000002</v>
      </c>
      <c r="AB943" s="285">
        <v>55828.714899999999</v>
      </c>
      <c r="AC943" s="290">
        <v>4032.51</v>
      </c>
      <c r="AD943" s="192">
        <v>12</v>
      </c>
      <c r="AE943" s="290">
        <v>4043.76</v>
      </c>
      <c r="AF943" s="194">
        <v>52433.880000000005</v>
      </c>
      <c r="AG943" s="215"/>
      <c r="AJ943" s="388">
        <f t="shared" si="74"/>
        <v>0</v>
      </c>
    </row>
    <row r="944" spans="1:36" x14ac:dyDescent="0.3">
      <c r="A944" s="192">
        <v>5831</v>
      </c>
      <c r="B944" s="192">
        <v>99</v>
      </c>
      <c r="C944" s="192">
        <v>0</v>
      </c>
      <c r="D944" s="192" t="s">
        <v>1699</v>
      </c>
      <c r="E944" s="192">
        <v>6762357</v>
      </c>
      <c r="F944" s="192" t="s">
        <v>1959</v>
      </c>
      <c r="G944" s="290">
        <v>0.17499999999999999</v>
      </c>
      <c r="H944" s="192">
        <v>1049.3900000000001</v>
      </c>
      <c r="I944" s="192">
        <v>0</v>
      </c>
      <c r="J944" s="192">
        <v>0</v>
      </c>
      <c r="K944" s="192">
        <v>0</v>
      </c>
      <c r="L944" s="192">
        <v>39.14</v>
      </c>
      <c r="M944" s="192">
        <v>0</v>
      </c>
      <c r="N944" s="192">
        <v>0</v>
      </c>
      <c r="O944" s="192">
        <v>1088.53</v>
      </c>
      <c r="P944" s="192">
        <v>0</v>
      </c>
      <c r="Q944" s="192">
        <v>0</v>
      </c>
      <c r="R944" s="192">
        <v>0</v>
      </c>
      <c r="S944" s="285">
        <f t="shared" si="73"/>
        <v>0.17499999999999996</v>
      </c>
      <c r="T944" s="192">
        <v>0</v>
      </c>
      <c r="U944" s="291">
        <v>1088.53</v>
      </c>
      <c r="V944" s="291">
        <v>1088.53</v>
      </c>
      <c r="W944" s="292">
        <v>13062.36</v>
      </c>
      <c r="X944" s="292">
        <v>13062.36</v>
      </c>
      <c r="Y944" s="292">
        <v>13062.36</v>
      </c>
      <c r="Z944" s="292">
        <v>14511.82</v>
      </c>
      <c r="AA944" s="290">
        <v>14845.591859999999</v>
      </c>
      <c r="AB944" s="285">
        <v>14729.497299999999</v>
      </c>
      <c r="AC944" s="290">
        <v>1088.53</v>
      </c>
      <c r="AD944" s="192">
        <v>12</v>
      </c>
      <c r="AE944" s="290">
        <v>1088.53</v>
      </c>
      <c r="AF944" s="194">
        <v>14150.890000000001</v>
      </c>
      <c r="AG944" s="215"/>
      <c r="AJ944" s="388">
        <f t="shared" si="74"/>
        <v>0</v>
      </c>
    </row>
    <row r="945" spans="1:36" x14ac:dyDescent="0.3">
      <c r="A945" s="192">
        <v>5831</v>
      </c>
      <c r="B945" s="192">
        <v>99</v>
      </c>
      <c r="C945" s="192">
        <v>0</v>
      </c>
      <c r="D945" s="192" t="s">
        <v>1699</v>
      </c>
      <c r="E945" s="192">
        <v>6766923</v>
      </c>
      <c r="F945" s="192" t="s">
        <v>1960</v>
      </c>
      <c r="G945" s="290">
        <v>0.44</v>
      </c>
      <c r="H945" s="192">
        <v>2971.08</v>
      </c>
      <c r="I945" s="192">
        <v>81.8</v>
      </c>
      <c r="J945" s="192">
        <v>0</v>
      </c>
      <c r="K945" s="192">
        <v>0</v>
      </c>
      <c r="L945" s="192">
        <v>116.02</v>
      </c>
      <c r="M945" s="192">
        <v>0</v>
      </c>
      <c r="N945" s="192">
        <v>0</v>
      </c>
      <c r="O945" s="192">
        <v>3168.9</v>
      </c>
      <c r="P945" s="192">
        <v>0</v>
      </c>
      <c r="Q945" s="192">
        <v>248.92</v>
      </c>
      <c r="R945" s="192">
        <v>0</v>
      </c>
      <c r="S945" s="285">
        <f t="shared" si="73"/>
        <v>0.44</v>
      </c>
      <c r="T945" s="192">
        <v>0</v>
      </c>
      <c r="U945" s="291">
        <v>3417.82</v>
      </c>
      <c r="V945" s="291">
        <v>3417.82</v>
      </c>
      <c r="W945" s="292">
        <v>40878.840000000004</v>
      </c>
      <c r="X945" s="292">
        <v>41013.840000000004</v>
      </c>
      <c r="Y945" s="292">
        <v>40923.839999999997</v>
      </c>
      <c r="Z945" s="292">
        <v>44689.52</v>
      </c>
      <c r="AA945" s="290">
        <v>45717.378959999995</v>
      </c>
      <c r="AB945" s="285">
        <v>44725.376149999996</v>
      </c>
      <c r="AC945" s="290">
        <v>3406.57</v>
      </c>
      <c r="AD945" s="192">
        <v>12</v>
      </c>
      <c r="AE945" s="290">
        <v>3417.82</v>
      </c>
      <c r="AF945" s="194">
        <v>44296.66</v>
      </c>
      <c r="AG945" s="215"/>
      <c r="AJ945" s="388">
        <f t="shared" si="74"/>
        <v>0</v>
      </c>
    </row>
    <row r="946" spans="1:36" x14ac:dyDescent="0.3">
      <c r="A946" s="192">
        <v>5831</v>
      </c>
      <c r="B946" s="192">
        <v>99</v>
      </c>
      <c r="C946" s="192">
        <v>0</v>
      </c>
      <c r="D946" s="192" t="s">
        <v>1699</v>
      </c>
      <c r="E946" s="192">
        <v>6767643</v>
      </c>
      <c r="F946" s="192" t="s">
        <v>1961</v>
      </c>
      <c r="G946" s="290">
        <v>0.7</v>
      </c>
      <c r="H946" s="192">
        <v>5193.05</v>
      </c>
      <c r="I946" s="192">
        <v>0</v>
      </c>
      <c r="J946" s="192">
        <v>0</v>
      </c>
      <c r="K946" s="192">
        <v>0</v>
      </c>
      <c r="L946" s="192">
        <v>146.59</v>
      </c>
      <c r="M946" s="192">
        <v>0</v>
      </c>
      <c r="N946" s="192">
        <v>0</v>
      </c>
      <c r="O946" s="192">
        <v>5339.64</v>
      </c>
      <c r="P946" s="192">
        <v>0</v>
      </c>
      <c r="Q946" s="192">
        <v>411.72</v>
      </c>
      <c r="R946" s="192">
        <v>0</v>
      </c>
      <c r="S946" s="285">
        <f t="shared" si="73"/>
        <v>0.69999999999999984</v>
      </c>
      <c r="T946" s="192">
        <v>0</v>
      </c>
      <c r="U946" s="291">
        <v>5751.36</v>
      </c>
      <c r="V946" s="291">
        <v>5751.36</v>
      </c>
      <c r="W946" s="292">
        <v>68881.319999999992</v>
      </c>
      <c r="X946" s="292">
        <v>69016.319999999992</v>
      </c>
      <c r="Y946" s="292">
        <v>68926.320000000007</v>
      </c>
      <c r="Z946" s="292">
        <v>78203.679999999993</v>
      </c>
      <c r="AA946" s="290">
        <v>80002.36464</v>
      </c>
      <c r="AB946" s="285">
        <v>79376.735199999996</v>
      </c>
      <c r="AC946" s="290">
        <v>5740.11</v>
      </c>
      <c r="AD946" s="192">
        <v>12</v>
      </c>
      <c r="AE946" s="290">
        <v>5751.36</v>
      </c>
      <c r="AF946" s="194">
        <v>74632.679999999993</v>
      </c>
      <c r="AG946" s="215"/>
      <c r="AJ946" s="388">
        <f t="shared" si="74"/>
        <v>0</v>
      </c>
    </row>
    <row r="947" spans="1:36" x14ac:dyDescent="0.3">
      <c r="A947" s="192">
        <v>5831</v>
      </c>
      <c r="B947" s="192">
        <v>99</v>
      </c>
      <c r="C947" s="192">
        <v>0</v>
      </c>
      <c r="D947" s="192" t="s">
        <v>1699</v>
      </c>
      <c r="E947" s="192">
        <v>6769551</v>
      </c>
      <c r="F947" s="192" t="s">
        <v>1962</v>
      </c>
      <c r="G947" s="290">
        <v>0.33</v>
      </c>
      <c r="H947" s="192">
        <v>1907.9</v>
      </c>
      <c r="I947" s="192">
        <v>0</v>
      </c>
      <c r="J947" s="192">
        <v>0</v>
      </c>
      <c r="K947" s="192">
        <v>0</v>
      </c>
      <c r="L947" s="192">
        <v>115.67</v>
      </c>
      <c r="M947" s="192">
        <v>0</v>
      </c>
      <c r="N947" s="192">
        <v>0</v>
      </c>
      <c r="O947" s="192">
        <v>2023.57</v>
      </c>
      <c r="P947" s="192">
        <v>0</v>
      </c>
      <c r="Q947" s="192">
        <v>163.02000000000001</v>
      </c>
      <c r="R947" s="192">
        <v>0</v>
      </c>
      <c r="S947" s="285">
        <f t="shared" si="73"/>
        <v>0.33</v>
      </c>
      <c r="T947" s="192">
        <v>0</v>
      </c>
      <c r="U947" s="291">
        <v>2186.59</v>
      </c>
      <c r="V947" s="291">
        <v>2186.59</v>
      </c>
      <c r="W947" s="292">
        <v>26104.080000000002</v>
      </c>
      <c r="X947" s="292">
        <v>26239.08</v>
      </c>
      <c r="Y947" s="292">
        <v>26149.08</v>
      </c>
      <c r="Z947" s="292">
        <v>28609.27</v>
      </c>
      <c r="AA947" s="290">
        <v>29267.283209999994</v>
      </c>
      <c r="AB947" s="285">
        <v>29038.409049999995</v>
      </c>
      <c r="AC947" s="290">
        <v>2175.34</v>
      </c>
      <c r="AD947" s="192">
        <v>12</v>
      </c>
      <c r="AE947" s="290">
        <v>2186.59</v>
      </c>
      <c r="AF947" s="194">
        <v>28290.670000000002</v>
      </c>
      <c r="AG947" s="215"/>
      <c r="AJ947" s="388">
        <f t="shared" si="74"/>
        <v>0</v>
      </c>
    </row>
    <row r="948" spans="1:36" x14ac:dyDescent="0.3">
      <c r="A948" s="192">
        <v>5831</v>
      </c>
      <c r="B948" s="192">
        <v>99</v>
      </c>
      <c r="C948" s="192">
        <v>0</v>
      </c>
      <c r="D948" s="192" t="s">
        <v>1699</v>
      </c>
      <c r="E948" s="192">
        <v>6773831</v>
      </c>
      <c r="F948" s="192" t="s">
        <v>1963</v>
      </c>
      <c r="G948" s="290">
        <v>0.48499999999999999</v>
      </c>
      <c r="H948" s="192">
        <v>3620.89</v>
      </c>
      <c r="I948" s="192">
        <v>0</v>
      </c>
      <c r="J948" s="192">
        <v>0</v>
      </c>
      <c r="K948" s="192">
        <v>0</v>
      </c>
      <c r="L948" s="192">
        <v>103.21</v>
      </c>
      <c r="M948" s="192">
        <v>0</v>
      </c>
      <c r="N948" s="192">
        <v>0</v>
      </c>
      <c r="O948" s="192">
        <v>3724.1</v>
      </c>
      <c r="P948" s="192">
        <v>0</v>
      </c>
      <c r="Q948" s="192">
        <v>290.56</v>
      </c>
      <c r="R948" s="192">
        <v>0</v>
      </c>
      <c r="S948" s="285">
        <f t="shared" si="73"/>
        <v>0.48500000000000004</v>
      </c>
      <c r="T948" s="192">
        <v>0</v>
      </c>
      <c r="U948" s="291">
        <v>4014.66</v>
      </c>
      <c r="V948" s="291">
        <v>4014.66</v>
      </c>
      <c r="W948" s="292">
        <v>48040.92</v>
      </c>
      <c r="X948" s="292">
        <v>48175.92</v>
      </c>
      <c r="Y948" s="292">
        <v>48085.919999999998</v>
      </c>
      <c r="Z948" s="292">
        <v>52060.97</v>
      </c>
      <c r="AA948" s="290">
        <v>53258.372309999999</v>
      </c>
      <c r="AB948" s="285">
        <v>52841.884549999995</v>
      </c>
      <c r="AC948" s="290">
        <v>4003.41</v>
      </c>
      <c r="AD948" s="192">
        <v>12</v>
      </c>
      <c r="AE948" s="290">
        <v>4014.66</v>
      </c>
      <c r="AF948" s="194">
        <v>52055.58</v>
      </c>
      <c r="AG948" s="215"/>
      <c r="AJ948" s="388">
        <f t="shared" si="74"/>
        <v>0</v>
      </c>
    </row>
    <row r="949" spans="1:36" x14ac:dyDescent="0.3">
      <c r="A949" s="192">
        <v>5831</v>
      </c>
      <c r="B949" s="192">
        <v>99</v>
      </c>
      <c r="C949" s="192">
        <v>0</v>
      </c>
      <c r="D949" s="192" t="s">
        <v>1699</v>
      </c>
      <c r="E949" s="192">
        <v>6774260</v>
      </c>
      <c r="F949" s="192" t="s">
        <v>1964</v>
      </c>
      <c r="G949" s="290">
        <v>0.45100000000000001</v>
      </c>
      <c r="H949" s="192">
        <v>18888.89</v>
      </c>
      <c r="I949" s="192">
        <v>0</v>
      </c>
      <c r="J949" s="192">
        <v>0</v>
      </c>
      <c r="K949" s="192">
        <v>0</v>
      </c>
      <c r="L949" s="192">
        <v>0</v>
      </c>
      <c r="M949" s="192">
        <v>0</v>
      </c>
      <c r="N949" s="192">
        <v>0</v>
      </c>
      <c r="O949" s="192">
        <v>18888.89</v>
      </c>
      <c r="P949" s="192">
        <v>0</v>
      </c>
      <c r="Q949" s="192">
        <v>1427.92</v>
      </c>
      <c r="R949" s="192">
        <v>0</v>
      </c>
      <c r="S949" s="285">
        <f t="shared" si="73"/>
        <v>0.45100000000000001</v>
      </c>
      <c r="T949" s="192">
        <v>0</v>
      </c>
      <c r="U949" s="291">
        <v>20316.810000000001</v>
      </c>
      <c r="V949" s="291">
        <v>20316.810000000001</v>
      </c>
      <c r="W949" s="292">
        <v>243666.72000000003</v>
      </c>
      <c r="X949" s="292">
        <v>243801.72000000003</v>
      </c>
      <c r="Y949" s="292">
        <v>243711.72000000003</v>
      </c>
      <c r="Z949" s="292">
        <v>244166.2</v>
      </c>
      <c r="AA949" s="290">
        <v>249782.0226</v>
      </c>
      <c r="AB949" s="285">
        <v>247828.693</v>
      </c>
      <c r="AC949" s="290">
        <v>20305.560000000001</v>
      </c>
      <c r="AD949" s="192">
        <v>12</v>
      </c>
      <c r="AE949" s="290">
        <v>20316.810000000001</v>
      </c>
      <c r="AF949" s="194">
        <v>263983.53000000003</v>
      </c>
      <c r="AG949" s="215"/>
      <c r="AJ949" s="388">
        <f t="shared" si="74"/>
        <v>0</v>
      </c>
    </row>
    <row r="950" spans="1:36" x14ac:dyDescent="0.3">
      <c r="A950" s="192">
        <v>5831</v>
      </c>
      <c r="B950" s="192">
        <v>99</v>
      </c>
      <c r="C950" s="192">
        <v>0</v>
      </c>
      <c r="D950" s="192" t="s">
        <v>1699</v>
      </c>
      <c r="E950" s="192">
        <v>6775164</v>
      </c>
      <c r="F950" s="192" t="s">
        <v>1965</v>
      </c>
      <c r="G950" s="290">
        <v>0.54</v>
      </c>
      <c r="H950" s="192">
        <v>4233.8900000000003</v>
      </c>
      <c r="I950" s="192">
        <v>0</v>
      </c>
      <c r="J950" s="192">
        <v>0</v>
      </c>
      <c r="K950" s="192">
        <v>0</v>
      </c>
      <c r="L950" s="192">
        <v>129.31</v>
      </c>
      <c r="M950" s="192">
        <v>0</v>
      </c>
      <c r="N950" s="192">
        <v>168</v>
      </c>
      <c r="O950" s="192">
        <v>4531.2</v>
      </c>
      <c r="P950" s="192">
        <v>0</v>
      </c>
      <c r="Q950" s="192">
        <v>351.09</v>
      </c>
      <c r="R950" s="192">
        <v>0</v>
      </c>
      <c r="S950" s="285">
        <f t="shared" si="73"/>
        <v>0.54</v>
      </c>
      <c r="T950" s="192">
        <v>0</v>
      </c>
      <c r="U950" s="291">
        <v>4882.29</v>
      </c>
      <c r="V950" s="291">
        <v>4882.29</v>
      </c>
      <c r="W950" s="292">
        <v>58452.479999999996</v>
      </c>
      <c r="X950" s="292">
        <v>58587.479999999996</v>
      </c>
      <c r="Y950" s="292">
        <v>58497.479999999996</v>
      </c>
      <c r="Z950" s="292">
        <v>66186.89</v>
      </c>
      <c r="AA950" s="290">
        <v>67709.188469999994</v>
      </c>
      <c r="AB950" s="285">
        <v>67179.693349999987</v>
      </c>
      <c r="AC950" s="290">
        <v>4871.04</v>
      </c>
      <c r="AD950" s="192">
        <v>12</v>
      </c>
      <c r="AE950" s="290">
        <v>4882.29</v>
      </c>
      <c r="AF950" s="194">
        <v>63334.77</v>
      </c>
      <c r="AG950" s="215"/>
      <c r="AJ950" s="388">
        <f t="shared" si="74"/>
        <v>0</v>
      </c>
    </row>
    <row r="951" spans="1:36" x14ac:dyDescent="0.3">
      <c r="A951" s="192">
        <v>5831</v>
      </c>
      <c r="B951" s="192">
        <v>99</v>
      </c>
      <c r="C951" s="192">
        <v>0</v>
      </c>
      <c r="D951" s="192" t="s">
        <v>1699</v>
      </c>
      <c r="E951" s="192">
        <v>6776805</v>
      </c>
      <c r="F951" s="192" t="s">
        <v>1966</v>
      </c>
      <c r="G951" s="290">
        <v>0.36</v>
      </c>
      <c r="H951" s="192">
        <v>2439.94</v>
      </c>
      <c r="I951" s="192">
        <v>0</v>
      </c>
      <c r="J951" s="192">
        <v>0</v>
      </c>
      <c r="K951" s="192">
        <v>0</v>
      </c>
      <c r="L951" s="192">
        <v>64.92</v>
      </c>
      <c r="M951" s="192">
        <v>0</v>
      </c>
      <c r="N951" s="192">
        <v>0</v>
      </c>
      <c r="O951" s="192">
        <v>2504.86</v>
      </c>
      <c r="P951" s="192">
        <v>0</v>
      </c>
      <c r="Q951" s="192">
        <v>199.11</v>
      </c>
      <c r="R951" s="192">
        <v>0</v>
      </c>
      <c r="S951" s="285">
        <f t="shared" si="73"/>
        <v>0.36000000000000004</v>
      </c>
      <c r="T951" s="192">
        <v>0</v>
      </c>
      <c r="U951" s="291">
        <v>2703.97</v>
      </c>
      <c r="V951" s="291">
        <v>2703.97</v>
      </c>
      <c r="W951" s="292">
        <v>32312.639999999999</v>
      </c>
      <c r="X951" s="292">
        <v>32447.64</v>
      </c>
      <c r="Y951" s="292">
        <v>32357.64</v>
      </c>
      <c r="Z951" s="292">
        <v>35322.120000000003</v>
      </c>
      <c r="AA951" s="290">
        <v>36134.528759999994</v>
      </c>
      <c r="AB951" s="285">
        <v>35851.951799999995</v>
      </c>
      <c r="AC951" s="290">
        <v>2692.72</v>
      </c>
      <c r="AD951" s="192">
        <v>12</v>
      </c>
      <c r="AE951" s="290">
        <v>2703.97</v>
      </c>
      <c r="AF951" s="194">
        <v>35016.61</v>
      </c>
      <c r="AG951" s="215"/>
      <c r="AJ951" s="388">
        <f t="shared" si="74"/>
        <v>0</v>
      </c>
    </row>
    <row r="952" spans="1:36" x14ac:dyDescent="0.3">
      <c r="A952" s="192">
        <v>5831</v>
      </c>
      <c r="B952" s="192">
        <v>99</v>
      </c>
      <c r="C952" s="192">
        <v>0</v>
      </c>
      <c r="D952" s="192" t="s">
        <v>1699</v>
      </c>
      <c r="E952" s="192">
        <v>6777594</v>
      </c>
      <c r="F952" s="192" t="s">
        <v>1967</v>
      </c>
      <c r="G952" s="290">
        <v>0.3</v>
      </c>
      <c r="H952" s="192">
        <v>1826.49</v>
      </c>
      <c r="I952" s="192">
        <v>80.489999999999995</v>
      </c>
      <c r="J952" s="192">
        <v>0</v>
      </c>
      <c r="K952" s="192">
        <v>0</v>
      </c>
      <c r="L952" s="192">
        <v>72.64</v>
      </c>
      <c r="M952" s="192">
        <v>0</v>
      </c>
      <c r="N952" s="192">
        <v>0</v>
      </c>
      <c r="O952" s="192">
        <v>1979.62</v>
      </c>
      <c r="P952" s="192">
        <v>0</v>
      </c>
      <c r="Q952" s="192">
        <v>0</v>
      </c>
      <c r="R952" s="192">
        <v>0</v>
      </c>
      <c r="S952" s="285">
        <f t="shared" si="73"/>
        <v>0.3</v>
      </c>
      <c r="T952" s="192">
        <v>0</v>
      </c>
      <c r="U952" s="291">
        <v>1979.62</v>
      </c>
      <c r="V952" s="291">
        <v>1979.62</v>
      </c>
      <c r="W952" s="292">
        <v>23755.439999999999</v>
      </c>
      <c r="X952" s="292">
        <v>23755.439999999999</v>
      </c>
      <c r="Y952" s="292">
        <v>23755.439999999999</v>
      </c>
      <c r="Z952" s="292">
        <v>10294.17</v>
      </c>
      <c r="AA952" s="290">
        <v>10530.935909999998</v>
      </c>
      <c r="AB952" s="285">
        <v>10448.582549999999</v>
      </c>
      <c r="AC952" s="290">
        <v>1979.62</v>
      </c>
      <c r="AD952" s="192">
        <v>12</v>
      </c>
      <c r="AE952" s="290">
        <v>1979.62</v>
      </c>
      <c r="AF952" s="194">
        <v>25735.059999999998</v>
      </c>
      <c r="AG952" s="215"/>
      <c r="AJ952" s="388">
        <f t="shared" si="74"/>
        <v>0</v>
      </c>
    </row>
    <row r="953" spans="1:36" x14ac:dyDescent="0.3">
      <c r="A953" s="192">
        <v>5831</v>
      </c>
      <c r="B953" s="192">
        <v>99</v>
      </c>
      <c r="C953" s="192">
        <v>0</v>
      </c>
      <c r="D953" s="192" t="s">
        <v>1699</v>
      </c>
      <c r="E953" s="192">
        <v>6778241</v>
      </c>
      <c r="F953" s="192" t="s">
        <v>1968</v>
      </c>
      <c r="G953" s="290">
        <v>0.33</v>
      </c>
      <c r="H953" s="192">
        <v>2248.58</v>
      </c>
      <c r="I953" s="192">
        <v>115.15</v>
      </c>
      <c r="J953" s="192">
        <v>0</v>
      </c>
      <c r="K953" s="192">
        <v>0</v>
      </c>
      <c r="L953" s="192">
        <v>149.12</v>
      </c>
      <c r="M953" s="192">
        <v>0</v>
      </c>
      <c r="N953" s="192">
        <v>0</v>
      </c>
      <c r="O953" s="192">
        <v>2512.85</v>
      </c>
      <c r="P953" s="192">
        <v>0</v>
      </c>
      <c r="Q953" s="192">
        <v>199.71</v>
      </c>
      <c r="R953" s="192">
        <v>0</v>
      </c>
      <c r="S953" s="285">
        <f t="shared" si="73"/>
        <v>0.33</v>
      </c>
      <c r="T953" s="192">
        <v>0</v>
      </c>
      <c r="U953" s="291">
        <v>2712.56</v>
      </c>
      <c r="V953" s="291">
        <v>2712.56</v>
      </c>
      <c r="W953" s="292">
        <v>58326.12</v>
      </c>
      <c r="X953" s="292">
        <v>32550.720000000001</v>
      </c>
      <c r="Y953" s="292">
        <v>21655.48</v>
      </c>
      <c r="Z953" s="292">
        <v>66459</v>
      </c>
      <c r="AA953" s="290">
        <v>66625.412039999996</v>
      </c>
      <c r="AB953" s="285">
        <v>11017.3987</v>
      </c>
      <c r="AC953" s="290">
        <v>2713</v>
      </c>
      <c r="AD953" s="192">
        <v>12</v>
      </c>
      <c r="AE953" s="305">
        <v>46000</v>
      </c>
      <c r="AF953" s="194">
        <v>78556</v>
      </c>
      <c r="AG953" s="215"/>
      <c r="AJ953" s="388">
        <f t="shared" si="74"/>
        <v>0</v>
      </c>
    </row>
    <row r="954" spans="1:36" x14ac:dyDescent="0.3">
      <c r="A954" s="192">
        <v>5831</v>
      </c>
      <c r="B954" s="192">
        <v>99</v>
      </c>
      <c r="C954" s="192">
        <v>0</v>
      </c>
      <c r="D954" s="192" t="s">
        <v>1699</v>
      </c>
      <c r="E954" s="192">
        <v>6781270</v>
      </c>
      <c r="F954" s="192" t="s">
        <v>1969</v>
      </c>
      <c r="G954" s="290">
        <v>0.45</v>
      </c>
      <c r="H954" s="192">
        <v>3110.97</v>
      </c>
      <c r="I954" s="192">
        <v>128.02000000000001</v>
      </c>
      <c r="J954" s="192">
        <v>0</v>
      </c>
      <c r="K954" s="192">
        <v>0</v>
      </c>
      <c r="L954" s="192">
        <v>123.53</v>
      </c>
      <c r="M954" s="192">
        <v>0</v>
      </c>
      <c r="N954" s="192">
        <v>0</v>
      </c>
      <c r="O954" s="192">
        <v>3362.52</v>
      </c>
      <c r="P954" s="192">
        <v>0</v>
      </c>
      <c r="Q954" s="192">
        <v>263.44</v>
      </c>
      <c r="R954" s="192">
        <v>0</v>
      </c>
      <c r="S954" s="285">
        <f t="shared" si="73"/>
        <v>0.45</v>
      </c>
      <c r="T954" s="192">
        <v>0</v>
      </c>
      <c r="U954" s="291">
        <v>3625.96</v>
      </c>
      <c r="V954" s="291">
        <v>3625.96</v>
      </c>
      <c r="W954" s="292">
        <v>43376.520000000004</v>
      </c>
      <c r="X954" s="292">
        <v>43511.520000000004</v>
      </c>
      <c r="Y954" s="292">
        <v>43421.52</v>
      </c>
      <c r="Z954" s="292">
        <v>118279.53</v>
      </c>
      <c r="AA954" s="290">
        <v>142427.04200999998</v>
      </c>
      <c r="AB954" s="285">
        <v>0</v>
      </c>
      <c r="AC954" s="290">
        <v>3614.71</v>
      </c>
      <c r="AD954" s="192">
        <v>12</v>
      </c>
      <c r="AE954" s="290">
        <v>3625.96</v>
      </c>
      <c r="AF954" s="194">
        <v>47002.48</v>
      </c>
      <c r="AG954" s="215"/>
      <c r="AJ954" s="388">
        <f t="shared" si="74"/>
        <v>0</v>
      </c>
    </row>
    <row r="955" spans="1:36" x14ac:dyDescent="0.3">
      <c r="A955" s="192">
        <v>5831</v>
      </c>
      <c r="B955" s="192">
        <v>99</v>
      </c>
      <c r="C955" s="192">
        <v>0</v>
      </c>
      <c r="D955" s="192" t="s">
        <v>1699</v>
      </c>
      <c r="E955" s="192">
        <v>6789507</v>
      </c>
      <c r="F955" s="192" t="s">
        <v>1970</v>
      </c>
      <c r="G955" s="290">
        <v>0.37698999999999999</v>
      </c>
      <c r="H955" s="192">
        <v>2937.78</v>
      </c>
      <c r="I955" s="192">
        <v>112.12</v>
      </c>
      <c r="J955" s="192">
        <v>0</v>
      </c>
      <c r="K955" s="192">
        <v>0</v>
      </c>
      <c r="L955" s="192">
        <v>110.13</v>
      </c>
      <c r="M955" s="192">
        <v>0</v>
      </c>
      <c r="N955" s="192">
        <v>0</v>
      </c>
      <c r="O955" s="192">
        <v>3160.03</v>
      </c>
      <c r="P955" s="192">
        <v>0</v>
      </c>
      <c r="Q955" s="192">
        <v>0</v>
      </c>
      <c r="R955" s="192">
        <v>0</v>
      </c>
      <c r="S955" s="285">
        <f t="shared" si="73"/>
        <v>0.37698999999999999</v>
      </c>
      <c r="T955" s="192">
        <v>0</v>
      </c>
      <c r="U955" s="291">
        <v>3160.03</v>
      </c>
      <c r="V955" s="291">
        <v>3160.03</v>
      </c>
      <c r="W955" s="292">
        <v>-158150.04</v>
      </c>
      <c r="X955" s="292">
        <v>37920.36</v>
      </c>
      <c r="Y955" s="292">
        <v>-52020.28</v>
      </c>
      <c r="Z955" s="292">
        <v>120065.68</v>
      </c>
      <c r="AA955" s="290">
        <v>122484.85391999999</v>
      </c>
      <c r="AB955" s="285">
        <v>121527.00559999999</v>
      </c>
      <c r="AC955" s="290">
        <v>3160</v>
      </c>
      <c r="AD955" s="192">
        <v>12</v>
      </c>
      <c r="AE955" s="305">
        <v>27000</v>
      </c>
      <c r="AF955" s="194">
        <v>64920</v>
      </c>
      <c r="AG955" s="215"/>
      <c r="AJ955" s="388">
        <f t="shared" si="74"/>
        <v>0</v>
      </c>
    </row>
    <row r="956" spans="1:36" x14ac:dyDescent="0.3">
      <c r="A956" s="192">
        <v>5831</v>
      </c>
      <c r="B956" s="192">
        <v>99</v>
      </c>
      <c r="C956" s="192">
        <v>0</v>
      </c>
      <c r="D956" s="192" t="s">
        <v>1699</v>
      </c>
      <c r="E956" s="192">
        <v>6798464</v>
      </c>
      <c r="F956" s="192" t="s">
        <v>1971</v>
      </c>
      <c r="G956" s="290">
        <v>0.42399999999999999</v>
      </c>
      <c r="H956" s="192">
        <v>2393.0100000000002</v>
      </c>
      <c r="I956" s="192">
        <v>0</v>
      </c>
      <c r="J956" s="192">
        <v>0</v>
      </c>
      <c r="K956" s="192">
        <v>0</v>
      </c>
      <c r="L956" s="192">
        <v>189.05</v>
      </c>
      <c r="M956" s="192">
        <v>0</v>
      </c>
      <c r="N956" s="192">
        <v>0</v>
      </c>
      <c r="O956" s="192">
        <v>2582.06</v>
      </c>
      <c r="P956" s="192">
        <v>0</v>
      </c>
      <c r="Q956" s="192">
        <v>0</v>
      </c>
      <c r="R956" s="192">
        <v>0</v>
      </c>
      <c r="S956" s="285">
        <f t="shared" si="73"/>
        <v>0.42399999999999999</v>
      </c>
      <c r="T956" s="192">
        <v>0</v>
      </c>
      <c r="U956" s="291">
        <v>2582.06</v>
      </c>
      <c r="V956" s="291">
        <v>2582.06</v>
      </c>
      <c r="W956" s="292">
        <v>30984.720000000001</v>
      </c>
      <c r="X956" s="292">
        <v>30984.720000000001</v>
      </c>
      <c r="Y956" s="292">
        <v>30984.720000000001</v>
      </c>
      <c r="Z956" s="292">
        <v>33629.07</v>
      </c>
      <c r="AA956" s="290">
        <v>34402.538609999996</v>
      </c>
      <c r="AB956" s="285">
        <v>34133.506049999996</v>
      </c>
      <c r="AC956" s="290">
        <v>2582.06</v>
      </c>
      <c r="AD956" s="192">
        <v>12</v>
      </c>
      <c r="AE956" s="290">
        <v>2582.06</v>
      </c>
      <c r="AF956" s="194">
        <v>33566.78</v>
      </c>
      <c r="AG956" s="215"/>
      <c r="AJ956" s="388">
        <f t="shared" si="74"/>
        <v>0</v>
      </c>
    </row>
    <row r="957" spans="1:36" x14ac:dyDescent="0.3">
      <c r="A957" s="192">
        <v>5831</v>
      </c>
      <c r="B957" s="192">
        <v>99</v>
      </c>
      <c r="C957" s="192">
        <v>0</v>
      </c>
      <c r="D957" s="192" t="s">
        <v>1699</v>
      </c>
      <c r="E957" s="192">
        <v>6801656</v>
      </c>
      <c r="F957" s="192" t="s">
        <v>1972</v>
      </c>
      <c r="G957" s="290">
        <v>0.44</v>
      </c>
      <c r="H957" s="192">
        <v>2914.72</v>
      </c>
      <c r="I957" s="192">
        <v>0</v>
      </c>
      <c r="J957" s="192">
        <v>0</v>
      </c>
      <c r="K957" s="192">
        <v>0</v>
      </c>
      <c r="L957" s="192">
        <v>87.73</v>
      </c>
      <c r="M957" s="192">
        <v>0</v>
      </c>
      <c r="N957" s="192">
        <v>0</v>
      </c>
      <c r="O957" s="192">
        <v>3002.45</v>
      </c>
      <c r="P957" s="192">
        <v>0</v>
      </c>
      <c r="Q957" s="192">
        <v>236.43</v>
      </c>
      <c r="R957" s="192">
        <v>0</v>
      </c>
      <c r="S957" s="285">
        <f t="shared" si="73"/>
        <v>0.44</v>
      </c>
      <c r="T957" s="192">
        <v>0</v>
      </c>
      <c r="U957" s="291">
        <v>3238.88</v>
      </c>
      <c r="V957" s="291">
        <v>3238.88</v>
      </c>
      <c r="W957" s="292">
        <v>38731.56</v>
      </c>
      <c r="X957" s="292">
        <v>38866.559999999998</v>
      </c>
      <c r="Y957" s="292">
        <v>38776.559999999998</v>
      </c>
      <c r="Z957" s="292">
        <v>42514.64</v>
      </c>
      <c r="AA957" s="290">
        <v>43492.476719999999</v>
      </c>
      <c r="AB957" s="285">
        <v>43152.359599999996</v>
      </c>
      <c r="AC957" s="290">
        <v>3227.63</v>
      </c>
      <c r="AD957" s="192">
        <v>12</v>
      </c>
      <c r="AE957" s="290">
        <v>3238.88</v>
      </c>
      <c r="AF957" s="194">
        <v>41970.439999999995</v>
      </c>
      <c r="AG957" s="215"/>
      <c r="AJ957" s="388">
        <f t="shared" si="74"/>
        <v>0</v>
      </c>
    </row>
    <row r="958" spans="1:36" x14ac:dyDescent="0.3">
      <c r="A958" s="192">
        <v>5831</v>
      </c>
      <c r="B958" s="192">
        <v>99</v>
      </c>
      <c r="C958" s="192">
        <v>0</v>
      </c>
      <c r="D958" s="192" t="s">
        <v>1699</v>
      </c>
      <c r="E958" s="192">
        <v>6803903</v>
      </c>
      <c r="F958" s="192" t="s">
        <v>1973</v>
      </c>
      <c r="G958" s="290">
        <v>0.5</v>
      </c>
      <c r="H958" s="192">
        <v>4484.7</v>
      </c>
      <c r="I958" s="192">
        <v>0</v>
      </c>
      <c r="J958" s="192">
        <v>0</v>
      </c>
      <c r="K958" s="192">
        <v>0</v>
      </c>
      <c r="L958" s="192">
        <v>184.2</v>
      </c>
      <c r="M958" s="192">
        <v>0</v>
      </c>
      <c r="N958" s="192">
        <v>317.3</v>
      </c>
      <c r="O958" s="192">
        <v>4986.2</v>
      </c>
      <c r="P958" s="192">
        <v>0</v>
      </c>
      <c r="Q958" s="192">
        <v>385.22</v>
      </c>
      <c r="R958" s="192">
        <v>0</v>
      </c>
      <c r="S958" s="285">
        <f t="shared" si="73"/>
        <v>0.5</v>
      </c>
      <c r="T958" s="192">
        <v>0</v>
      </c>
      <c r="U958" s="291">
        <v>5371.42</v>
      </c>
      <c r="V958" s="291">
        <v>5371.42</v>
      </c>
      <c r="W958" s="292">
        <v>64322.04</v>
      </c>
      <c r="X958" s="292">
        <v>64457.04</v>
      </c>
      <c r="Y958" s="292">
        <v>64367.040000000001</v>
      </c>
      <c r="Z958" s="292">
        <v>68672.92</v>
      </c>
      <c r="AA958" s="290">
        <v>70252.397159999993</v>
      </c>
      <c r="AB958" s="285">
        <v>69703.013799999986</v>
      </c>
      <c r="AC958" s="290">
        <v>5360.17</v>
      </c>
      <c r="AD958" s="192">
        <v>12</v>
      </c>
      <c r="AE958" s="290">
        <v>5371.42</v>
      </c>
      <c r="AF958" s="194">
        <v>69693.460000000006</v>
      </c>
      <c r="AG958" s="215"/>
      <c r="AJ958" s="388">
        <f t="shared" si="74"/>
        <v>0</v>
      </c>
    </row>
    <row r="959" spans="1:36" x14ac:dyDescent="0.3">
      <c r="A959" s="192">
        <v>5831</v>
      </c>
      <c r="B959" s="192">
        <v>99</v>
      </c>
      <c r="C959" s="192">
        <v>0</v>
      </c>
      <c r="D959" s="192" t="s">
        <v>1699</v>
      </c>
      <c r="E959" s="192">
        <v>6806343</v>
      </c>
      <c r="F959" s="192" t="s">
        <v>1974</v>
      </c>
      <c r="G959" s="290">
        <v>0.16</v>
      </c>
      <c r="H959" s="192">
        <v>899.05</v>
      </c>
      <c r="I959" s="192">
        <v>0</v>
      </c>
      <c r="J959" s="192">
        <v>0</v>
      </c>
      <c r="K959" s="192">
        <v>0</v>
      </c>
      <c r="L959" s="192">
        <v>38.86</v>
      </c>
      <c r="M959" s="192">
        <v>0</v>
      </c>
      <c r="N959" s="192">
        <v>44</v>
      </c>
      <c r="O959" s="192">
        <v>981.91</v>
      </c>
      <c r="P959" s="192">
        <v>0</v>
      </c>
      <c r="Q959" s="192">
        <v>0</v>
      </c>
      <c r="R959" s="192">
        <v>0</v>
      </c>
      <c r="S959" s="285">
        <f t="shared" si="73"/>
        <v>0.16</v>
      </c>
      <c r="T959" s="192">
        <v>0</v>
      </c>
      <c r="U959" s="291">
        <v>981.91</v>
      </c>
      <c r="V959" s="291">
        <v>981.91</v>
      </c>
      <c r="W959" s="292">
        <v>11782.92</v>
      </c>
      <c r="X959" s="292">
        <v>11782.92</v>
      </c>
      <c r="Y959" s="292">
        <v>11782.92</v>
      </c>
      <c r="Z959" s="292">
        <v>13106.24</v>
      </c>
      <c r="AA959" s="290">
        <v>13407.683519999999</v>
      </c>
      <c r="AB959" s="285">
        <v>13302.833599999998</v>
      </c>
      <c r="AC959" s="290">
        <v>981.91</v>
      </c>
      <c r="AD959" s="192">
        <v>12</v>
      </c>
      <c r="AE959" s="290">
        <v>981.91</v>
      </c>
      <c r="AF959" s="194">
        <v>12764.83</v>
      </c>
      <c r="AG959" s="215"/>
      <c r="AJ959" s="388">
        <f t="shared" si="74"/>
        <v>0</v>
      </c>
    </row>
    <row r="960" spans="1:36" x14ac:dyDescent="0.3">
      <c r="A960" s="192">
        <v>5831</v>
      </c>
      <c r="B960" s="192">
        <v>99</v>
      </c>
      <c r="C960" s="192">
        <v>0</v>
      </c>
      <c r="D960" s="192" t="s">
        <v>1699</v>
      </c>
      <c r="E960" s="192">
        <v>6807582</v>
      </c>
      <c r="F960" s="192" t="s">
        <v>1975</v>
      </c>
      <c r="G960" s="290">
        <v>0.26712000000000002</v>
      </c>
      <c r="H960" s="192">
        <v>1688.61</v>
      </c>
      <c r="I960" s="192">
        <v>0</v>
      </c>
      <c r="J960" s="192">
        <v>0</v>
      </c>
      <c r="K960" s="192">
        <v>0</v>
      </c>
      <c r="L960" s="192">
        <v>106.97</v>
      </c>
      <c r="M960" s="192">
        <v>0</v>
      </c>
      <c r="N960" s="192">
        <v>61</v>
      </c>
      <c r="O960" s="192">
        <v>1856.58</v>
      </c>
      <c r="P960" s="192">
        <v>0</v>
      </c>
      <c r="Q960" s="192">
        <v>150.49</v>
      </c>
      <c r="R960" s="192">
        <v>0</v>
      </c>
      <c r="S960" s="285">
        <f t="shared" si="73"/>
        <v>0.26712000000000002</v>
      </c>
      <c r="T960" s="192">
        <v>0</v>
      </c>
      <c r="U960" s="291">
        <v>2007.07</v>
      </c>
      <c r="V960" s="291">
        <v>2007.07</v>
      </c>
      <c r="W960" s="292">
        <v>23949.84</v>
      </c>
      <c r="X960" s="292">
        <v>24084.84</v>
      </c>
      <c r="Y960" s="292">
        <v>23994.84</v>
      </c>
      <c r="Z960" s="292">
        <v>26303.64</v>
      </c>
      <c r="AA960" s="290">
        <v>26908.623719999996</v>
      </c>
      <c r="AB960" s="285">
        <v>26698.194599999995</v>
      </c>
      <c r="AC960" s="290">
        <v>1995.82</v>
      </c>
      <c r="AD960" s="192">
        <v>12</v>
      </c>
      <c r="AE960" s="290">
        <v>2007.07</v>
      </c>
      <c r="AF960" s="194">
        <v>25956.91</v>
      </c>
      <c r="AG960" s="215"/>
      <c r="AJ960" s="388">
        <f t="shared" si="74"/>
        <v>0</v>
      </c>
    </row>
    <row r="961" spans="1:36" x14ac:dyDescent="0.3">
      <c r="A961" s="192">
        <v>5831</v>
      </c>
      <c r="B961" s="192">
        <v>99</v>
      </c>
      <c r="C961" s="192">
        <v>0</v>
      </c>
      <c r="D961" s="192" t="s">
        <v>1699</v>
      </c>
      <c r="E961" s="192">
        <v>6807748</v>
      </c>
      <c r="F961" s="192" t="s">
        <v>1976</v>
      </c>
      <c r="G961" s="290">
        <v>0.63200000000000001</v>
      </c>
      <c r="H961" s="192">
        <v>4097.8</v>
      </c>
      <c r="I961" s="192">
        <v>0</v>
      </c>
      <c r="J961" s="192">
        <v>0</v>
      </c>
      <c r="K961" s="192">
        <v>0</v>
      </c>
      <c r="L961" s="192">
        <v>238.1</v>
      </c>
      <c r="M961" s="192">
        <v>0</v>
      </c>
      <c r="N961" s="192">
        <v>0</v>
      </c>
      <c r="O961" s="192">
        <v>4335.8999999999996</v>
      </c>
      <c r="P961" s="192">
        <v>0</v>
      </c>
      <c r="Q961" s="192">
        <v>336.44</v>
      </c>
      <c r="R961" s="192">
        <v>0</v>
      </c>
      <c r="S961" s="285">
        <f t="shared" si="73"/>
        <v>0.63200000000000001</v>
      </c>
      <c r="T961" s="192">
        <v>0</v>
      </c>
      <c r="U961" s="291">
        <v>4672.34</v>
      </c>
      <c r="V961" s="291">
        <v>4672.34</v>
      </c>
      <c r="W961" s="292">
        <v>55933.08</v>
      </c>
      <c r="X961" s="292">
        <v>56068.08</v>
      </c>
      <c r="Y961" s="292">
        <v>55978.080000000002</v>
      </c>
      <c r="Z961" s="292">
        <v>63352.41</v>
      </c>
      <c r="AA961" s="290">
        <v>64809.515429999999</v>
      </c>
      <c r="AB961" s="285">
        <v>64302.696149999996</v>
      </c>
      <c r="AC961" s="290">
        <v>4661.09</v>
      </c>
      <c r="AD961" s="192">
        <v>12</v>
      </c>
      <c r="AE961" s="290">
        <v>4672.34</v>
      </c>
      <c r="AF961" s="194">
        <v>60605.42</v>
      </c>
      <c r="AG961" s="215"/>
      <c r="AJ961" s="388">
        <f t="shared" si="74"/>
        <v>0</v>
      </c>
    </row>
    <row r="962" spans="1:36" x14ac:dyDescent="0.3">
      <c r="A962" s="192">
        <v>5831</v>
      </c>
      <c r="B962" s="192">
        <v>99</v>
      </c>
      <c r="C962" s="192">
        <v>0</v>
      </c>
      <c r="D962" s="192" t="s">
        <v>1699</v>
      </c>
      <c r="E962" s="192">
        <v>6808260</v>
      </c>
      <c r="F962" s="192" t="s">
        <v>1977</v>
      </c>
      <c r="G962" s="290">
        <v>0.6</v>
      </c>
      <c r="H962" s="192">
        <v>1903.71</v>
      </c>
      <c r="I962" s="192">
        <v>0</v>
      </c>
      <c r="J962" s="192">
        <v>0</v>
      </c>
      <c r="K962" s="192">
        <v>0</v>
      </c>
      <c r="L962" s="192">
        <v>63.89</v>
      </c>
      <c r="M962" s="192">
        <v>0</v>
      </c>
      <c r="N962" s="192">
        <v>0</v>
      </c>
      <c r="O962" s="192">
        <v>1967.6</v>
      </c>
      <c r="P962" s="192">
        <v>0</v>
      </c>
      <c r="Q962" s="192">
        <v>0</v>
      </c>
      <c r="R962" s="192">
        <v>0</v>
      </c>
      <c r="S962" s="285">
        <f t="shared" si="73"/>
        <v>0.6</v>
      </c>
      <c r="T962" s="192">
        <v>0</v>
      </c>
      <c r="U962" s="291">
        <v>1967.6</v>
      </c>
      <c r="V962" s="291">
        <v>1967.6</v>
      </c>
      <c r="W962" s="292">
        <v>23611.199999999997</v>
      </c>
      <c r="X962" s="292">
        <v>23611.199999999997</v>
      </c>
      <c r="Y962" s="292">
        <v>23611.200000000001</v>
      </c>
      <c r="Z962" s="292">
        <v>26260.16</v>
      </c>
      <c r="AA962" s="290">
        <v>26864.143679999997</v>
      </c>
      <c r="AB962" s="285">
        <v>26654.062399999999</v>
      </c>
      <c r="AC962" s="290">
        <v>1967.6</v>
      </c>
      <c r="AD962" s="192">
        <v>12</v>
      </c>
      <c r="AE962" s="290">
        <v>1967.6</v>
      </c>
      <c r="AF962" s="194">
        <v>25578.799999999996</v>
      </c>
      <c r="AG962" s="215"/>
      <c r="AJ962" s="388">
        <f t="shared" si="74"/>
        <v>0</v>
      </c>
    </row>
    <row r="963" spans="1:36" x14ac:dyDescent="0.3">
      <c r="A963" s="192">
        <v>5831</v>
      </c>
      <c r="B963" s="192">
        <v>99</v>
      </c>
      <c r="C963" s="192">
        <v>0</v>
      </c>
      <c r="D963" s="192" t="s">
        <v>1699</v>
      </c>
      <c r="E963" s="192">
        <v>6815068</v>
      </c>
      <c r="F963" s="192" t="s">
        <v>1978</v>
      </c>
      <c r="G963" s="290">
        <v>0.6</v>
      </c>
      <c r="H963" s="192">
        <v>1781.67</v>
      </c>
      <c r="I963" s="192">
        <v>0</v>
      </c>
      <c r="J963" s="192">
        <v>0</v>
      </c>
      <c r="K963" s="192">
        <v>0</v>
      </c>
      <c r="L963" s="192">
        <v>92.18</v>
      </c>
      <c r="M963" s="192">
        <v>0</v>
      </c>
      <c r="N963" s="192">
        <v>0</v>
      </c>
      <c r="O963" s="192">
        <v>1873.85</v>
      </c>
      <c r="P963" s="192">
        <v>0</v>
      </c>
      <c r="Q963" s="192">
        <v>151.79</v>
      </c>
      <c r="R963" s="192">
        <v>0</v>
      </c>
      <c r="S963" s="285">
        <f t="shared" si="73"/>
        <v>0.6</v>
      </c>
      <c r="T963" s="192">
        <v>0</v>
      </c>
      <c r="U963" s="291">
        <v>2025.64</v>
      </c>
      <c r="V963" s="291">
        <v>2025.64</v>
      </c>
      <c r="W963" s="292">
        <v>24172.68</v>
      </c>
      <c r="X963" s="292">
        <v>24307.68</v>
      </c>
      <c r="Y963" s="292">
        <v>24217.68</v>
      </c>
      <c r="Z963" s="292">
        <v>26306.33</v>
      </c>
      <c r="AA963" s="290">
        <v>26911.37559</v>
      </c>
      <c r="AB963" s="285">
        <v>26700.924950000001</v>
      </c>
      <c r="AC963" s="290">
        <v>2014.39</v>
      </c>
      <c r="AD963" s="192">
        <v>12</v>
      </c>
      <c r="AE963" s="290">
        <v>2025.64</v>
      </c>
      <c r="AF963" s="194">
        <v>26198.32</v>
      </c>
      <c r="AG963" s="215"/>
      <c r="AJ963" s="388">
        <f t="shared" si="74"/>
        <v>0</v>
      </c>
    </row>
    <row r="964" spans="1:36" x14ac:dyDescent="0.3">
      <c r="A964" s="192">
        <v>5831</v>
      </c>
      <c r="B964" s="192">
        <v>99</v>
      </c>
      <c r="C964" s="192">
        <v>0</v>
      </c>
      <c r="D964" s="192" t="s">
        <v>1699</v>
      </c>
      <c r="E964" s="192">
        <v>6815848</v>
      </c>
      <c r="F964" s="192" t="s">
        <v>1979</v>
      </c>
      <c r="G964" s="290">
        <v>0.49</v>
      </c>
      <c r="H964" s="192">
        <v>1781.25</v>
      </c>
      <c r="I964" s="192">
        <v>0</v>
      </c>
      <c r="J964" s="192">
        <v>0</v>
      </c>
      <c r="K964" s="192">
        <v>0</v>
      </c>
      <c r="L964" s="192">
        <v>50.6</v>
      </c>
      <c r="M964" s="192">
        <v>0</v>
      </c>
      <c r="N964" s="192">
        <v>0</v>
      </c>
      <c r="O964" s="192">
        <v>1831.85</v>
      </c>
      <c r="P964" s="192">
        <v>0</v>
      </c>
      <c r="Q964" s="192">
        <v>0</v>
      </c>
      <c r="R964" s="192">
        <v>0</v>
      </c>
      <c r="S964" s="285">
        <f t="shared" si="73"/>
        <v>0.49</v>
      </c>
      <c r="T964" s="192">
        <v>0</v>
      </c>
      <c r="U964" s="291">
        <v>1831.85</v>
      </c>
      <c r="V964" s="291">
        <v>1831.85</v>
      </c>
      <c r="W964" s="292">
        <v>21982.199999999997</v>
      </c>
      <c r="X964" s="292">
        <v>21982.199999999997</v>
      </c>
      <c r="Y964" s="292">
        <v>21982.2</v>
      </c>
      <c r="Z964" s="292">
        <v>24318.560000000001</v>
      </c>
      <c r="AA964" s="290">
        <v>24877.886879999995</v>
      </c>
      <c r="AB964" s="285">
        <v>24683.338399999997</v>
      </c>
      <c r="AC964" s="290">
        <v>1831.85</v>
      </c>
      <c r="AD964" s="192">
        <v>12</v>
      </c>
      <c r="AE964" s="290">
        <v>1831.85</v>
      </c>
      <c r="AF964" s="194">
        <v>23814.049999999996</v>
      </c>
      <c r="AG964" s="215"/>
      <c r="AJ964" s="388">
        <f t="shared" si="74"/>
        <v>0</v>
      </c>
    </row>
    <row r="965" spans="1:36" s="197" customFormat="1" x14ac:dyDescent="0.3">
      <c r="A965" s="197">
        <v>5831</v>
      </c>
      <c r="B965" s="197">
        <v>99</v>
      </c>
      <c r="C965" s="197">
        <v>0</v>
      </c>
      <c r="D965" s="197" t="s">
        <v>1699</v>
      </c>
      <c r="E965" s="197">
        <v>6816892</v>
      </c>
      <c r="F965" s="197" t="s">
        <v>1980</v>
      </c>
      <c r="G965" s="200">
        <v>0.69159999999999999</v>
      </c>
      <c r="H965" s="197">
        <v>5309.2</v>
      </c>
      <c r="I965" s="197">
        <v>273.45</v>
      </c>
      <c r="J965" s="197">
        <v>0</v>
      </c>
      <c r="K965" s="197">
        <v>0</v>
      </c>
      <c r="L965" s="197">
        <v>353.96</v>
      </c>
      <c r="M965" s="197">
        <v>0</v>
      </c>
      <c r="N965" s="197">
        <v>0</v>
      </c>
      <c r="O965" s="197">
        <v>5936.61</v>
      </c>
      <c r="P965" s="197">
        <v>0</v>
      </c>
      <c r="Q965" s="197">
        <v>456.5</v>
      </c>
      <c r="R965" s="197">
        <v>0</v>
      </c>
      <c r="S965" s="285">
        <f t="shared" si="73"/>
        <v>0.69159999999999988</v>
      </c>
      <c r="T965" s="197">
        <v>0</v>
      </c>
      <c r="U965" s="198">
        <v>6393.11</v>
      </c>
      <c r="V965" s="198">
        <v>6393.11</v>
      </c>
      <c r="W965" s="199">
        <v>127728.24</v>
      </c>
      <c r="X965" s="199">
        <v>76717.319999999992</v>
      </c>
      <c r="Y965" s="199">
        <v>42576.08</v>
      </c>
      <c r="Z965" s="199">
        <v>10652.14</v>
      </c>
      <c r="AA965" s="200">
        <v>144119.91263999997</v>
      </c>
      <c r="AB965" s="201">
        <v>23832.145866666662</v>
      </c>
      <c r="AC965" s="200">
        <v>6393</v>
      </c>
      <c r="AD965" s="197">
        <v>12</v>
      </c>
      <c r="AE965" s="216">
        <v>4250</v>
      </c>
      <c r="AF965" s="202">
        <v>80966</v>
      </c>
      <c r="AG965" s="217" t="s">
        <v>1478</v>
      </c>
      <c r="AJ965" s="388">
        <f t="shared" si="74"/>
        <v>0</v>
      </c>
    </row>
    <row r="966" spans="1:36" x14ac:dyDescent="0.3">
      <c r="A966" s="192">
        <v>5831</v>
      </c>
      <c r="B966" s="192">
        <v>99</v>
      </c>
      <c r="C966" s="192">
        <v>0</v>
      </c>
      <c r="D966" s="192" t="s">
        <v>1699</v>
      </c>
      <c r="E966" s="192">
        <v>6822663</v>
      </c>
      <c r="F966" s="192" t="s">
        <v>1917</v>
      </c>
      <c r="G966" s="290">
        <v>0.7</v>
      </c>
      <c r="H966" s="192">
        <v>4597.21</v>
      </c>
      <c r="I966" s="192">
        <v>1005.48</v>
      </c>
      <c r="J966" s="192">
        <v>0</v>
      </c>
      <c r="K966" s="192">
        <v>0</v>
      </c>
      <c r="L966" s="192">
        <v>358.35</v>
      </c>
      <c r="M966" s="192">
        <v>0</v>
      </c>
      <c r="N966" s="192">
        <v>0</v>
      </c>
      <c r="O966" s="192">
        <v>5961.04</v>
      </c>
      <c r="P966" s="192">
        <v>0</v>
      </c>
      <c r="Q966" s="192">
        <v>458.33</v>
      </c>
      <c r="R966" s="192">
        <v>0</v>
      </c>
      <c r="S966" s="285">
        <f t="shared" si="73"/>
        <v>0.69999999999999984</v>
      </c>
      <c r="T966" s="192">
        <v>0</v>
      </c>
      <c r="U966" s="291">
        <v>6419.37</v>
      </c>
      <c r="V966" s="291">
        <v>6419.37</v>
      </c>
      <c r="W966" s="292">
        <v>76897.440000000002</v>
      </c>
      <c r="X966" s="292">
        <v>77032.44</v>
      </c>
      <c r="Y966" s="292">
        <v>76942.44</v>
      </c>
      <c r="Z966" s="292">
        <v>86216.84</v>
      </c>
      <c r="AA966" s="290">
        <v>88199.827319999982</v>
      </c>
      <c r="AB966" s="285">
        <v>87510.092599999989</v>
      </c>
      <c r="AC966" s="290">
        <v>6408.12</v>
      </c>
      <c r="AD966" s="192">
        <v>12</v>
      </c>
      <c r="AE966" s="290">
        <v>6419.37</v>
      </c>
      <c r="AF966" s="194">
        <v>83316.81</v>
      </c>
      <c r="AG966" s="215"/>
      <c r="AJ966" s="388">
        <f t="shared" si="74"/>
        <v>0</v>
      </c>
    </row>
    <row r="967" spans="1:36" x14ac:dyDescent="0.3">
      <c r="A967" s="192">
        <v>5831</v>
      </c>
      <c r="B967" s="192">
        <v>99</v>
      </c>
      <c r="C967" s="192">
        <v>0</v>
      </c>
      <c r="D967" s="192" t="s">
        <v>1699</v>
      </c>
      <c r="E967" s="192">
        <v>6824559</v>
      </c>
      <c r="F967" s="192" t="s">
        <v>1981</v>
      </c>
      <c r="G967" s="290">
        <v>0.7</v>
      </c>
      <c r="H967" s="192">
        <v>5455.43</v>
      </c>
      <c r="I967" s="192">
        <v>0</v>
      </c>
      <c r="J967" s="192">
        <v>0</v>
      </c>
      <c r="K967" s="192">
        <v>0</v>
      </c>
      <c r="L967" s="192">
        <v>160.83000000000001</v>
      </c>
      <c r="M967" s="192">
        <v>0</v>
      </c>
      <c r="N967" s="192">
        <v>0</v>
      </c>
      <c r="O967" s="192">
        <v>5616.26</v>
      </c>
      <c r="P967" s="192">
        <v>0</v>
      </c>
      <c r="Q967" s="192">
        <v>432.47</v>
      </c>
      <c r="R967" s="192">
        <v>0</v>
      </c>
      <c r="S967" s="285">
        <f t="shared" si="73"/>
        <v>0.69999999999999984</v>
      </c>
      <c r="T967" s="192">
        <v>0</v>
      </c>
      <c r="U967" s="291">
        <v>6048.73</v>
      </c>
      <c r="V967" s="291">
        <v>6048.73</v>
      </c>
      <c r="W967" s="292">
        <v>72449.759999999995</v>
      </c>
      <c r="X967" s="292">
        <v>72584.759999999995</v>
      </c>
      <c r="Y967" s="292">
        <v>72494.759999999995</v>
      </c>
      <c r="Z967" s="292">
        <v>82038.95</v>
      </c>
      <c r="AA967" s="290">
        <v>83925.845849999998</v>
      </c>
      <c r="AB967" s="285">
        <v>83269.534249999997</v>
      </c>
      <c r="AC967" s="290">
        <v>6037.48</v>
      </c>
      <c r="AD967" s="192">
        <v>12</v>
      </c>
      <c r="AE967" s="290">
        <v>6048.73</v>
      </c>
      <c r="AF967" s="194">
        <v>78498.489999999991</v>
      </c>
      <c r="AG967" s="215"/>
      <c r="AJ967" s="388">
        <f t="shared" si="74"/>
        <v>0</v>
      </c>
    </row>
    <row r="968" spans="1:36" x14ac:dyDescent="0.3">
      <c r="A968" s="192">
        <v>5831</v>
      </c>
      <c r="B968" s="192">
        <v>99</v>
      </c>
      <c r="C968" s="192">
        <v>0</v>
      </c>
      <c r="D968" s="192" t="s">
        <v>1699</v>
      </c>
      <c r="E968" s="192">
        <v>6830955</v>
      </c>
      <c r="F968" s="192" t="s">
        <v>1982</v>
      </c>
      <c r="G968" s="290">
        <v>0.6</v>
      </c>
      <c r="H968" s="192">
        <v>4298.38</v>
      </c>
      <c r="I968" s="192">
        <v>0</v>
      </c>
      <c r="J968" s="192">
        <v>0</v>
      </c>
      <c r="K968" s="192">
        <v>0</v>
      </c>
      <c r="L968" s="192">
        <v>124.41</v>
      </c>
      <c r="M968" s="192">
        <v>0</v>
      </c>
      <c r="N968" s="192">
        <v>0</v>
      </c>
      <c r="O968" s="192">
        <v>4422.79</v>
      </c>
      <c r="P968" s="192">
        <v>0</v>
      </c>
      <c r="Q968" s="192">
        <v>342.96</v>
      </c>
      <c r="R968" s="192">
        <v>0</v>
      </c>
      <c r="S968" s="285">
        <f t="shared" si="73"/>
        <v>0.6</v>
      </c>
      <c r="T968" s="192">
        <v>0</v>
      </c>
      <c r="U968" s="291">
        <v>4765.75</v>
      </c>
      <c r="V968" s="291">
        <v>4765.75</v>
      </c>
      <c r="W968" s="292">
        <v>57054</v>
      </c>
      <c r="X968" s="292">
        <v>57189</v>
      </c>
      <c r="Y968" s="292">
        <v>57099</v>
      </c>
      <c r="Z968" s="292">
        <v>65050.11</v>
      </c>
      <c r="AA968" s="290">
        <v>66546.262529999993</v>
      </c>
      <c r="AB968" s="285">
        <v>66025.861649999992</v>
      </c>
      <c r="AC968" s="290">
        <v>4754.5</v>
      </c>
      <c r="AD968" s="192">
        <v>12</v>
      </c>
      <c r="AE968" s="290">
        <v>4765.75</v>
      </c>
      <c r="AF968" s="194">
        <v>61819.75</v>
      </c>
      <c r="AG968" s="215"/>
      <c r="AJ968" s="388">
        <f t="shared" si="74"/>
        <v>0</v>
      </c>
    </row>
    <row r="969" spans="1:36" x14ac:dyDescent="0.3">
      <c r="A969" s="192">
        <v>5831</v>
      </c>
      <c r="B969" s="192">
        <v>99</v>
      </c>
      <c r="C969" s="192">
        <v>0</v>
      </c>
      <c r="D969" s="192" t="s">
        <v>1699</v>
      </c>
      <c r="E969" s="192">
        <v>6831139</v>
      </c>
      <c r="F969" s="192" t="s">
        <v>1983</v>
      </c>
      <c r="G969" s="290">
        <v>0.78</v>
      </c>
      <c r="H969" s="192">
        <v>1691.51</v>
      </c>
      <c r="I969" s="192">
        <v>0</v>
      </c>
      <c r="J969" s="192">
        <v>0</v>
      </c>
      <c r="K969" s="192">
        <v>0</v>
      </c>
      <c r="L969" s="192">
        <v>55.66</v>
      </c>
      <c r="M969" s="192">
        <v>0</v>
      </c>
      <c r="N969" s="192">
        <v>0</v>
      </c>
      <c r="O969" s="192">
        <v>1747.17</v>
      </c>
      <c r="P969" s="192">
        <v>0</v>
      </c>
      <c r="Q969" s="192">
        <v>142.29</v>
      </c>
      <c r="R969" s="192">
        <v>0</v>
      </c>
      <c r="S969" s="285">
        <f t="shared" si="73"/>
        <v>0.77999999999999992</v>
      </c>
      <c r="T969" s="192">
        <v>0</v>
      </c>
      <c r="U969" s="291">
        <v>1889.46</v>
      </c>
      <c r="V969" s="291">
        <v>1889.46</v>
      </c>
      <c r="W969" s="292">
        <v>22538.52</v>
      </c>
      <c r="X969" s="292">
        <v>22673.52</v>
      </c>
      <c r="Y969" s="292">
        <v>22583.52</v>
      </c>
      <c r="Z969" s="292">
        <v>25015.83</v>
      </c>
      <c r="AA969" s="290">
        <v>25591.194089999997</v>
      </c>
      <c r="AB969" s="285">
        <v>25391.067449999995</v>
      </c>
      <c r="AC969" s="290">
        <v>1878.21</v>
      </c>
      <c r="AD969" s="192">
        <v>12</v>
      </c>
      <c r="AE969" s="290">
        <v>1889.46</v>
      </c>
      <c r="AF969" s="194">
        <v>24427.98</v>
      </c>
      <c r="AG969" s="215"/>
      <c r="AJ969" s="388">
        <f t="shared" si="74"/>
        <v>0</v>
      </c>
    </row>
    <row r="970" spans="1:36" x14ac:dyDescent="0.3">
      <c r="A970" s="192">
        <v>5831</v>
      </c>
      <c r="B970" s="192">
        <v>99</v>
      </c>
      <c r="C970" s="192">
        <v>0</v>
      </c>
      <c r="D970" s="192" t="s">
        <v>1699</v>
      </c>
      <c r="E970" s="192">
        <v>6832709</v>
      </c>
      <c r="F970" s="192" t="s">
        <v>1984</v>
      </c>
      <c r="G970" s="290">
        <v>0.7</v>
      </c>
      <c r="H970" s="192">
        <v>4660.5600000000004</v>
      </c>
      <c r="I970" s="192">
        <v>870.98</v>
      </c>
      <c r="J970" s="192">
        <v>0</v>
      </c>
      <c r="K970" s="192">
        <v>0</v>
      </c>
      <c r="L970" s="192">
        <v>309.19</v>
      </c>
      <c r="M970" s="192">
        <v>0</v>
      </c>
      <c r="N970" s="192">
        <v>0</v>
      </c>
      <c r="O970" s="192">
        <v>5840.73</v>
      </c>
      <c r="P970" s="192">
        <v>0</v>
      </c>
      <c r="Q970" s="192">
        <v>449.3</v>
      </c>
      <c r="R970" s="192">
        <v>0</v>
      </c>
      <c r="S970" s="285">
        <f t="shared" si="73"/>
        <v>0.69999999999999984</v>
      </c>
      <c r="T970" s="192">
        <v>0</v>
      </c>
      <c r="U970" s="291">
        <v>6290.03</v>
      </c>
      <c r="V970" s="291">
        <v>6290.03</v>
      </c>
      <c r="W970" s="292">
        <v>75345.36</v>
      </c>
      <c r="X970" s="292">
        <v>75480.36</v>
      </c>
      <c r="Y970" s="292">
        <v>75390.36</v>
      </c>
      <c r="Z970" s="292">
        <v>89954.09</v>
      </c>
      <c r="AA970" s="290">
        <v>92023.034069999994</v>
      </c>
      <c r="AB970" s="285">
        <v>91303.401349999986</v>
      </c>
      <c r="AC970" s="290">
        <v>6278.78</v>
      </c>
      <c r="AD970" s="192">
        <v>12</v>
      </c>
      <c r="AE970" s="290">
        <v>6290.03</v>
      </c>
      <c r="AF970" s="194">
        <v>81635.39</v>
      </c>
      <c r="AG970" s="215"/>
      <c r="AJ970" s="388">
        <f t="shared" si="74"/>
        <v>0</v>
      </c>
    </row>
    <row r="971" spans="1:36" x14ac:dyDescent="0.3">
      <c r="A971" s="192">
        <v>5831</v>
      </c>
      <c r="B971" s="192">
        <v>99</v>
      </c>
      <c r="C971" s="192">
        <v>0</v>
      </c>
      <c r="D971" s="192" t="s">
        <v>1699</v>
      </c>
      <c r="E971" s="192">
        <v>6833168</v>
      </c>
      <c r="F971" s="192" t="s">
        <v>1985</v>
      </c>
      <c r="G971" s="290">
        <v>0.36</v>
      </c>
      <c r="H971" s="192">
        <v>1840.11</v>
      </c>
      <c r="I971" s="192">
        <v>0</v>
      </c>
      <c r="J971" s="192">
        <v>0</v>
      </c>
      <c r="K971" s="192">
        <v>0</v>
      </c>
      <c r="L971" s="192">
        <v>59.87</v>
      </c>
      <c r="M971" s="192">
        <v>0</v>
      </c>
      <c r="N971" s="192">
        <v>0</v>
      </c>
      <c r="O971" s="192">
        <v>1899.98</v>
      </c>
      <c r="P971" s="192">
        <v>0</v>
      </c>
      <c r="Q971" s="192">
        <v>0</v>
      </c>
      <c r="R971" s="192">
        <v>0</v>
      </c>
      <c r="S971" s="285">
        <f t="shared" si="73"/>
        <v>0.36000000000000004</v>
      </c>
      <c r="T971" s="192">
        <v>0</v>
      </c>
      <c r="U971" s="291">
        <v>1899.98</v>
      </c>
      <c r="V971" s="291">
        <v>1899.98</v>
      </c>
      <c r="W971" s="292">
        <v>22799.760000000002</v>
      </c>
      <c r="X971" s="292">
        <v>22799.760000000002</v>
      </c>
      <c r="Y971" s="292">
        <v>22799.759999999998</v>
      </c>
      <c r="Z971" s="292">
        <v>25093.83</v>
      </c>
      <c r="AA971" s="290">
        <v>25670.988089999999</v>
      </c>
      <c r="AB971" s="285">
        <v>25470.237450000001</v>
      </c>
      <c r="AC971" s="290">
        <v>1899.98</v>
      </c>
      <c r="AD971" s="192">
        <v>12</v>
      </c>
      <c r="AE971" s="290">
        <v>1899.98</v>
      </c>
      <c r="AF971" s="194">
        <v>24699.74</v>
      </c>
      <c r="AG971" s="215"/>
      <c r="AJ971" s="388">
        <f t="shared" si="74"/>
        <v>0</v>
      </c>
    </row>
    <row r="972" spans="1:36" x14ac:dyDescent="0.3">
      <c r="A972" s="192">
        <v>5831</v>
      </c>
      <c r="B972" s="192">
        <v>99</v>
      </c>
      <c r="C972" s="192">
        <v>0</v>
      </c>
      <c r="D972" s="192" t="s">
        <v>1699</v>
      </c>
      <c r="E972" s="192">
        <v>6833531</v>
      </c>
      <c r="F972" s="192" t="s">
        <v>1986</v>
      </c>
      <c r="G972" s="290">
        <v>0.7</v>
      </c>
      <c r="H972" s="192">
        <v>5239.09</v>
      </c>
      <c r="I972" s="192">
        <v>0</v>
      </c>
      <c r="J972" s="192">
        <v>0</v>
      </c>
      <c r="K972" s="192">
        <v>0</v>
      </c>
      <c r="L972" s="192">
        <v>152.54</v>
      </c>
      <c r="M972" s="192">
        <v>0</v>
      </c>
      <c r="N972" s="192">
        <v>0</v>
      </c>
      <c r="O972" s="192">
        <v>5391.63</v>
      </c>
      <c r="P972" s="192">
        <v>0</v>
      </c>
      <c r="Q972" s="192">
        <v>415.62</v>
      </c>
      <c r="R972" s="192">
        <v>0</v>
      </c>
      <c r="S972" s="285">
        <f t="shared" si="73"/>
        <v>0.69999999999999984</v>
      </c>
      <c r="T972" s="192">
        <v>0</v>
      </c>
      <c r="U972" s="291">
        <v>5807.25</v>
      </c>
      <c r="V972" s="291">
        <v>5807.25</v>
      </c>
      <c r="W972" s="292">
        <v>69552</v>
      </c>
      <c r="X972" s="292">
        <v>69687</v>
      </c>
      <c r="Y972" s="292">
        <v>69597</v>
      </c>
      <c r="Z972" s="292">
        <v>78957.13</v>
      </c>
      <c r="AA972" s="290">
        <v>80773.143989999997</v>
      </c>
      <c r="AB972" s="285">
        <v>80141.486949999991</v>
      </c>
      <c r="AC972" s="290">
        <v>5796</v>
      </c>
      <c r="AD972" s="192">
        <v>12</v>
      </c>
      <c r="AE972" s="290">
        <v>5807.25</v>
      </c>
      <c r="AF972" s="194">
        <v>75359.25</v>
      </c>
      <c r="AG972" s="215"/>
      <c r="AJ972" s="388">
        <f t="shared" si="74"/>
        <v>0</v>
      </c>
    </row>
    <row r="973" spans="1:36" x14ac:dyDescent="0.3">
      <c r="A973" s="192">
        <v>5831</v>
      </c>
      <c r="B973" s="192">
        <v>99</v>
      </c>
      <c r="C973" s="192">
        <v>0</v>
      </c>
      <c r="D973" s="192" t="s">
        <v>1699</v>
      </c>
      <c r="E973" s="192">
        <v>6833696</v>
      </c>
      <c r="F973" s="192" t="s">
        <v>1987</v>
      </c>
      <c r="G973" s="290">
        <v>0.64500000000000002</v>
      </c>
      <c r="H973" s="192">
        <v>3710.15</v>
      </c>
      <c r="I973" s="192">
        <v>0</v>
      </c>
      <c r="J973" s="192">
        <v>0</v>
      </c>
      <c r="K973" s="192">
        <v>0</v>
      </c>
      <c r="L973" s="192">
        <v>271.7</v>
      </c>
      <c r="M973" s="192">
        <v>0</v>
      </c>
      <c r="N973" s="192">
        <v>0</v>
      </c>
      <c r="O973" s="192">
        <v>3981.85</v>
      </c>
      <c r="P973" s="192">
        <v>0</v>
      </c>
      <c r="Q973" s="192">
        <v>309.89</v>
      </c>
      <c r="R973" s="192">
        <v>0</v>
      </c>
      <c r="S973" s="285">
        <f t="shared" si="73"/>
        <v>0.64500000000000002</v>
      </c>
      <c r="T973" s="192">
        <v>0</v>
      </c>
      <c r="U973" s="291">
        <v>4291.74</v>
      </c>
      <c r="V973" s="291">
        <v>4291.74</v>
      </c>
      <c r="W973" s="292">
        <v>51365.88</v>
      </c>
      <c r="X973" s="292">
        <v>51500.88</v>
      </c>
      <c r="Y973" s="292">
        <v>51410.879999999997</v>
      </c>
      <c r="Z973" s="292">
        <v>55379.89</v>
      </c>
      <c r="AA973" s="290">
        <v>56653.627469999992</v>
      </c>
      <c r="AB973" s="285">
        <v>56210.588349999991</v>
      </c>
      <c r="AC973" s="290">
        <v>4280.49</v>
      </c>
      <c r="AD973" s="192">
        <v>12</v>
      </c>
      <c r="AE973" s="290">
        <v>4291.74</v>
      </c>
      <c r="AF973" s="194">
        <v>55657.619999999995</v>
      </c>
      <c r="AG973" s="215"/>
      <c r="AJ973" s="388">
        <f t="shared" si="74"/>
        <v>0</v>
      </c>
    </row>
    <row r="974" spans="1:36" x14ac:dyDescent="0.3">
      <c r="A974" s="192">
        <v>5831</v>
      </c>
      <c r="B974" s="192">
        <v>99</v>
      </c>
      <c r="C974" s="192">
        <v>0</v>
      </c>
      <c r="D974" s="192" t="s">
        <v>1699</v>
      </c>
      <c r="E974" s="192">
        <v>6833697</v>
      </c>
      <c r="F974" s="192" t="s">
        <v>1988</v>
      </c>
      <c r="G974" s="290">
        <v>0.34699999999999998</v>
      </c>
      <c r="H974" s="192">
        <v>2172.59</v>
      </c>
      <c r="I974" s="192">
        <v>0</v>
      </c>
      <c r="J974" s="192">
        <v>0</v>
      </c>
      <c r="K974" s="192">
        <v>0</v>
      </c>
      <c r="L974" s="192">
        <v>130.08000000000001</v>
      </c>
      <c r="M974" s="192">
        <v>0</v>
      </c>
      <c r="N974" s="192">
        <v>84</v>
      </c>
      <c r="O974" s="192">
        <v>2386.67</v>
      </c>
      <c r="P974" s="192">
        <v>0</v>
      </c>
      <c r="Q974" s="192">
        <v>190.25</v>
      </c>
      <c r="R974" s="192">
        <v>0</v>
      </c>
      <c r="S974" s="285">
        <f t="shared" si="73"/>
        <v>0.34699999999999998</v>
      </c>
      <c r="T974" s="192">
        <v>0</v>
      </c>
      <c r="U974" s="291">
        <v>2576.92</v>
      </c>
      <c r="V974" s="291">
        <v>2576.92</v>
      </c>
      <c r="W974" s="292">
        <v>30788.04</v>
      </c>
      <c r="X974" s="292">
        <v>30923.040000000001</v>
      </c>
      <c r="Y974" s="292">
        <v>30833.040000000001</v>
      </c>
      <c r="Z974" s="292">
        <v>33478.230000000003</v>
      </c>
      <c r="AA974" s="290">
        <v>34248.229290000003</v>
      </c>
      <c r="AB974" s="285">
        <v>33980.403449999998</v>
      </c>
      <c r="AC974" s="290">
        <v>2565.67</v>
      </c>
      <c r="AD974" s="192">
        <v>12</v>
      </c>
      <c r="AE974" s="290">
        <v>2576.92</v>
      </c>
      <c r="AF974" s="194">
        <v>33364.959999999999</v>
      </c>
      <c r="AG974" s="215"/>
      <c r="AJ974" s="388">
        <f t="shared" si="74"/>
        <v>0</v>
      </c>
    </row>
    <row r="975" spans="1:36" x14ac:dyDescent="0.3">
      <c r="A975" s="192">
        <v>5831</v>
      </c>
      <c r="B975" s="192">
        <v>99</v>
      </c>
      <c r="C975" s="192">
        <v>0</v>
      </c>
      <c r="D975" s="192" t="s">
        <v>1699</v>
      </c>
      <c r="E975" s="192">
        <v>6836134</v>
      </c>
      <c r="F975" s="192" t="s">
        <v>1989</v>
      </c>
      <c r="G975" s="290">
        <v>0.2394</v>
      </c>
      <c r="H975" s="192">
        <v>1345.42</v>
      </c>
      <c r="I975" s="192">
        <v>0</v>
      </c>
      <c r="J975" s="192">
        <v>0</v>
      </c>
      <c r="K975" s="192">
        <v>0</v>
      </c>
      <c r="L975" s="192">
        <v>50.32</v>
      </c>
      <c r="M975" s="192">
        <v>0</v>
      </c>
      <c r="N975" s="192">
        <v>0</v>
      </c>
      <c r="O975" s="192">
        <v>1395.74</v>
      </c>
      <c r="P975" s="192">
        <v>0</v>
      </c>
      <c r="Q975" s="192">
        <v>115.93</v>
      </c>
      <c r="R975" s="192">
        <v>0</v>
      </c>
      <c r="S975" s="285">
        <f t="shared" si="73"/>
        <v>0.23939999999999997</v>
      </c>
      <c r="T975" s="192">
        <v>0</v>
      </c>
      <c r="U975" s="291">
        <v>1511.67</v>
      </c>
      <c r="V975" s="291">
        <v>1511.67</v>
      </c>
      <c r="W975" s="292">
        <v>18005.04</v>
      </c>
      <c r="X975" s="292">
        <v>18140.04</v>
      </c>
      <c r="Y975" s="292">
        <v>18050.04</v>
      </c>
      <c r="Z975" s="292">
        <v>20017.2</v>
      </c>
      <c r="AA975" s="290">
        <v>20477.595599999997</v>
      </c>
      <c r="AB975" s="285">
        <v>20317.457999999995</v>
      </c>
      <c r="AC975" s="290">
        <v>1500.42</v>
      </c>
      <c r="AD975" s="192">
        <v>12</v>
      </c>
      <c r="AE975" s="290">
        <v>1511.67</v>
      </c>
      <c r="AF975" s="194">
        <v>19516.71</v>
      </c>
      <c r="AG975" s="215"/>
      <c r="AJ975" s="388">
        <f t="shared" si="74"/>
        <v>0</v>
      </c>
    </row>
    <row r="976" spans="1:36" x14ac:dyDescent="0.3">
      <c r="A976" s="192">
        <v>5831</v>
      </c>
      <c r="B976" s="192">
        <v>99</v>
      </c>
      <c r="C976" s="192">
        <v>0</v>
      </c>
      <c r="D976" s="192" t="s">
        <v>1699</v>
      </c>
      <c r="E976" s="192">
        <v>6847449</v>
      </c>
      <c r="F976" s="192" t="s">
        <v>1990</v>
      </c>
      <c r="G976" s="290">
        <v>0.52</v>
      </c>
      <c r="H976" s="192">
        <v>3656.63</v>
      </c>
      <c r="I976" s="192">
        <v>102.14</v>
      </c>
      <c r="J976" s="192">
        <v>0</v>
      </c>
      <c r="K976" s="192">
        <v>0</v>
      </c>
      <c r="L976" s="192">
        <v>143.59</v>
      </c>
      <c r="M976" s="192">
        <v>0</v>
      </c>
      <c r="N976" s="192">
        <v>0</v>
      </c>
      <c r="O976" s="192">
        <v>3902.36</v>
      </c>
      <c r="P976" s="192">
        <v>0</v>
      </c>
      <c r="Q976" s="192">
        <v>303.93</v>
      </c>
      <c r="R976" s="192">
        <v>0</v>
      </c>
      <c r="S976" s="285">
        <f t="shared" si="73"/>
        <v>0.52</v>
      </c>
      <c r="T976" s="192">
        <v>0</v>
      </c>
      <c r="U976" s="291">
        <v>4206.29</v>
      </c>
      <c r="V976" s="291">
        <v>4206.29</v>
      </c>
      <c r="W976" s="292">
        <v>50340.479999999996</v>
      </c>
      <c r="X976" s="292">
        <v>50475.479999999996</v>
      </c>
      <c r="Y976" s="292">
        <v>50385.479999999996</v>
      </c>
      <c r="Z976" s="292">
        <v>42235.35</v>
      </c>
      <c r="AA976" s="290">
        <v>43206.763049999994</v>
      </c>
      <c r="AB976" s="285">
        <v>55353.948649999991</v>
      </c>
      <c r="AC976" s="290">
        <v>4195.04</v>
      </c>
      <c r="AD976" s="192">
        <v>12</v>
      </c>
      <c r="AE976" s="290">
        <v>4206.29</v>
      </c>
      <c r="AF976" s="194">
        <v>54546.77</v>
      </c>
      <c r="AG976" s="215"/>
      <c r="AJ976" s="388">
        <f t="shared" si="74"/>
        <v>0</v>
      </c>
    </row>
    <row r="977" spans="1:36" x14ac:dyDescent="0.3">
      <c r="A977" s="192">
        <v>5831</v>
      </c>
      <c r="B977" s="192">
        <v>99</v>
      </c>
      <c r="C977" s="192">
        <v>0</v>
      </c>
      <c r="D977" s="192" t="s">
        <v>1699</v>
      </c>
      <c r="E977" s="192">
        <v>6850531</v>
      </c>
      <c r="F977" s="192" t="s">
        <v>1991</v>
      </c>
      <c r="G977" s="290">
        <v>0.36</v>
      </c>
      <c r="H977" s="192">
        <v>2139.23</v>
      </c>
      <c r="I977" s="192">
        <v>0</v>
      </c>
      <c r="J977" s="192">
        <v>0</v>
      </c>
      <c r="K977" s="192">
        <v>0</v>
      </c>
      <c r="L977" s="192">
        <v>228.51</v>
      </c>
      <c r="M977" s="192">
        <v>0</v>
      </c>
      <c r="N977" s="192">
        <v>0</v>
      </c>
      <c r="O977" s="192">
        <v>2367.7399999999998</v>
      </c>
      <c r="P977" s="192">
        <v>0</v>
      </c>
      <c r="Q977" s="192">
        <v>0</v>
      </c>
      <c r="R977" s="192">
        <v>0</v>
      </c>
      <c r="S977" s="285">
        <f t="shared" si="73"/>
        <v>0.36000000000000004</v>
      </c>
      <c r="T977" s="192">
        <v>0</v>
      </c>
      <c r="U977" s="291">
        <v>2367.7399999999998</v>
      </c>
      <c r="V977" s="291">
        <v>2367.7399999999998</v>
      </c>
      <c r="W977" s="292">
        <v>28412.879999999997</v>
      </c>
      <c r="X977" s="292">
        <v>28412.879999999997</v>
      </c>
      <c r="Y977" s="292">
        <v>28412.880000000005</v>
      </c>
      <c r="Z977" s="292">
        <v>31034.19</v>
      </c>
      <c r="AA977" s="290">
        <v>31747.976369999997</v>
      </c>
      <c r="AB977" s="285">
        <v>31499.702849999994</v>
      </c>
      <c r="AC977" s="290">
        <v>2367.7399999999998</v>
      </c>
      <c r="AD977" s="192">
        <v>12</v>
      </c>
      <c r="AE977" s="290">
        <v>2367.7399999999998</v>
      </c>
      <c r="AF977" s="194">
        <v>30780.619999999995</v>
      </c>
      <c r="AG977" s="215"/>
      <c r="AJ977" s="388">
        <f t="shared" si="74"/>
        <v>0</v>
      </c>
    </row>
    <row r="978" spans="1:36" x14ac:dyDescent="0.3">
      <c r="A978" s="192">
        <v>5831</v>
      </c>
      <c r="B978" s="192">
        <v>99</v>
      </c>
      <c r="C978" s="192">
        <v>0</v>
      </c>
      <c r="D978" s="192" t="s">
        <v>1699</v>
      </c>
      <c r="E978" s="192">
        <v>6850561</v>
      </c>
      <c r="F978" s="192" t="s">
        <v>1992</v>
      </c>
      <c r="G978" s="290">
        <v>0.49</v>
      </c>
      <c r="H978" s="192">
        <v>839.11</v>
      </c>
      <c r="I978" s="192">
        <v>0</v>
      </c>
      <c r="J978" s="192">
        <v>0</v>
      </c>
      <c r="K978" s="192">
        <v>0</v>
      </c>
      <c r="L978" s="192">
        <v>21.47</v>
      </c>
      <c r="M978" s="192">
        <v>0</v>
      </c>
      <c r="N978" s="192">
        <v>40</v>
      </c>
      <c r="O978" s="192">
        <v>900.58</v>
      </c>
      <c r="P978" s="192">
        <v>0</v>
      </c>
      <c r="Q978" s="192">
        <v>0</v>
      </c>
      <c r="R978" s="192">
        <v>0</v>
      </c>
      <c r="S978" s="285">
        <f t="shared" si="73"/>
        <v>0.49</v>
      </c>
      <c r="T978" s="192">
        <v>0</v>
      </c>
      <c r="U978" s="291">
        <v>900.58</v>
      </c>
      <c r="V978" s="291">
        <v>900.58</v>
      </c>
      <c r="W978" s="292">
        <v>10806.960000000001</v>
      </c>
      <c r="X978" s="292">
        <v>10806.960000000001</v>
      </c>
      <c r="Y978" s="292">
        <v>10806.96</v>
      </c>
      <c r="Z978" s="292">
        <v>12181.34</v>
      </c>
      <c r="AA978" s="290">
        <v>12461.51082</v>
      </c>
      <c r="AB978" s="285">
        <v>12364.060099999999</v>
      </c>
      <c r="AC978" s="290">
        <v>900.58</v>
      </c>
      <c r="AD978" s="192">
        <v>12</v>
      </c>
      <c r="AE978" s="290">
        <v>900.58</v>
      </c>
      <c r="AF978" s="194">
        <v>11707.54</v>
      </c>
      <c r="AG978" s="215"/>
      <c r="AJ978" s="388">
        <f t="shared" si="74"/>
        <v>0</v>
      </c>
    </row>
    <row r="979" spans="1:36" x14ac:dyDescent="0.3">
      <c r="A979" s="192">
        <v>5831</v>
      </c>
      <c r="B979" s="192">
        <v>99</v>
      </c>
      <c r="C979" s="192">
        <v>0</v>
      </c>
      <c r="D979" s="192" t="s">
        <v>1699</v>
      </c>
      <c r="E979" s="192">
        <v>6851426</v>
      </c>
      <c r="F979" s="192" t="s">
        <v>1993</v>
      </c>
      <c r="G979" s="290">
        <v>0.315</v>
      </c>
      <c r="H979" s="192">
        <v>2002.81</v>
      </c>
      <c r="I979" s="192">
        <v>25.9</v>
      </c>
      <c r="J979" s="192">
        <v>0</v>
      </c>
      <c r="K979" s="192">
        <v>0</v>
      </c>
      <c r="L979" s="192">
        <v>79.81</v>
      </c>
      <c r="M979" s="192">
        <v>0</v>
      </c>
      <c r="N979" s="192">
        <v>126</v>
      </c>
      <c r="O979" s="192">
        <v>2234.52</v>
      </c>
      <c r="P979" s="192">
        <v>0</v>
      </c>
      <c r="Q979" s="192">
        <v>178.84</v>
      </c>
      <c r="R979" s="192">
        <v>0</v>
      </c>
      <c r="S979" s="285">
        <f t="shared" si="73"/>
        <v>0.315</v>
      </c>
      <c r="T979" s="192">
        <v>0</v>
      </c>
      <c r="U979" s="291">
        <v>2413.36</v>
      </c>
      <c r="V979" s="291">
        <v>2413.36</v>
      </c>
      <c r="W979" s="292">
        <v>28825.32</v>
      </c>
      <c r="X979" s="292">
        <v>28960.32</v>
      </c>
      <c r="Y979" s="292">
        <v>28870.32</v>
      </c>
      <c r="Z979" s="292">
        <v>31417.08</v>
      </c>
      <c r="AA979" s="290">
        <v>32139.672839999999</v>
      </c>
      <c r="AB979" s="285">
        <v>31888.336199999998</v>
      </c>
      <c r="AC979" s="290">
        <v>2402.11</v>
      </c>
      <c r="AD979" s="192">
        <v>12</v>
      </c>
      <c r="AE979" s="290">
        <v>2413.36</v>
      </c>
      <c r="AF979" s="194">
        <v>31238.68</v>
      </c>
      <c r="AG979" s="215"/>
      <c r="AJ979" s="388">
        <f t="shared" si="74"/>
        <v>0</v>
      </c>
    </row>
    <row r="980" spans="1:36" x14ac:dyDescent="0.3">
      <c r="A980" s="192">
        <v>5831</v>
      </c>
      <c r="B980" s="192">
        <v>99</v>
      </c>
      <c r="C980" s="192">
        <v>0</v>
      </c>
      <c r="D980" s="192" t="s">
        <v>1699</v>
      </c>
      <c r="E980" s="192">
        <v>6852195</v>
      </c>
      <c r="F980" s="192" t="s">
        <v>1994</v>
      </c>
      <c r="G980" s="290">
        <v>0.36</v>
      </c>
      <c r="H980" s="192">
        <v>1987.89</v>
      </c>
      <c r="I980" s="192">
        <v>0</v>
      </c>
      <c r="J980" s="192">
        <v>0</v>
      </c>
      <c r="K980" s="192">
        <v>0</v>
      </c>
      <c r="L980" s="192">
        <v>85.49</v>
      </c>
      <c r="M980" s="192">
        <v>0</v>
      </c>
      <c r="N980" s="192">
        <v>0</v>
      </c>
      <c r="O980" s="192">
        <v>2073.38</v>
      </c>
      <c r="P980" s="192">
        <v>0</v>
      </c>
      <c r="Q980" s="192">
        <v>0</v>
      </c>
      <c r="R980" s="192">
        <v>0</v>
      </c>
      <c r="S980" s="285">
        <f t="shared" si="73"/>
        <v>0.36000000000000004</v>
      </c>
      <c r="T980" s="192">
        <v>0</v>
      </c>
      <c r="U980" s="291">
        <v>2073.38</v>
      </c>
      <c r="V980" s="291">
        <v>2073.38</v>
      </c>
      <c r="W980" s="292">
        <v>24880.560000000001</v>
      </c>
      <c r="X980" s="292">
        <v>24880.560000000001</v>
      </c>
      <c r="Y980" s="292">
        <v>24880.560000000001</v>
      </c>
      <c r="Z980" s="292">
        <v>27423.87</v>
      </c>
      <c r="AA980" s="290">
        <v>28054.619009999999</v>
      </c>
      <c r="AB980" s="285">
        <v>27835.228050000002</v>
      </c>
      <c r="AC980" s="290">
        <v>2073.38</v>
      </c>
      <c r="AD980" s="192">
        <v>12</v>
      </c>
      <c r="AE980" s="290">
        <v>2073.38</v>
      </c>
      <c r="AF980" s="194">
        <v>26953.940000000002</v>
      </c>
      <c r="AG980" s="215"/>
      <c r="AJ980" s="388">
        <f t="shared" si="74"/>
        <v>0</v>
      </c>
    </row>
    <row r="981" spans="1:36" x14ac:dyDescent="0.3">
      <c r="A981" s="192">
        <v>5831</v>
      </c>
      <c r="B981" s="192">
        <v>99</v>
      </c>
      <c r="C981" s="192">
        <v>0</v>
      </c>
      <c r="D981" s="192" t="s">
        <v>1699</v>
      </c>
      <c r="E981" s="192">
        <v>6853150</v>
      </c>
      <c r="F981" s="192" t="s">
        <v>1995</v>
      </c>
      <c r="G981" s="290">
        <v>0.4</v>
      </c>
      <c r="H981" s="192">
        <v>1193.8</v>
      </c>
      <c r="I981" s="192">
        <v>0</v>
      </c>
      <c r="J981" s="192">
        <v>0</v>
      </c>
      <c r="K981" s="192">
        <v>0</v>
      </c>
      <c r="L981" s="192">
        <v>51.7</v>
      </c>
      <c r="M981" s="192">
        <v>0</v>
      </c>
      <c r="N981" s="192">
        <v>0</v>
      </c>
      <c r="O981" s="192">
        <v>1245.5</v>
      </c>
      <c r="P981" s="192">
        <v>0</v>
      </c>
      <c r="Q981" s="192">
        <v>0</v>
      </c>
      <c r="R981" s="192">
        <v>0</v>
      </c>
      <c r="S981" s="285">
        <f t="shared" si="73"/>
        <v>0.40000000000000008</v>
      </c>
      <c r="T981" s="192">
        <v>0</v>
      </c>
      <c r="U981" s="291">
        <v>1245.5</v>
      </c>
      <c r="V981" s="291">
        <v>1245.5</v>
      </c>
      <c r="W981" s="292">
        <v>14835.84</v>
      </c>
      <c r="X981" s="292">
        <v>14946</v>
      </c>
      <c r="Y981" s="292">
        <v>14835.84</v>
      </c>
      <c r="Z981" s="292">
        <v>34239.32</v>
      </c>
      <c r="AA981" s="290">
        <v>35026.824359999999</v>
      </c>
      <c r="AB981" s="285">
        <v>34752.909799999994</v>
      </c>
      <c r="AC981" s="290">
        <v>2574.54</v>
      </c>
      <c r="AD981" s="192">
        <v>12</v>
      </c>
      <c r="AE981" s="290">
        <v>1245.5</v>
      </c>
      <c r="AF981" s="194">
        <v>32139.98</v>
      </c>
      <c r="AG981" s="215"/>
      <c r="AJ981" s="388">
        <f t="shared" si="74"/>
        <v>0</v>
      </c>
    </row>
    <row r="982" spans="1:36" x14ac:dyDescent="0.3">
      <c r="A982" s="192">
        <v>5831</v>
      </c>
      <c r="B982" s="192">
        <v>99</v>
      </c>
      <c r="C982" s="192">
        <v>0</v>
      </c>
      <c r="D982" s="192" t="s">
        <v>1699</v>
      </c>
      <c r="E982" s="192">
        <v>6856337</v>
      </c>
      <c r="F982" s="192" t="s">
        <v>1996</v>
      </c>
      <c r="G982" s="290">
        <v>0.71</v>
      </c>
      <c r="H982" s="192">
        <v>1078.1099999999999</v>
      </c>
      <c r="I982" s="192">
        <v>0</v>
      </c>
      <c r="J982" s="192">
        <v>0</v>
      </c>
      <c r="K982" s="192">
        <v>0</v>
      </c>
      <c r="L982" s="192">
        <v>67.81</v>
      </c>
      <c r="M982" s="192">
        <v>0</v>
      </c>
      <c r="N982" s="192">
        <v>38</v>
      </c>
      <c r="O982" s="192">
        <v>1183.92</v>
      </c>
      <c r="P982" s="192">
        <v>0</v>
      </c>
      <c r="Q982" s="192">
        <v>100.04</v>
      </c>
      <c r="R982" s="192">
        <v>0</v>
      </c>
      <c r="S982" s="285">
        <f t="shared" si="73"/>
        <v>0.71</v>
      </c>
      <c r="T982" s="192">
        <v>0</v>
      </c>
      <c r="U982" s="291">
        <v>1283.96</v>
      </c>
      <c r="V982" s="291">
        <v>1283.96</v>
      </c>
      <c r="W982" s="292">
        <v>15272.52</v>
      </c>
      <c r="X982" s="292">
        <v>15407.52</v>
      </c>
      <c r="Y982" s="292">
        <v>15317.52</v>
      </c>
      <c r="Z982" s="292">
        <v>16902.87</v>
      </c>
      <c r="AA982" s="290">
        <v>17291.636010000002</v>
      </c>
      <c r="AB982" s="285">
        <v>17156.413049999999</v>
      </c>
      <c r="AC982" s="290">
        <v>1272.71</v>
      </c>
      <c r="AD982" s="192">
        <v>12</v>
      </c>
      <c r="AE982" s="290">
        <v>1283.96</v>
      </c>
      <c r="AF982" s="194">
        <v>16556.48</v>
      </c>
      <c r="AG982" s="215"/>
      <c r="AJ982" s="388">
        <f t="shared" si="74"/>
        <v>0</v>
      </c>
    </row>
    <row r="983" spans="1:36" x14ac:dyDescent="0.3">
      <c r="A983" s="192">
        <v>5831</v>
      </c>
      <c r="B983" s="192">
        <v>99</v>
      </c>
      <c r="C983" s="192">
        <v>0</v>
      </c>
      <c r="D983" s="192" t="s">
        <v>1699</v>
      </c>
      <c r="E983" s="192">
        <v>6856814</v>
      </c>
      <c r="F983" s="192" t="s">
        <v>1997</v>
      </c>
      <c r="G983" s="290">
        <v>0.7</v>
      </c>
      <c r="H983" s="192">
        <v>1786.89</v>
      </c>
      <c r="I983" s="192">
        <v>0</v>
      </c>
      <c r="J983" s="192">
        <v>0</v>
      </c>
      <c r="K983" s="192">
        <v>0</v>
      </c>
      <c r="L983" s="192">
        <v>60.74</v>
      </c>
      <c r="M983" s="192">
        <v>0</v>
      </c>
      <c r="N983" s="192">
        <v>0</v>
      </c>
      <c r="O983" s="192">
        <v>1847.63</v>
      </c>
      <c r="P983" s="192">
        <v>0</v>
      </c>
      <c r="Q983" s="192">
        <v>0</v>
      </c>
      <c r="R983" s="192">
        <v>0</v>
      </c>
      <c r="S983" s="285">
        <f t="shared" si="73"/>
        <v>0.69999999999999984</v>
      </c>
      <c r="T983" s="192">
        <v>0</v>
      </c>
      <c r="U983" s="291">
        <v>1847.63</v>
      </c>
      <c r="V983" s="291">
        <v>1847.63</v>
      </c>
      <c r="W983" s="292">
        <v>22171.56</v>
      </c>
      <c r="X983" s="292">
        <v>22171.56</v>
      </c>
      <c r="Y983" s="292">
        <v>22171.56</v>
      </c>
      <c r="Z983" s="292">
        <v>65168.28</v>
      </c>
      <c r="AA983" s="290">
        <v>66667.150439999998</v>
      </c>
      <c r="AB983" s="285">
        <v>66145.804199999999</v>
      </c>
      <c r="AC983" s="290">
        <v>4699.07</v>
      </c>
      <c r="AD983" s="192">
        <v>12</v>
      </c>
      <c r="AE983" s="290">
        <v>1847.63</v>
      </c>
      <c r="AF983" s="194">
        <v>58236.469999999994</v>
      </c>
      <c r="AG983" s="215"/>
      <c r="AJ983" s="388">
        <f t="shared" si="74"/>
        <v>0</v>
      </c>
    </row>
    <row r="984" spans="1:36" x14ac:dyDescent="0.3">
      <c r="A984" s="192">
        <v>5831</v>
      </c>
      <c r="B984" s="192">
        <v>99</v>
      </c>
      <c r="C984" s="192">
        <v>0</v>
      </c>
      <c r="D984" s="192" t="s">
        <v>1699</v>
      </c>
      <c r="E984" s="192">
        <v>6857538</v>
      </c>
      <c r="F984" s="192" t="s">
        <v>1998</v>
      </c>
      <c r="G984" s="290">
        <v>0.47360000000000002</v>
      </c>
      <c r="H984" s="192">
        <v>3439.36</v>
      </c>
      <c r="I984" s="192">
        <v>0</v>
      </c>
      <c r="J984" s="192">
        <v>0</v>
      </c>
      <c r="K984" s="192">
        <v>0</v>
      </c>
      <c r="L984" s="192">
        <v>105.84</v>
      </c>
      <c r="M984" s="192">
        <v>0</v>
      </c>
      <c r="N984" s="192">
        <v>133</v>
      </c>
      <c r="O984" s="192">
        <v>3678.2</v>
      </c>
      <c r="P984" s="192">
        <v>0</v>
      </c>
      <c r="Q984" s="192">
        <v>287.11</v>
      </c>
      <c r="R984" s="192">
        <v>0</v>
      </c>
      <c r="S984" s="285">
        <f t="shared" si="73"/>
        <v>0.47360000000000002</v>
      </c>
      <c r="T984" s="192">
        <v>0</v>
      </c>
      <c r="U984" s="291">
        <v>3965.31</v>
      </c>
      <c r="V984" s="291">
        <v>3965.31</v>
      </c>
      <c r="W984" s="292">
        <v>47448.72</v>
      </c>
      <c r="X984" s="292">
        <v>47583.72</v>
      </c>
      <c r="Y984" s="292">
        <v>47493.72</v>
      </c>
      <c r="Z984" s="292">
        <v>54115.16</v>
      </c>
      <c r="AA984" s="290">
        <v>55359.808680000002</v>
      </c>
      <c r="AB984" s="285">
        <v>54926.8874</v>
      </c>
      <c r="AC984" s="290">
        <v>3954.06</v>
      </c>
      <c r="AD984" s="192">
        <v>12</v>
      </c>
      <c r="AE984" s="290">
        <v>3965.31</v>
      </c>
      <c r="AF984" s="194">
        <v>51414.03</v>
      </c>
      <c r="AG984" s="215"/>
      <c r="AJ984" s="388">
        <f t="shared" si="74"/>
        <v>0</v>
      </c>
    </row>
    <row r="985" spans="1:36" x14ac:dyDescent="0.3">
      <c r="A985" s="192">
        <v>5831</v>
      </c>
      <c r="B985" s="192">
        <v>99</v>
      </c>
      <c r="C985" s="192">
        <v>0</v>
      </c>
      <c r="D985" s="192" t="s">
        <v>1699</v>
      </c>
      <c r="E985" s="192">
        <v>6857796</v>
      </c>
      <c r="F985" s="192" t="s">
        <v>1999</v>
      </c>
      <c r="G985" s="290">
        <v>0.7</v>
      </c>
      <c r="H985" s="192">
        <v>5906.07</v>
      </c>
      <c r="I985" s="192">
        <v>1922.76</v>
      </c>
      <c r="J985" s="192">
        <v>0</v>
      </c>
      <c r="K985" s="192">
        <v>0</v>
      </c>
      <c r="L985" s="192">
        <v>234.6</v>
      </c>
      <c r="M985" s="192">
        <v>0</v>
      </c>
      <c r="N985" s="192">
        <v>0</v>
      </c>
      <c r="O985" s="192">
        <v>8063.43</v>
      </c>
      <c r="P985" s="192">
        <v>0</v>
      </c>
      <c r="Q985" s="192">
        <v>616.01</v>
      </c>
      <c r="R985" s="192">
        <v>0</v>
      </c>
      <c r="S985" s="285">
        <f t="shared" si="73"/>
        <v>0.69999999999999984</v>
      </c>
      <c r="T985" s="192">
        <v>0</v>
      </c>
      <c r="U985" s="291">
        <v>8679.44</v>
      </c>
      <c r="V985" s="291">
        <v>8679.44</v>
      </c>
      <c r="W985" s="292">
        <v>104018.28</v>
      </c>
      <c r="X985" s="292">
        <v>104153.28</v>
      </c>
      <c r="Y985" s="292">
        <v>104063.28</v>
      </c>
      <c r="Z985" s="292">
        <v>161177.29</v>
      </c>
      <c r="AA985" s="290">
        <v>194925.72428999998</v>
      </c>
      <c r="AB985" s="285">
        <v>0</v>
      </c>
      <c r="AC985" s="290">
        <v>8679</v>
      </c>
      <c r="AD985" s="192">
        <v>12</v>
      </c>
      <c r="AE985" s="305">
        <v>98000</v>
      </c>
      <c r="AF985" s="194">
        <v>202148</v>
      </c>
      <c r="AG985" s="215"/>
      <c r="AJ985" s="388">
        <f t="shared" si="74"/>
        <v>0</v>
      </c>
    </row>
    <row r="986" spans="1:36" x14ac:dyDescent="0.3">
      <c r="A986" s="192">
        <v>5831</v>
      </c>
      <c r="B986" s="192">
        <v>99</v>
      </c>
      <c r="C986" s="192">
        <v>0</v>
      </c>
      <c r="D986" s="192" t="s">
        <v>1699</v>
      </c>
      <c r="E986" s="192">
        <v>6858066</v>
      </c>
      <c r="F986" s="192" t="s">
        <v>2000</v>
      </c>
      <c r="G986" s="290">
        <v>0.7</v>
      </c>
      <c r="H986" s="192">
        <v>4824.5</v>
      </c>
      <c r="I986" s="192">
        <v>0</v>
      </c>
      <c r="J986" s="192">
        <v>0</v>
      </c>
      <c r="K986" s="192">
        <v>0</v>
      </c>
      <c r="L986" s="192">
        <v>180.74</v>
      </c>
      <c r="M986" s="192">
        <v>0</v>
      </c>
      <c r="N986" s="192">
        <v>0</v>
      </c>
      <c r="O986" s="192">
        <v>5005.24</v>
      </c>
      <c r="P986" s="192">
        <v>0</v>
      </c>
      <c r="Q986" s="192">
        <v>386.64</v>
      </c>
      <c r="R986" s="192">
        <v>0</v>
      </c>
      <c r="S986" s="285">
        <f t="shared" si="73"/>
        <v>0.69999999999999984</v>
      </c>
      <c r="T986" s="192">
        <v>0</v>
      </c>
      <c r="U986" s="291">
        <v>5391.88</v>
      </c>
      <c r="V986" s="291">
        <v>5391.88</v>
      </c>
      <c r="W986" s="292">
        <v>64567.56</v>
      </c>
      <c r="X986" s="292">
        <v>64702.559999999998</v>
      </c>
      <c r="Y986" s="292">
        <v>64612.56</v>
      </c>
      <c r="Z986" s="292">
        <v>74192.31</v>
      </c>
      <c r="AA986" s="290">
        <v>75898.733129999993</v>
      </c>
      <c r="AB986" s="285">
        <v>75305.19464999999</v>
      </c>
      <c r="AC986" s="290">
        <v>5380.63</v>
      </c>
      <c r="AD986" s="192">
        <v>12</v>
      </c>
      <c r="AE986" s="290">
        <v>5391.88</v>
      </c>
      <c r="AF986" s="194">
        <v>69959.44</v>
      </c>
      <c r="AG986" s="215"/>
      <c r="AJ986" s="388">
        <f t="shared" si="74"/>
        <v>0</v>
      </c>
    </row>
    <row r="987" spans="1:36" x14ac:dyDescent="0.3">
      <c r="A987" s="192">
        <v>5831</v>
      </c>
      <c r="B987" s="192">
        <v>99</v>
      </c>
      <c r="C987" s="192">
        <v>0</v>
      </c>
      <c r="D987" s="192" t="s">
        <v>1699</v>
      </c>
      <c r="E987" s="192">
        <v>6858755</v>
      </c>
      <c r="F987" s="192" t="s">
        <v>1840</v>
      </c>
      <c r="G987" s="290">
        <v>0.62</v>
      </c>
      <c r="H987" s="192">
        <v>1551.81</v>
      </c>
      <c r="I987" s="192">
        <v>0</v>
      </c>
      <c r="J987" s="192">
        <v>0</v>
      </c>
      <c r="K987" s="192">
        <v>0</v>
      </c>
      <c r="L987" s="192">
        <v>41.62</v>
      </c>
      <c r="M987" s="192">
        <v>0</v>
      </c>
      <c r="N987" s="192">
        <v>60</v>
      </c>
      <c r="O987" s="192">
        <v>1653.43</v>
      </c>
      <c r="P987" s="192">
        <v>0</v>
      </c>
      <c r="Q987" s="192">
        <v>135.26</v>
      </c>
      <c r="R987" s="192">
        <v>0</v>
      </c>
      <c r="S987" s="285">
        <f t="shared" si="73"/>
        <v>0.62</v>
      </c>
      <c r="T987" s="192">
        <v>0</v>
      </c>
      <c r="U987" s="291">
        <v>1788.69</v>
      </c>
      <c r="V987" s="291">
        <v>1788.69</v>
      </c>
      <c r="W987" s="292">
        <v>21329.279999999999</v>
      </c>
      <c r="X987" s="292">
        <v>21464.28</v>
      </c>
      <c r="Y987" s="292">
        <v>21374.28</v>
      </c>
      <c r="Z987" s="292">
        <v>23399.919999999998</v>
      </c>
      <c r="AA987" s="290">
        <v>23938.118159999995</v>
      </c>
      <c r="AB987" s="285">
        <v>23750.918799999996</v>
      </c>
      <c r="AC987" s="290">
        <v>1777.44</v>
      </c>
      <c r="AD987" s="192">
        <v>12</v>
      </c>
      <c r="AE987" s="290">
        <v>1788.69</v>
      </c>
      <c r="AF987" s="194">
        <v>23117.969999999998</v>
      </c>
      <c r="AG987" s="215"/>
      <c r="AJ987" s="388">
        <f t="shared" si="74"/>
        <v>0</v>
      </c>
    </row>
    <row r="988" spans="1:36" x14ac:dyDescent="0.3">
      <c r="A988" s="192">
        <v>5831</v>
      </c>
      <c r="B988" s="192">
        <v>99</v>
      </c>
      <c r="C988" s="192">
        <v>0</v>
      </c>
      <c r="D988" s="192" t="s">
        <v>1699</v>
      </c>
      <c r="E988" s="192">
        <v>6858800</v>
      </c>
      <c r="F988" s="192" t="s">
        <v>2001</v>
      </c>
      <c r="G988" s="290">
        <v>0.29538999999999999</v>
      </c>
      <c r="H988" s="192">
        <v>1871.36</v>
      </c>
      <c r="I988" s="192">
        <v>0</v>
      </c>
      <c r="J988" s="192">
        <v>0</v>
      </c>
      <c r="K988" s="192">
        <v>0</v>
      </c>
      <c r="L988" s="192">
        <v>119.21</v>
      </c>
      <c r="M988" s="192">
        <v>0</v>
      </c>
      <c r="N988" s="192">
        <v>76</v>
      </c>
      <c r="O988" s="192">
        <v>2066.5700000000002</v>
      </c>
      <c r="P988" s="192">
        <v>0</v>
      </c>
      <c r="Q988" s="192">
        <v>166.24</v>
      </c>
      <c r="R988" s="192">
        <v>0</v>
      </c>
      <c r="S988" s="285">
        <f t="shared" si="73"/>
        <v>0.29538999999999999</v>
      </c>
      <c r="T988" s="192">
        <v>0</v>
      </c>
      <c r="U988" s="291">
        <v>2232.81</v>
      </c>
      <c r="V988" s="291">
        <v>2232.81</v>
      </c>
      <c r="W988" s="292">
        <v>26658.720000000001</v>
      </c>
      <c r="X988" s="292">
        <v>26793.72</v>
      </c>
      <c r="Y988" s="292">
        <v>26703.72</v>
      </c>
      <c r="Z988" s="292">
        <v>29207.84</v>
      </c>
      <c r="AA988" s="290">
        <v>29879.620319999998</v>
      </c>
      <c r="AB988" s="285">
        <v>29645.957599999998</v>
      </c>
      <c r="AC988" s="290">
        <v>2221.56</v>
      </c>
      <c r="AD988" s="192">
        <v>12</v>
      </c>
      <c r="AE988" s="290">
        <v>2232.81</v>
      </c>
      <c r="AF988" s="194">
        <v>28891.530000000002</v>
      </c>
      <c r="AG988" s="215"/>
      <c r="AJ988" s="388">
        <f t="shared" si="74"/>
        <v>0</v>
      </c>
    </row>
    <row r="989" spans="1:36" x14ac:dyDescent="0.3">
      <c r="A989" s="192">
        <v>5831</v>
      </c>
      <c r="B989" s="192">
        <v>99</v>
      </c>
      <c r="C989" s="192">
        <v>0</v>
      </c>
      <c r="D989" s="192" t="s">
        <v>1699</v>
      </c>
      <c r="E989" s="192">
        <v>6862622</v>
      </c>
      <c r="F989" s="192" t="s">
        <v>2002</v>
      </c>
      <c r="G989" s="290">
        <v>0.7</v>
      </c>
      <c r="H989" s="192">
        <v>5601.28</v>
      </c>
      <c r="I989" s="192">
        <v>228.02</v>
      </c>
      <c r="J989" s="192">
        <v>0</v>
      </c>
      <c r="K989" s="192">
        <v>0</v>
      </c>
      <c r="L989" s="192">
        <v>205.69</v>
      </c>
      <c r="M989" s="192">
        <v>0</v>
      </c>
      <c r="N989" s="192">
        <v>0</v>
      </c>
      <c r="O989" s="192">
        <v>6034.99</v>
      </c>
      <c r="P989" s="192">
        <v>0</v>
      </c>
      <c r="Q989" s="192">
        <v>463.87</v>
      </c>
      <c r="R989" s="192">
        <v>0</v>
      </c>
      <c r="S989" s="285">
        <f t="shared" si="73"/>
        <v>0.69999999999999984</v>
      </c>
      <c r="T989" s="192">
        <v>0</v>
      </c>
      <c r="U989" s="291">
        <v>6498.86</v>
      </c>
      <c r="V989" s="291">
        <v>6498.86</v>
      </c>
      <c r="W989" s="292">
        <v>-37476.600000000006</v>
      </c>
      <c r="X989" s="292">
        <v>77986.319999999992</v>
      </c>
      <c r="Y989" s="292">
        <v>39453.68</v>
      </c>
      <c r="Z989" s="292">
        <v>171520.99</v>
      </c>
      <c r="AA989" s="290">
        <v>173943.92267999999</v>
      </c>
      <c r="AB989" s="285">
        <v>14169.43</v>
      </c>
      <c r="AC989" s="290">
        <v>6499</v>
      </c>
      <c r="AD989" s="192">
        <v>12</v>
      </c>
      <c r="AE989" s="305">
        <v>120000</v>
      </c>
      <c r="AF989" s="194">
        <v>197988</v>
      </c>
      <c r="AG989" s="215"/>
      <c r="AJ989" s="388">
        <f t="shared" si="74"/>
        <v>0</v>
      </c>
    </row>
    <row r="990" spans="1:36" x14ac:dyDescent="0.3">
      <c r="A990" s="192">
        <v>5831</v>
      </c>
      <c r="B990" s="192">
        <v>99</v>
      </c>
      <c r="C990" s="192">
        <v>0</v>
      </c>
      <c r="D990" s="192" t="s">
        <v>1699</v>
      </c>
      <c r="E990" s="192">
        <v>6862821</v>
      </c>
      <c r="F990" s="192" t="s">
        <v>2003</v>
      </c>
      <c r="G990" s="290">
        <v>0.315</v>
      </c>
      <c r="H990" s="192">
        <v>1899.49</v>
      </c>
      <c r="I990" s="192">
        <v>0</v>
      </c>
      <c r="J990" s="192">
        <v>0</v>
      </c>
      <c r="K990" s="192">
        <v>0</v>
      </c>
      <c r="L990" s="192">
        <v>103.54</v>
      </c>
      <c r="M990" s="192">
        <v>0</v>
      </c>
      <c r="N990" s="192">
        <v>0</v>
      </c>
      <c r="O990" s="192">
        <v>2003.03</v>
      </c>
      <c r="P990" s="192">
        <v>0</v>
      </c>
      <c r="Q990" s="192">
        <v>0</v>
      </c>
      <c r="R990" s="192">
        <v>0</v>
      </c>
      <c r="S990" s="285">
        <f t="shared" ref="S990:S1053" si="75">G990*AD990/$AG$1</f>
        <v>0.315</v>
      </c>
      <c r="T990" s="192">
        <v>0</v>
      </c>
      <c r="U990" s="291">
        <v>2003.03</v>
      </c>
      <c r="V990" s="291">
        <v>2003.03</v>
      </c>
      <c r="W990" s="292">
        <v>24036.36</v>
      </c>
      <c r="X990" s="292">
        <v>24036.36</v>
      </c>
      <c r="Y990" s="292">
        <v>24036.36</v>
      </c>
      <c r="Z990" s="292">
        <v>26391.61</v>
      </c>
      <c r="AA990" s="290">
        <v>26998.617029999998</v>
      </c>
      <c r="AB990" s="285">
        <v>26787.484149999997</v>
      </c>
      <c r="AC990" s="290">
        <v>2003.03</v>
      </c>
      <c r="AD990" s="192">
        <v>12</v>
      </c>
      <c r="AE990" s="290">
        <v>2003.03</v>
      </c>
      <c r="AF990" s="194">
        <v>26039.39</v>
      </c>
      <c r="AG990" s="215"/>
      <c r="AJ990" s="388">
        <f t="shared" ref="AJ990:AJ1053" si="76">G990-S990</f>
        <v>0</v>
      </c>
    </row>
    <row r="991" spans="1:36" x14ac:dyDescent="0.3">
      <c r="A991" s="192">
        <v>5831</v>
      </c>
      <c r="B991" s="192">
        <v>99</v>
      </c>
      <c r="C991" s="192">
        <v>0</v>
      </c>
      <c r="D991" s="192" t="s">
        <v>1699</v>
      </c>
      <c r="E991" s="192">
        <v>6865571</v>
      </c>
      <c r="F991" s="192" t="s">
        <v>2004</v>
      </c>
      <c r="G991" s="290">
        <v>0.47599999999999998</v>
      </c>
      <c r="H991" s="192">
        <v>3294.53</v>
      </c>
      <c r="I991" s="192">
        <v>0</v>
      </c>
      <c r="J991" s="192">
        <v>0</v>
      </c>
      <c r="K991" s="192">
        <v>0</v>
      </c>
      <c r="L991" s="192">
        <v>88.84</v>
      </c>
      <c r="M991" s="192">
        <v>0</v>
      </c>
      <c r="N991" s="192">
        <v>137</v>
      </c>
      <c r="O991" s="192">
        <v>3520.37</v>
      </c>
      <c r="P991" s="192">
        <v>0</v>
      </c>
      <c r="Q991" s="192">
        <v>275.27999999999997</v>
      </c>
      <c r="R991" s="192">
        <v>0</v>
      </c>
      <c r="S991" s="285">
        <f t="shared" si="75"/>
        <v>0.47599999999999998</v>
      </c>
      <c r="T991" s="192">
        <v>0</v>
      </c>
      <c r="U991" s="291">
        <v>3795.65</v>
      </c>
      <c r="V991" s="291">
        <v>3795.65</v>
      </c>
      <c r="W991" s="292">
        <v>45412.800000000003</v>
      </c>
      <c r="X991" s="292">
        <v>45547.8</v>
      </c>
      <c r="Y991" s="292">
        <v>45457.8</v>
      </c>
      <c r="Z991" s="292">
        <v>51562.62</v>
      </c>
      <c r="AA991" s="290">
        <v>52748.560259999998</v>
      </c>
      <c r="AB991" s="285">
        <v>52336.059300000001</v>
      </c>
      <c r="AC991" s="290">
        <v>3784.4</v>
      </c>
      <c r="AD991" s="192">
        <v>12</v>
      </c>
      <c r="AE991" s="290">
        <v>3795.65</v>
      </c>
      <c r="AF991" s="194">
        <v>49208.450000000004</v>
      </c>
      <c r="AG991" s="215"/>
      <c r="AJ991" s="388">
        <f t="shared" si="76"/>
        <v>0</v>
      </c>
    </row>
    <row r="992" spans="1:36" x14ac:dyDescent="0.3">
      <c r="A992" s="192">
        <v>5831</v>
      </c>
      <c r="B992" s="192">
        <v>99</v>
      </c>
      <c r="C992" s="192">
        <v>0</v>
      </c>
      <c r="D992" s="192" t="s">
        <v>1699</v>
      </c>
      <c r="E992" s="192">
        <v>6865572</v>
      </c>
      <c r="F992" s="192" t="s">
        <v>2005</v>
      </c>
      <c r="G992" s="290">
        <v>0.7</v>
      </c>
      <c r="H992" s="192">
        <v>7656.67</v>
      </c>
      <c r="I992" s="192">
        <v>2570.75</v>
      </c>
      <c r="J992" s="192">
        <v>0</v>
      </c>
      <c r="K992" s="192">
        <v>0</v>
      </c>
      <c r="L992" s="192">
        <v>316.45999999999998</v>
      </c>
      <c r="M992" s="192">
        <v>0</v>
      </c>
      <c r="N992" s="192">
        <v>0</v>
      </c>
      <c r="O992" s="192">
        <v>10543.88</v>
      </c>
      <c r="P992" s="192">
        <v>0</v>
      </c>
      <c r="Q992" s="192">
        <v>802.04</v>
      </c>
      <c r="R992" s="192">
        <v>0</v>
      </c>
      <c r="S992" s="285">
        <f t="shared" si="75"/>
        <v>0.69999999999999984</v>
      </c>
      <c r="T992" s="192">
        <v>0</v>
      </c>
      <c r="U992" s="291">
        <v>11345.92</v>
      </c>
      <c r="V992" s="291">
        <v>11345.92</v>
      </c>
      <c r="W992" s="292">
        <v>136016.04</v>
      </c>
      <c r="X992" s="292">
        <v>136151.04000000001</v>
      </c>
      <c r="Y992" s="292">
        <v>136061.04</v>
      </c>
      <c r="Z992" s="292">
        <v>148620.18</v>
      </c>
      <c r="AA992" s="290">
        <v>152038.44413999998</v>
      </c>
      <c r="AB992" s="285">
        <v>150849.48269999996</v>
      </c>
      <c r="AC992" s="290">
        <v>11334.67</v>
      </c>
      <c r="AD992" s="192">
        <v>12</v>
      </c>
      <c r="AE992" s="290">
        <v>11345.92</v>
      </c>
      <c r="AF992" s="194">
        <v>147361.96000000002</v>
      </c>
      <c r="AG992" s="215"/>
      <c r="AJ992" s="388">
        <f t="shared" si="76"/>
        <v>0</v>
      </c>
    </row>
    <row r="993" spans="1:36" x14ac:dyDescent="0.3">
      <c r="A993" s="192">
        <v>5831</v>
      </c>
      <c r="B993" s="192">
        <v>99</v>
      </c>
      <c r="C993" s="192">
        <v>0</v>
      </c>
      <c r="D993" s="192" t="s">
        <v>1699</v>
      </c>
      <c r="E993" s="192">
        <v>6867365</v>
      </c>
      <c r="F993" s="192" t="s">
        <v>2006</v>
      </c>
      <c r="G993" s="290">
        <v>0.30449999999999999</v>
      </c>
      <c r="H993" s="192">
        <v>2356.9299999999998</v>
      </c>
      <c r="I993" s="192">
        <v>0</v>
      </c>
      <c r="J993" s="192">
        <v>0</v>
      </c>
      <c r="K993" s="192">
        <v>0</v>
      </c>
      <c r="L993" s="192">
        <v>63.67</v>
      </c>
      <c r="M993" s="192">
        <v>0</v>
      </c>
      <c r="N993" s="192">
        <v>0</v>
      </c>
      <c r="O993" s="192">
        <v>2420.6</v>
      </c>
      <c r="P993" s="192">
        <v>0</v>
      </c>
      <c r="Q993" s="192">
        <v>0</v>
      </c>
      <c r="R993" s="192">
        <v>0</v>
      </c>
      <c r="S993" s="285">
        <f t="shared" si="75"/>
        <v>0.30449999999999999</v>
      </c>
      <c r="T993" s="192">
        <v>0</v>
      </c>
      <c r="U993" s="291">
        <v>2420.6</v>
      </c>
      <c r="V993" s="291">
        <v>2420.6</v>
      </c>
      <c r="W993" s="292">
        <v>29047.199999999997</v>
      </c>
      <c r="X993" s="292">
        <v>29047.199999999997</v>
      </c>
      <c r="Y993" s="292">
        <v>29047.199999999997</v>
      </c>
      <c r="Z993" s="292">
        <v>32902.51</v>
      </c>
      <c r="AA993" s="290">
        <v>33659.267729999992</v>
      </c>
      <c r="AB993" s="285">
        <v>33396.047649999993</v>
      </c>
      <c r="AC993" s="290">
        <v>2420.6</v>
      </c>
      <c r="AD993" s="192">
        <v>12</v>
      </c>
      <c r="AE993" s="290">
        <v>2420.6</v>
      </c>
      <c r="AF993" s="194">
        <v>31467.799999999996</v>
      </c>
      <c r="AG993" s="215"/>
      <c r="AJ993" s="388">
        <f t="shared" si="76"/>
        <v>0</v>
      </c>
    </row>
    <row r="994" spans="1:36" x14ac:dyDescent="0.3">
      <c r="A994" s="192">
        <v>5831</v>
      </c>
      <c r="B994" s="192">
        <v>99</v>
      </c>
      <c r="C994" s="192">
        <v>0</v>
      </c>
      <c r="D994" s="192" t="s">
        <v>1699</v>
      </c>
      <c r="E994" s="192">
        <v>6895777</v>
      </c>
      <c r="F994" s="192" t="s">
        <v>2007</v>
      </c>
      <c r="G994" s="290">
        <v>0.318</v>
      </c>
      <c r="H994" s="192">
        <v>1881.81</v>
      </c>
      <c r="I994" s="192">
        <v>0</v>
      </c>
      <c r="J994" s="192">
        <v>0</v>
      </c>
      <c r="K994" s="192">
        <v>0</v>
      </c>
      <c r="L994" s="192">
        <v>196.77</v>
      </c>
      <c r="M994" s="192">
        <v>0</v>
      </c>
      <c r="N994" s="192">
        <v>0</v>
      </c>
      <c r="O994" s="192">
        <v>2078.58</v>
      </c>
      <c r="P994" s="192">
        <v>0</v>
      </c>
      <c r="Q994" s="192">
        <v>167.14</v>
      </c>
      <c r="R994" s="192">
        <v>0</v>
      </c>
      <c r="S994" s="285">
        <f t="shared" si="75"/>
        <v>0.318</v>
      </c>
      <c r="T994" s="192">
        <v>0</v>
      </c>
      <c r="U994" s="291">
        <v>2245.7199999999998</v>
      </c>
      <c r="V994" s="291">
        <v>2245.7199999999998</v>
      </c>
      <c r="W994" s="292">
        <v>26813.64</v>
      </c>
      <c r="X994" s="292">
        <v>26948.639999999999</v>
      </c>
      <c r="Y994" s="292">
        <v>26858.639999999999</v>
      </c>
      <c r="Z994" s="292">
        <v>29327.42</v>
      </c>
      <c r="AA994" s="290">
        <v>30001.950659999995</v>
      </c>
      <c r="AB994" s="285">
        <v>29767.331299999994</v>
      </c>
      <c r="AC994" s="290">
        <v>2234.4699999999998</v>
      </c>
      <c r="AD994" s="192">
        <v>12</v>
      </c>
      <c r="AE994" s="290">
        <v>2245.7199999999998</v>
      </c>
      <c r="AF994" s="194">
        <v>29059.360000000001</v>
      </c>
      <c r="AG994" s="215"/>
      <c r="AJ994" s="388">
        <f t="shared" si="76"/>
        <v>0</v>
      </c>
    </row>
    <row r="995" spans="1:36" x14ac:dyDescent="0.3">
      <c r="A995" s="192">
        <v>5831</v>
      </c>
      <c r="B995" s="192">
        <v>99</v>
      </c>
      <c r="C995" s="192">
        <v>0</v>
      </c>
      <c r="D995" s="192" t="s">
        <v>1699</v>
      </c>
      <c r="E995" s="192">
        <v>6907613</v>
      </c>
      <c r="F995" s="192" t="s">
        <v>2008</v>
      </c>
      <c r="G995" s="290">
        <v>0.7</v>
      </c>
      <c r="H995" s="192">
        <v>11092.71</v>
      </c>
      <c r="I995" s="192">
        <v>3722.69</v>
      </c>
      <c r="J995" s="192">
        <v>0</v>
      </c>
      <c r="K995" s="192">
        <v>0</v>
      </c>
      <c r="L995" s="192">
        <v>452.81</v>
      </c>
      <c r="M995" s="192">
        <v>0</v>
      </c>
      <c r="N995" s="192">
        <v>0</v>
      </c>
      <c r="O995" s="192">
        <v>15268.21</v>
      </c>
      <c r="P995" s="192">
        <v>0</v>
      </c>
      <c r="Q995" s="192">
        <v>0</v>
      </c>
      <c r="R995" s="192">
        <v>0</v>
      </c>
      <c r="S995" s="285">
        <f t="shared" si="75"/>
        <v>0.69999999999999984</v>
      </c>
      <c r="T995" s="192">
        <v>0</v>
      </c>
      <c r="U995" s="291">
        <v>15268.21</v>
      </c>
      <c r="V995" s="291">
        <v>15268.21</v>
      </c>
      <c r="W995" s="292">
        <v>183218.52</v>
      </c>
      <c r="X995" s="292">
        <v>183218.52</v>
      </c>
      <c r="Y995" s="292">
        <v>183218.52</v>
      </c>
      <c r="Z995" s="292">
        <v>212391.93</v>
      </c>
      <c r="AA995" s="290">
        <v>217276.94438999996</v>
      </c>
      <c r="AB995" s="285">
        <v>215577.80894999998</v>
      </c>
      <c r="AC995" s="290">
        <v>16413.330000000002</v>
      </c>
      <c r="AD995" s="192">
        <v>12</v>
      </c>
      <c r="AE995" s="290">
        <v>15268.21</v>
      </c>
      <c r="AF995" s="194">
        <v>212228.17</v>
      </c>
      <c r="AG995" s="215"/>
      <c r="AJ995" s="388">
        <f t="shared" si="76"/>
        <v>0</v>
      </c>
    </row>
    <row r="996" spans="1:36" x14ac:dyDescent="0.3">
      <c r="A996" s="192">
        <v>5831</v>
      </c>
      <c r="B996" s="192">
        <v>99</v>
      </c>
      <c r="C996" s="192">
        <v>0</v>
      </c>
      <c r="D996" s="192" t="s">
        <v>1699</v>
      </c>
      <c r="E996" s="192">
        <v>6908523</v>
      </c>
      <c r="F996" s="192" t="s">
        <v>1575</v>
      </c>
      <c r="G996" s="290">
        <v>0.29899999999999999</v>
      </c>
      <c r="H996" s="192">
        <v>1724.19</v>
      </c>
      <c r="I996" s="192">
        <v>0</v>
      </c>
      <c r="J996" s="192">
        <v>0</v>
      </c>
      <c r="K996" s="192">
        <v>0</v>
      </c>
      <c r="L996" s="192">
        <v>178.39</v>
      </c>
      <c r="M996" s="192">
        <v>0</v>
      </c>
      <c r="N996" s="192">
        <v>0</v>
      </c>
      <c r="O996" s="192">
        <v>1902.58</v>
      </c>
      <c r="P996" s="192">
        <v>0</v>
      </c>
      <c r="Q996" s="192">
        <v>153.94</v>
      </c>
      <c r="R996" s="192">
        <v>0</v>
      </c>
      <c r="S996" s="285">
        <f t="shared" si="75"/>
        <v>0.29899999999999999</v>
      </c>
      <c r="T996" s="192">
        <v>0</v>
      </c>
      <c r="U996" s="291">
        <v>2056.52</v>
      </c>
      <c r="V996" s="291">
        <v>2056.52</v>
      </c>
      <c r="W996" s="292">
        <v>24543.239999999998</v>
      </c>
      <c r="X996" s="292">
        <v>24678.239999999998</v>
      </c>
      <c r="Y996" s="292">
        <v>24588.239999999998</v>
      </c>
      <c r="Z996" s="292">
        <v>26799.57</v>
      </c>
      <c r="AA996" s="290">
        <v>27415.960109999996</v>
      </c>
      <c r="AB996" s="285">
        <v>27201.563549999995</v>
      </c>
      <c r="AC996" s="290">
        <v>2045.27</v>
      </c>
      <c r="AD996" s="192">
        <v>12</v>
      </c>
      <c r="AE996" s="290">
        <v>2056.52</v>
      </c>
      <c r="AF996" s="194">
        <v>26599.759999999998</v>
      </c>
      <c r="AG996" s="215"/>
      <c r="AJ996" s="388">
        <f t="shared" si="76"/>
        <v>0</v>
      </c>
    </row>
    <row r="997" spans="1:36" x14ac:dyDescent="0.3">
      <c r="A997" s="192">
        <v>5831</v>
      </c>
      <c r="B997" s="192">
        <v>99</v>
      </c>
      <c r="C997" s="192">
        <v>0</v>
      </c>
      <c r="D997" s="192" t="s">
        <v>1699</v>
      </c>
      <c r="E997" s="192">
        <v>6909407</v>
      </c>
      <c r="F997" s="192" t="s">
        <v>2009</v>
      </c>
      <c r="G997" s="290">
        <v>0.7</v>
      </c>
      <c r="H997" s="192">
        <v>5522.66</v>
      </c>
      <c r="I997" s="192">
        <v>219.33</v>
      </c>
      <c r="J997" s="192">
        <v>0</v>
      </c>
      <c r="K997" s="192">
        <v>0</v>
      </c>
      <c r="L997" s="192">
        <v>219.34</v>
      </c>
      <c r="M997" s="192">
        <v>0</v>
      </c>
      <c r="N997" s="192">
        <v>0</v>
      </c>
      <c r="O997" s="192">
        <v>5961.33</v>
      </c>
      <c r="P997" s="192">
        <v>0</v>
      </c>
      <c r="Q997" s="192">
        <v>458.35</v>
      </c>
      <c r="R997" s="192">
        <v>0</v>
      </c>
      <c r="S997" s="285">
        <f t="shared" si="75"/>
        <v>0.69999999999999984</v>
      </c>
      <c r="T997" s="192">
        <v>0</v>
      </c>
      <c r="U997" s="291">
        <v>6419.68</v>
      </c>
      <c r="V997" s="291">
        <v>6419.68</v>
      </c>
      <c r="W997" s="292">
        <v>76901.16</v>
      </c>
      <c r="X997" s="292">
        <v>77036.160000000003</v>
      </c>
      <c r="Y997" s="292">
        <v>76946.16</v>
      </c>
      <c r="Z997" s="292">
        <v>3931.8</v>
      </c>
      <c r="AA997" s="290">
        <v>0</v>
      </c>
      <c r="AB997" s="285">
        <v>0</v>
      </c>
      <c r="AC997" s="290">
        <v>6420</v>
      </c>
      <c r="AD997" s="192">
        <v>12</v>
      </c>
      <c r="AE997" s="305">
        <v>27000</v>
      </c>
      <c r="AF997" s="194">
        <v>104040</v>
      </c>
      <c r="AG997" s="215"/>
      <c r="AJ997" s="388">
        <f t="shared" si="76"/>
        <v>0</v>
      </c>
    </row>
    <row r="998" spans="1:36" x14ac:dyDescent="0.3">
      <c r="A998" s="192">
        <v>5831</v>
      </c>
      <c r="B998" s="192">
        <v>99</v>
      </c>
      <c r="C998" s="192">
        <v>0</v>
      </c>
      <c r="D998" s="192" t="s">
        <v>1699</v>
      </c>
      <c r="E998" s="192">
        <v>6934684</v>
      </c>
      <c r="F998" s="192" t="s">
        <v>2010</v>
      </c>
      <c r="G998" s="290">
        <v>0.3</v>
      </c>
      <c r="H998" s="192">
        <v>1744.88</v>
      </c>
      <c r="I998" s="192">
        <v>285.3</v>
      </c>
      <c r="J998" s="192">
        <v>0</v>
      </c>
      <c r="K998" s="192">
        <v>0</v>
      </c>
      <c r="L998" s="192">
        <v>141.34</v>
      </c>
      <c r="M998" s="192">
        <v>0</v>
      </c>
      <c r="N998" s="192">
        <v>0</v>
      </c>
      <c r="O998" s="192">
        <v>2171.52</v>
      </c>
      <c r="P998" s="192">
        <v>0</v>
      </c>
      <c r="Q998" s="192">
        <v>0</v>
      </c>
      <c r="R998" s="192">
        <v>0</v>
      </c>
      <c r="S998" s="285">
        <f t="shared" si="75"/>
        <v>0.3</v>
      </c>
      <c r="T998" s="192">
        <v>0</v>
      </c>
      <c r="U998" s="291">
        <v>2171.52</v>
      </c>
      <c r="V998" s="291">
        <v>2171.52</v>
      </c>
      <c r="W998" s="292">
        <v>26058.239999999998</v>
      </c>
      <c r="X998" s="292">
        <v>26058.239999999998</v>
      </c>
      <c r="Y998" s="292">
        <v>26058.239999999998</v>
      </c>
      <c r="Z998" s="292">
        <v>30024.16</v>
      </c>
      <c r="AA998" s="290">
        <v>30714.715679999998</v>
      </c>
      <c r="AB998" s="285">
        <v>30474.522399999998</v>
      </c>
      <c r="AC998" s="290">
        <v>2171.52</v>
      </c>
      <c r="AD998" s="192">
        <v>12</v>
      </c>
      <c r="AE998" s="290">
        <v>2171.52</v>
      </c>
      <c r="AF998" s="194">
        <v>28229.759999999998</v>
      </c>
      <c r="AG998" s="215"/>
      <c r="AJ998" s="388">
        <f t="shared" si="76"/>
        <v>0</v>
      </c>
    </row>
    <row r="999" spans="1:36" x14ac:dyDescent="0.3">
      <c r="A999" s="192">
        <v>5831</v>
      </c>
      <c r="B999" s="192">
        <v>99</v>
      </c>
      <c r="C999" s="192">
        <v>0</v>
      </c>
      <c r="D999" s="192" t="s">
        <v>1699</v>
      </c>
      <c r="E999" s="192">
        <v>6943153</v>
      </c>
      <c r="F999" s="192" t="s">
        <v>2011</v>
      </c>
      <c r="G999" s="290">
        <v>0.38100000000000001</v>
      </c>
      <c r="H999" s="192">
        <v>2382.75</v>
      </c>
      <c r="I999" s="192">
        <v>0</v>
      </c>
      <c r="J999" s="192">
        <v>0</v>
      </c>
      <c r="K999" s="192">
        <v>0</v>
      </c>
      <c r="L999" s="192">
        <v>186.2</v>
      </c>
      <c r="M999" s="192">
        <v>0</v>
      </c>
      <c r="N999" s="192">
        <v>0</v>
      </c>
      <c r="O999" s="192">
        <v>2568.9499999999998</v>
      </c>
      <c r="P999" s="192">
        <v>0</v>
      </c>
      <c r="Q999" s="192">
        <v>203.92</v>
      </c>
      <c r="R999" s="192">
        <v>0</v>
      </c>
      <c r="S999" s="285">
        <f t="shared" si="75"/>
        <v>0.38100000000000001</v>
      </c>
      <c r="T999" s="192">
        <v>0</v>
      </c>
      <c r="U999" s="291">
        <v>2772.87</v>
      </c>
      <c r="V999" s="291">
        <v>2772.87</v>
      </c>
      <c r="W999" s="292">
        <v>33139.440000000002</v>
      </c>
      <c r="X999" s="292">
        <v>33274.44</v>
      </c>
      <c r="Y999" s="292">
        <v>33184.44</v>
      </c>
      <c r="Z999" s="292">
        <v>36052.07</v>
      </c>
      <c r="AA999" s="290">
        <v>36881.267609999995</v>
      </c>
      <c r="AB999" s="285">
        <v>36592.851049999997</v>
      </c>
      <c r="AC999" s="290">
        <v>2761.62</v>
      </c>
      <c r="AD999" s="192">
        <v>12</v>
      </c>
      <c r="AE999" s="290">
        <v>2772.87</v>
      </c>
      <c r="AF999" s="194">
        <v>35912.310000000005</v>
      </c>
      <c r="AG999" s="215"/>
      <c r="AJ999" s="388">
        <f t="shared" si="76"/>
        <v>0</v>
      </c>
    </row>
    <row r="1000" spans="1:36" x14ac:dyDescent="0.3">
      <c r="A1000" s="192">
        <v>5831</v>
      </c>
      <c r="B1000" s="192">
        <v>99</v>
      </c>
      <c r="C1000" s="192">
        <v>0</v>
      </c>
      <c r="D1000" s="192" t="s">
        <v>1699</v>
      </c>
      <c r="E1000" s="192">
        <v>6953659</v>
      </c>
      <c r="F1000" s="192" t="s">
        <v>1961</v>
      </c>
      <c r="G1000" s="290">
        <v>0.51</v>
      </c>
      <c r="H1000" s="192">
        <v>3281.42</v>
      </c>
      <c r="I1000" s="192">
        <v>0</v>
      </c>
      <c r="J1000" s="192">
        <v>0</v>
      </c>
      <c r="K1000" s="192">
        <v>0</v>
      </c>
      <c r="L1000" s="192">
        <v>123.1</v>
      </c>
      <c r="M1000" s="192">
        <v>0</v>
      </c>
      <c r="N1000" s="192">
        <v>0</v>
      </c>
      <c r="O1000" s="192">
        <v>3404.52</v>
      </c>
      <c r="P1000" s="192">
        <v>0</v>
      </c>
      <c r="Q1000" s="192">
        <v>266.58999999999997</v>
      </c>
      <c r="R1000" s="192">
        <v>0</v>
      </c>
      <c r="S1000" s="285">
        <f t="shared" si="75"/>
        <v>0.51</v>
      </c>
      <c r="T1000" s="192">
        <v>0</v>
      </c>
      <c r="U1000" s="291">
        <v>3671.11</v>
      </c>
      <c r="V1000" s="291">
        <v>3671.11</v>
      </c>
      <c r="W1000" s="292">
        <v>43918.32</v>
      </c>
      <c r="X1000" s="292">
        <v>44053.32</v>
      </c>
      <c r="Y1000" s="292">
        <v>43963.32</v>
      </c>
      <c r="Z1000" s="292">
        <v>50931.82</v>
      </c>
      <c r="AA1000" s="290">
        <v>52103.251859999997</v>
      </c>
      <c r="AB1000" s="285">
        <v>51695.797299999998</v>
      </c>
      <c r="AC1000" s="290">
        <v>3659.86</v>
      </c>
      <c r="AD1000" s="192">
        <v>12</v>
      </c>
      <c r="AE1000" s="290">
        <v>3671.11</v>
      </c>
      <c r="AF1000" s="194">
        <v>47589.43</v>
      </c>
      <c r="AG1000" s="215"/>
      <c r="AJ1000" s="388">
        <f t="shared" si="76"/>
        <v>0</v>
      </c>
    </row>
    <row r="1001" spans="1:36" x14ac:dyDescent="0.3">
      <c r="A1001" s="192">
        <v>5831</v>
      </c>
      <c r="B1001" s="192">
        <v>99</v>
      </c>
      <c r="C1001" s="192">
        <v>0</v>
      </c>
      <c r="D1001" s="192" t="s">
        <v>1699</v>
      </c>
      <c r="E1001" s="192">
        <v>6971233</v>
      </c>
      <c r="F1001" s="192" t="s">
        <v>2012</v>
      </c>
      <c r="G1001" s="290">
        <v>0.61</v>
      </c>
      <c r="H1001" s="192">
        <v>1601.5</v>
      </c>
      <c r="I1001" s="192">
        <v>0</v>
      </c>
      <c r="J1001" s="192">
        <v>0</v>
      </c>
      <c r="K1001" s="192">
        <v>0</v>
      </c>
      <c r="L1001" s="192">
        <v>44.21</v>
      </c>
      <c r="M1001" s="192">
        <v>0</v>
      </c>
      <c r="N1001" s="192">
        <v>0</v>
      </c>
      <c r="O1001" s="192">
        <v>1645.71</v>
      </c>
      <c r="P1001" s="192">
        <v>0</v>
      </c>
      <c r="Q1001" s="192">
        <v>134.68</v>
      </c>
      <c r="R1001" s="192">
        <v>0</v>
      </c>
      <c r="S1001" s="285">
        <f t="shared" si="75"/>
        <v>0.61</v>
      </c>
      <c r="T1001" s="192">
        <v>0</v>
      </c>
      <c r="U1001" s="291">
        <v>1780.39</v>
      </c>
      <c r="V1001" s="291">
        <v>1780.39</v>
      </c>
      <c r="W1001" s="292">
        <v>21229.68</v>
      </c>
      <c r="X1001" s="292">
        <v>21364.68</v>
      </c>
      <c r="Y1001" s="292">
        <v>21274.68</v>
      </c>
      <c r="Z1001" s="292">
        <v>22692.98</v>
      </c>
      <c r="AA1001" s="290">
        <v>23214.918539999999</v>
      </c>
      <c r="AB1001" s="285">
        <v>23033.374699999997</v>
      </c>
      <c r="AC1001" s="290">
        <v>1769.14</v>
      </c>
      <c r="AD1001" s="192">
        <v>12</v>
      </c>
      <c r="AE1001" s="290">
        <v>1780.39</v>
      </c>
      <c r="AF1001" s="194">
        <v>23010.07</v>
      </c>
      <c r="AG1001" s="215"/>
      <c r="AJ1001" s="388">
        <f t="shared" si="76"/>
        <v>0</v>
      </c>
    </row>
    <row r="1002" spans="1:36" x14ac:dyDescent="0.3">
      <c r="A1002" s="192">
        <v>5831</v>
      </c>
      <c r="B1002" s="192">
        <v>99</v>
      </c>
      <c r="C1002" s="192">
        <v>0</v>
      </c>
      <c r="D1002" s="192" t="s">
        <v>1699</v>
      </c>
      <c r="E1002" s="192">
        <v>6981880</v>
      </c>
      <c r="F1002" s="192" t="s">
        <v>2013</v>
      </c>
      <c r="G1002" s="290">
        <v>0.61</v>
      </c>
      <c r="H1002" s="192">
        <v>859.27</v>
      </c>
      <c r="I1002" s="192">
        <v>0</v>
      </c>
      <c r="J1002" s="192">
        <v>0</v>
      </c>
      <c r="K1002" s="192">
        <v>0</v>
      </c>
      <c r="L1002" s="192">
        <v>19.09</v>
      </c>
      <c r="M1002" s="192">
        <v>0</v>
      </c>
      <c r="N1002" s="192">
        <v>0</v>
      </c>
      <c r="O1002" s="192">
        <v>878.36</v>
      </c>
      <c r="P1002" s="192">
        <v>0</v>
      </c>
      <c r="Q1002" s="192">
        <v>0</v>
      </c>
      <c r="R1002" s="192">
        <v>0</v>
      </c>
      <c r="S1002" s="285">
        <f t="shared" si="75"/>
        <v>0.61</v>
      </c>
      <c r="T1002" s="192">
        <v>0</v>
      </c>
      <c r="U1002" s="291">
        <v>878.36</v>
      </c>
      <c r="V1002" s="291">
        <v>878.36</v>
      </c>
      <c r="W1002" s="292">
        <v>10540.32</v>
      </c>
      <c r="X1002" s="292">
        <v>10540.32</v>
      </c>
      <c r="Y1002" s="292">
        <v>10540.32</v>
      </c>
      <c r="Z1002" s="292">
        <v>12613.35</v>
      </c>
      <c r="AA1002" s="290">
        <v>12903.457049999999</v>
      </c>
      <c r="AB1002" s="285">
        <v>12802.550249999998</v>
      </c>
      <c r="AC1002" s="290">
        <v>944.24</v>
      </c>
      <c r="AD1002" s="192">
        <v>12</v>
      </c>
      <c r="AE1002" s="290">
        <v>878.36</v>
      </c>
      <c r="AF1002" s="194">
        <v>12209.240000000002</v>
      </c>
      <c r="AG1002" s="215"/>
      <c r="AJ1002" s="388">
        <f t="shared" si="76"/>
        <v>0</v>
      </c>
    </row>
    <row r="1003" spans="1:36" x14ac:dyDescent="0.3">
      <c r="A1003" s="192">
        <v>5831</v>
      </c>
      <c r="B1003" s="192">
        <v>99</v>
      </c>
      <c r="C1003" s="192">
        <v>0</v>
      </c>
      <c r="D1003" s="192" t="s">
        <v>1699</v>
      </c>
      <c r="E1003" s="192">
        <v>6981880</v>
      </c>
      <c r="F1003" s="192" t="s">
        <v>2013</v>
      </c>
      <c r="G1003" s="290">
        <v>0</v>
      </c>
      <c r="H1003" s="192">
        <v>0</v>
      </c>
      <c r="I1003" s="192">
        <v>0</v>
      </c>
      <c r="J1003" s="192">
        <v>0</v>
      </c>
      <c r="K1003" s="192">
        <v>0</v>
      </c>
      <c r="L1003" s="192">
        <v>0</v>
      </c>
      <c r="M1003" s="192">
        <v>0</v>
      </c>
      <c r="N1003" s="192">
        <v>0</v>
      </c>
      <c r="O1003" s="192">
        <v>0</v>
      </c>
      <c r="P1003" s="192">
        <v>0</v>
      </c>
      <c r="Q1003" s="192">
        <v>77.13</v>
      </c>
      <c r="R1003" s="192">
        <v>0</v>
      </c>
      <c r="S1003" s="285">
        <f t="shared" si="75"/>
        <v>0</v>
      </c>
      <c r="T1003" s="192">
        <v>0</v>
      </c>
      <c r="U1003" s="291">
        <v>77.13</v>
      </c>
      <c r="V1003" s="291">
        <v>77.13</v>
      </c>
      <c r="W1003" s="292">
        <v>10540.32</v>
      </c>
      <c r="X1003" s="292">
        <v>925.56</v>
      </c>
      <c r="Y1003" s="292">
        <v>10540.32</v>
      </c>
      <c r="Z1003" s="292">
        <v>12613.35</v>
      </c>
      <c r="AA1003" s="290">
        <v>12903.457049999999</v>
      </c>
      <c r="AB1003" s="285">
        <v>12802.550249999998</v>
      </c>
      <c r="AC1003" s="290">
        <v>944.24</v>
      </c>
      <c r="AD1003" s="192">
        <v>12</v>
      </c>
      <c r="AE1003" s="290">
        <v>77.13</v>
      </c>
      <c r="AF1003" s="194">
        <v>11408.01</v>
      </c>
      <c r="AG1003" s="215"/>
      <c r="AJ1003" s="388">
        <f t="shared" si="76"/>
        <v>0</v>
      </c>
    </row>
    <row r="1004" spans="1:36" x14ac:dyDescent="0.3">
      <c r="A1004" s="192">
        <v>5831</v>
      </c>
      <c r="B1004" s="192">
        <v>99</v>
      </c>
      <c r="C1004" s="192">
        <v>0</v>
      </c>
      <c r="D1004" s="192" t="s">
        <v>1699</v>
      </c>
      <c r="E1004" s="192">
        <v>6990130</v>
      </c>
      <c r="F1004" s="192" t="s">
        <v>2014</v>
      </c>
      <c r="G1004" s="290">
        <v>0.42</v>
      </c>
      <c r="H1004" s="192">
        <v>3021.11</v>
      </c>
      <c r="I1004" s="192">
        <v>177.8</v>
      </c>
      <c r="J1004" s="192">
        <v>0</v>
      </c>
      <c r="K1004" s="192">
        <v>0</v>
      </c>
      <c r="L1004" s="192">
        <v>122.2</v>
      </c>
      <c r="M1004" s="192">
        <v>0</v>
      </c>
      <c r="N1004" s="192">
        <v>0</v>
      </c>
      <c r="O1004" s="192">
        <v>3321.11</v>
      </c>
      <c r="P1004" s="192">
        <v>0</v>
      </c>
      <c r="Q1004" s="192">
        <v>0</v>
      </c>
      <c r="R1004" s="192">
        <v>0</v>
      </c>
      <c r="S1004" s="285">
        <f t="shared" si="75"/>
        <v>0.42</v>
      </c>
      <c r="T1004" s="192">
        <v>0</v>
      </c>
      <c r="U1004" s="291">
        <v>3321.11</v>
      </c>
      <c r="V1004" s="291">
        <v>3321.11</v>
      </c>
      <c r="W1004" s="292">
        <v>0</v>
      </c>
      <c r="X1004" s="292">
        <v>39853.32</v>
      </c>
      <c r="Y1004" s="292">
        <v>13284.439999999999</v>
      </c>
      <c r="Z1004" s="292">
        <v>0</v>
      </c>
      <c r="AA1004" s="290">
        <v>0</v>
      </c>
      <c r="AB1004" s="285"/>
      <c r="AC1004" s="290">
        <v>3321.11</v>
      </c>
      <c r="AD1004" s="192">
        <v>12</v>
      </c>
      <c r="AE1004" s="290">
        <v>3321.11</v>
      </c>
      <c r="AF1004" s="194">
        <v>43174.43</v>
      </c>
      <c r="AG1004" s="215"/>
      <c r="AJ1004" s="388">
        <f t="shared" si="76"/>
        <v>0</v>
      </c>
    </row>
    <row r="1005" spans="1:36" x14ac:dyDescent="0.3">
      <c r="A1005" s="192">
        <v>5831</v>
      </c>
      <c r="B1005" s="192">
        <v>99</v>
      </c>
      <c r="C1005" s="192">
        <v>0</v>
      </c>
      <c r="D1005" s="192" t="s">
        <v>1699</v>
      </c>
      <c r="E1005" s="192">
        <v>6994008</v>
      </c>
      <c r="F1005" s="192" t="s">
        <v>2015</v>
      </c>
      <c r="G1005" s="290">
        <v>0.72</v>
      </c>
      <c r="H1005" s="192">
        <v>2866.92</v>
      </c>
      <c r="I1005" s="192">
        <v>0</v>
      </c>
      <c r="J1005" s="192">
        <v>0</v>
      </c>
      <c r="K1005" s="192">
        <v>0</v>
      </c>
      <c r="L1005" s="192">
        <v>0</v>
      </c>
      <c r="M1005" s="192">
        <v>0</v>
      </c>
      <c r="N1005" s="192">
        <v>0</v>
      </c>
      <c r="O1005" s="192">
        <v>2866.92</v>
      </c>
      <c r="P1005" s="192">
        <v>0</v>
      </c>
      <c r="Q1005" s="192">
        <v>0</v>
      </c>
      <c r="R1005" s="192">
        <v>0</v>
      </c>
      <c r="S1005" s="285">
        <f t="shared" si="75"/>
        <v>0.72000000000000008</v>
      </c>
      <c r="T1005" s="192">
        <v>0</v>
      </c>
      <c r="U1005" s="291">
        <v>2866.92</v>
      </c>
      <c r="V1005" s="291">
        <v>2866.92</v>
      </c>
      <c r="W1005" s="292">
        <v>34403.040000000001</v>
      </c>
      <c r="X1005" s="292">
        <v>34403.040000000001</v>
      </c>
      <c r="Y1005" s="292">
        <v>34403.040000000001</v>
      </c>
      <c r="Z1005" s="292">
        <v>371080.7</v>
      </c>
      <c r="AA1005" s="290">
        <v>379615.55609999993</v>
      </c>
      <c r="AB1005" s="285">
        <v>376646.91049999994</v>
      </c>
      <c r="AC1005" s="290">
        <v>2867</v>
      </c>
      <c r="AD1005" s="192">
        <v>12</v>
      </c>
      <c r="AE1005" s="305">
        <v>28000</v>
      </c>
      <c r="AF1005" s="194">
        <v>62404</v>
      </c>
      <c r="AG1005" s="215"/>
      <c r="AJ1005" s="388">
        <f t="shared" si="76"/>
        <v>0</v>
      </c>
    </row>
    <row r="1006" spans="1:36" x14ac:dyDescent="0.3">
      <c r="A1006" s="192">
        <v>5831</v>
      </c>
      <c r="B1006" s="192">
        <v>99</v>
      </c>
      <c r="C1006" s="192">
        <v>0</v>
      </c>
      <c r="D1006" s="192" t="s">
        <v>1699</v>
      </c>
      <c r="E1006" s="192">
        <v>7104534</v>
      </c>
      <c r="F1006" s="192" t="s">
        <v>2016</v>
      </c>
      <c r="G1006" s="290">
        <v>0.7</v>
      </c>
      <c r="H1006" s="192">
        <v>7446.97</v>
      </c>
      <c r="I1006" s="192">
        <v>2209.9</v>
      </c>
      <c r="J1006" s="192">
        <v>0</v>
      </c>
      <c r="K1006" s="192">
        <v>0</v>
      </c>
      <c r="L1006" s="192">
        <v>296.67</v>
      </c>
      <c r="M1006" s="192">
        <v>0</v>
      </c>
      <c r="N1006" s="192">
        <v>0</v>
      </c>
      <c r="O1006" s="192">
        <v>9953.5400000000009</v>
      </c>
      <c r="P1006" s="192">
        <v>0</v>
      </c>
      <c r="Q1006" s="192">
        <v>757.77</v>
      </c>
      <c r="R1006" s="192">
        <v>0</v>
      </c>
      <c r="S1006" s="285">
        <f t="shared" si="75"/>
        <v>0.69999999999999984</v>
      </c>
      <c r="T1006" s="192">
        <v>0</v>
      </c>
      <c r="U1006" s="291">
        <v>10711.31</v>
      </c>
      <c r="V1006" s="291">
        <v>10711.31</v>
      </c>
      <c r="W1006" s="292">
        <v>128400.72</v>
      </c>
      <c r="X1006" s="292">
        <v>128535.72</v>
      </c>
      <c r="Y1006" s="292">
        <v>128445.72</v>
      </c>
      <c r="Z1006" s="292">
        <v>140648.38</v>
      </c>
      <c r="AA1006" s="290">
        <v>143883.29274</v>
      </c>
      <c r="AB1006" s="285">
        <v>142758.10569999999</v>
      </c>
      <c r="AC1006" s="290">
        <v>10700.06</v>
      </c>
      <c r="AD1006" s="192">
        <v>12</v>
      </c>
      <c r="AE1006" s="290">
        <v>10711.31</v>
      </c>
      <c r="AF1006" s="194">
        <v>139112.03</v>
      </c>
      <c r="AG1006" s="215"/>
      <c r="AJ1006" s="388">
        <f t="shared" si="76"/>
        <v>0</v>
      </c>
    </row>
    <row r="1007" spans="1:36" x14ac:dyDescent="0.3">
      <c r="A1007" s="192">
        <v>5831</v>
      </c>
      <c r="B1007" s="192">
        <v>99</v>
      </c>
      <c r="C1007" s="192">
        <v>0</v>
      </c>
      <c r="D1007" s="192" t="s">
        <v>1699</v>
      </c>
      <c r="E1007" s="192">
        <v>7143643</v>
      </c>
      <c r="F1007" s="192" t="s">
        <v>2017</v>
      </c>
      <c r="G1007" s="290">
        <v>0.7</v>
      </c>
      <c r="H1007" s="192">
        <v>4656.92</v>
      </c>
      <c r="I1007" s="192">
        <v>0</v>
      </c>
      <c r="J1007" s="192">
        <v>0</v>
      </c>
      <c r="K1007" s="192">
        <v>0</v>
      </c>
      <c r="L1007" s="192">
        <v>177.17</v>
      </c>
      <c r="M1007" s="192">
        <v>0</v>
      </c>
      <c r="N1007" s="192">
        <v>0</v>
      </c>
      <c r="O1007" s="192">
        <v>4834.09</v>
      </c>
      <c r="P1007" s="192">
        <v>0</v>
      </c>
      <c r="Q1007" s="192">
        <v>373.81</v>
      </c>
      <c r="R1007" s="192">
        <v>0</v>
      </c>
      <c r="S1007" s="285">
        <f t="shared" si="75"/>
        <v>0.69999999999999984</v>
      </c>
      <c r="T1007" s="192">
        <v>0</v>
      </c>
      <c r="U1007" s="291">
        <v>5207.8999999999996</v>
      </c>
      <c r="V1007" s="291">
        <v>5207.8999999999996</v>
      </c>
      <c r="W1007" s="292">
        <v>62359.799999999996</v>
      </c>
      <c r="X1007" s="292">
        <v>62494.799999999996</v>
      </c>
      <c r="Y1007" s="292">
        <v>62404.800000000003</v>
      </c>
      <c r="Z1007" s="292">
        <v>71757.3</v>
      </c>
      <c r="AA1007" s="290">
        <v>73407.717900000003</v>
      </c>
      <c r="AB1007" s="285">
        <v>72833.659499999994</v>
      </c>
      <c r="AC1007" s="290">
        <v>5196.6499999999996</v>
      </c>
      <c r="AD1007" s="192">
        <v>12</v>
      </c>
      <c r="AE1007" s="290">
        <v>5207.8999999999996</v>
      </c>
      <c r="AF1007" s="194">
        <v>67567.7</v>
      </c>
      <c r="AG1007" s="215"/>
      <c r="AJ1007" s="388">
        <f t="shared" si="76"/>
        <v>0</v>
      </c>
    </row>
    <row r="1008" spans="1:36" x14ac:dyDescent="0.3">
      <c r="A1008" s="192">
        <v>5831</v>
      </c>
      <c r="B1008" s="192">
        <v>99</v>
      </c>
      <c r="C1008" s="192">
        <v>0</v>
      </c>
      <c r="D1008" s="192" t="s">
        <v>1699</v>
      </c>
      <c r="E1008" s="192">
        <v>7155434</v>
      </c>
      <c r="F1008" s="192" t="s">
        <v>2018</v>
      </c>
      <c r="G1008" s="290">
        <v>0.54085000000000005</v>
      </c>
      <c r="H1008" s="192">
        <v>4020.77</v>
      </c>
      <c r="I1008" s="192">
        <v>0</v>
      </c>
      <c r="J1008" s="192">
        <v>0</v>
      </c>
      <c r="K1008" s="192">
        <v>0</v>
      </c>
      <c r="L1008" s="192">
        <v>114.43</v>
      </c>
      <c r="M1008" s="192">
        <v>0</v>
      </c>
      <c r="N1008" s="192">
        <v>155</v>
      </c>
      <c r="O1008" s="192">
        <v>4290.2</v>
      </c>
      <c r="P1008" s="192">
        <v>0</v>
      </c>
      <c r="Q1008" s="192">
        <v>333.02</v>
      </c>
      <c r="R1008" s="192">
        <v>0</v>
      </c>
      <c r="S1008" s="285">
        <f t="shared" si="75"/>
        <v>0.54085000000000005</v>
      </c>
      <c r="T1008" s="192">
        <v>0</v>
      </c>
      <c r="U1008" s="291">
        <v>4623.22</v>
      </c>
      <c r="V1008" s="291">
        <v>4623.22</v>
      </c>
      <c r="W1008" s="292">
        <v>55343.64</v>
      </c>
      <c r="X1008" s="292">
        <v>55478.64</v>
      </c>
      <c r="Y1008" s="292">
        <v>55388.639999999999</v>
      </c>
      <c r="Z1008" s="292">
        <v>62516.06</v>
      </c>
      <c r="AA1008" s="290">
        <v>63953.929380000001</v>
      </c>
      <c r="AB1008" s="285">
        <v>63453.800900000002</v>
      </c>
      <c r="AC1008" s="290">
        <v>4611.97</v>
      </c>
      <c r="AD1008" s="192">
        <v>12</v>
      </c>
      <c r="AE1008" s="290">
        <v>4623.22</v>
      </c>
      <c r="AF1008" s="194">
        <v>59966.86</v>
      </c>
      <c r="AG1008" s="215"/>
      <c r="AJ1008" s="388">
        <f t="shared" si="76"/>
        <v>0</v>
      </c>
    </row>
    <row r="1009" spans="1:36" x14ac:dyDescent="0.3">
      <c r="A1009" s="192">
        <v>5831</v>
      </c>
      <c r="B1009" s="192">
        <v>99</v>
      </c>
      <c r="C1009" s="192">
        <v>0</v>
      </c>
      <c r="D1009" s="192" t="s">
        <v>1699</v>
      </c>
      <c r="E1009" s="192">
        <v>7170816</v>
      </c>
      <c r="F1009" s="192" t="s">
        <v>2019</v>
      </c>
      <c r="G1009" s="290">
        <v>0.68</v>
      </c>
      <c r="H1009" s="192">
        <v>6279.72</v>
      </c>
      <c r="I1009" s="192">
        <v>1815.5</v>
      </c>
      <c r="J1009" s="192">
        <v>0</v>
      </c>
      <c r="K1009" s="192">
        <v>0</v>
      </c>
      <c r="L1009" s="192">
        <v>248.34</v>
      </c>
      <c r="M1009" s="192">
        <v>0</v>
      </c>
      <c r="N1009" s="192">
        <v>0</v>
      </c>
      <c r="O1009" s="192">
        <v>8343.56</v>
      </c>
      <c r="P1009" s="192">
        <v>0</v>
      </c>
      <c r="Q1009" s="192">
        <v>637.02</v>
      </c>
      <c r="R1009" s="192">
        <v>0</v>
      </c>
      <c r="S1009" s="285">
        <f t="shared" si="75"/>
        <v>0.68</v>
      </c>
      <c r="T1009" s="192">
        <v>0</v>
      </c>
      <c r="U1009" s="291">
        <v>8980.58</v>
      </c>
      <c r="V1009" s="291">
        <v>8980.58</v>
      </c>
      <c r="W1009" s="292">
        <v>107631.95999999999</v>
      </c>
      <c r="X1009" s="292">
        <v>107766.95999999999</v>
      </c>
      <c r="Y1009" s="292">
        <v>107676.95999999999</v>
      </c>
      <c r="Z1009" s="292">
        <v>118780.2</v>
      </c>
      <c r="AA1009" s="290">
        <v>121512.14459999999</v>
      </c>
      <c r="AB1009" s="285">
        <v>120561.90299999999</v>
      </c>
      <c r="AC1009" s="290">
        <v>8969.33</v>
      </c>
      <c r="AD1009" s="192">
        <v>12</v>
      </c>
      <c r="AE1009" s="290">
        <v>8980.58</v>
      </c>
      <c r="AF1009" s="194">
        <v>116612.54</v>
      </c>
      <c r="AG1009" s="215"/>
      <c r="AJ1009" s="388">
        <f t="shared" si="76"/>
        <v>0</v>
      </c>
    </row>
    <row r="1010" spans="1:36" x14ac:dyDescent="0.3">
      <c r="A1010" s="192">
        <v>5831</v>
      </c>
      <c r="B1010" s="192">
        <v>99</v>
      </c>
      <c r="C1010" s="192">
        <v>0</v>
      </c>
      <c r="D1010" s="192" t="s">
        <v>1699</v>
      </c>
      <c r="E1010" s="192">
        <v>7183084</v>
      </c>
      <c r="F1010" s="192" t="s">
        <v>2020</v>
      </c>
      <c r="G1010" s="290">
        <v>0.61</v>
      </c>
      <c r="H1010" s="192">
        <v>1600.7</v>
      </c>
      <c r="I1010" s="192">
        <v>0</v>
      </c>
      <c r="J1010" s="192">
        <v>0</v>
      </c>
      <c r="K1010" s="192">
        <v>0</v>
      </c>
      <c r="L1010" s="192">
        <v>165.53</v>
      </c>
      <c r="M1010" s="192">
        <v>0</v>
      </c>
      <c r="N1010" s="192">
        <v>0</v>
      </c>
      <c r="O1010" s="192">
        <v>1766.23</v>
      </c>
      <c r="P1010" s="192">
        <v>0</v>
      </c>
      <c r="Q1010" s="192">
        <v>143.72</v>
      </c>
      <c r="R1010" s="192">
        <v>0</v>
      </c>
      <c r="S1010" s="285">
        <f t="shared" si="75"/>
        <v>0.61</v>
      </c>
      <c r="T1010" s="192">
        <v>0</v>
      </c>
      <c r="U1010" s="291">
        <v>1909.95</v>
      </c>
      <c r="V1010" s="291">
        <v>1909.95</v>
      </c>
      <c r="W1010" s="292">
        <v>22784.400000000001</v>
      </c>
      <c r="X1010" s="292">
        <v>22919.4</v>
      </c>
      <c r="Y1010" s="292">
        <v>22829.4</v>
      </c>
      <c r="Z1010" s="292">
        <v>24916.14</v>
      </c>
      <c r="AA1010" s="290">
        <v>25489.211219999997</v>
      </c>
      <c r="AB1010" s="285">
        <v>25289.882099999995</v>
      </c>
      <c r="AC1010" s="290">
        <v>1898.7</v>
      </c>
      <c r="AD1010" s="192">
        <v>12</v>
      </c>
      <c r="AE1010" s="290">
        <v>1909.95</v>
      </c>
      <c r="AF1010" s="194">
        <v>24694.350000000002</v>
      </c>
      <c r="AG1010" s="215"/>
      <c r="AJ1010" s="388">
        <f t="shared" si="76"/>
        <v>0</v>
      </c>
    </row>
    <row r="1011" spans="1:36" x14ac:dyDescent="0.3">
      <c r="A1011" s="192">
        <v>5831</v>
      </c>
      <c r="B1011" s="192">
        <v>99</v>
      </c>
      <c r="C1011" s="192">
        <v>0</v>
      </c>
      <c r="D1011" s="192" t="s">
        <v>1699</v>
      </c>
      <c r="E1011" s="192">
        <v>7183734</v>
      </c>
      <c r="F1011" s="192" t="s">
        <v>2021</v>
      </c>
      <c r="G1011" s="290">
        <v>0.36</v>
      </c>
      <c r="H1011" s="192">
        <v>2136.31</v>
      </c>
      <c r="I1011" s="192">
        <v>0</v>
      </c>
      <c r="J1011" s="192">
        <v>0</v>
      </c>
      <c r="K1011" s="192">
        <v>0</v>
      </c>
      <c r="L1011" s="192">
        <v>80.36</v>
      </c>
      <c r="M1011" s="192">
        <v>0</v>
      </c>
      <c r="N1011" s="192">
        <v>0</v>
      </c>
      <c r="O1011" s="192">
        <v>2216.67</v>
      </c>
      <c r="P1011" s="192">
        <v>0</v>
      </c>
      <c r="Q1011" s="192">
        <v>177.5</v>
      </c>
      <c r="R1011" s="192">
        <v>0</v>
      </c>
      <c r="S1011" s="285">
        <f t="shared" si="75"/>
        <v>0.36000000000000004</v>
      </c>
      <c r="T1011" s="192">
        <v>0</v>
      </c>
      <c r="U1011" s="291">
        <v>2394.17</v>
      </c>
      <c r="V1011" s="291">
        <v>2394.17</v>
      </c>
      <c r="W1011" s="292">
        <v>28595.040000000001</v>
      </c>
      <c r="X1011" s="292">
        <v>28730.04</v>
      </c>
      <c r="Y1011" s="292">
        <v>28640.04</v>
      </c>
      <c r="Z1011" s="292">
        <v>31684.79</v>
      </c>
      <c r="AA1011" s="290">
        <v>32413.540169999997</v>
      </c>
      <c r="AB1011" s="285">
        <v>32160.061849999998</v>
      </c>
      <c r="AC1011" s="290">
        <v>2382.92</v>
      </c>
      <c r="AD1011" s="192">
        <v>12</v>
      </c>
      <c r="AE1011" s="290">
        <v>2394.17</v>
      </c>
      <c r="AF1011" s="194">
        <v>30989.21</v>
      </c>
      <c r="AG1011" s="215"/>
      <c r="AJ1011" s="388">
        <f t="shared" si="76"/>
        <v>0</v>
      </c>
    </row>
    <row r="1012" spans="1:36" x14ac:dyDescent="0.3">
      <c r="A1012" s="192">
        <v>5831</v>
      </c>
      <c r="B1012" s="192">
        <v>99</v>
      </c>
      <c r="C1012" s="192">
        <v>0</v>
      </c>
      <c r="D1012" s="192" t="s">
        <v>1699</v>
      </c>
      <c r="E1012" s="192">
        <v>7185006</v>
      </c>
      <c r="F1012" s="192" t="s">
        <v>2022</v>
      </c>
      <c r="G1012" s="290">
        <v>0.625</v>
      </c>
      <c r="H1012" s="192">
        <v>1351.82</v>
      </c>
      <c r="I1012" s="192">
        <v>0</v>
      </c>
      <c r="J1012" s="192">
        <v>0</v>
      </c>
      <c r="K1012" s="192">
        <v>0</v>
      </c>
      <c r="L1012" s="192">
        <v>36.01</v>
      </c>
      <c r="M1012" s="192">
        <v>0</v>
      </c>
      <c r="N1012" s="192">
        <v>0</v>
      </c>
      <c r="O1012" s="192">
        <v>1387.83</v>
      </c>
      <c r="P1012" s="192">
        <v>0</v>
      </c>
      <c r="Q1012" s="192">
        <v>0</v>
      </c>
      <c r="R1012" s="192">
        <v>0</v>
      </c>
      <c r="S1012" s="285">
        <f t="shared" si="75"/>
        <v>0.625</v>
      </c>
      <c r="T1012" s="192">
        <v>0</v>
      </c>
      <c r="U1012" s="291">
        <v>1387.83</v>
      </c>
      <c r="V1012" s="291">
        <v>1387.83</v>
      </c>
      <c r="W1012" s="292">
        <v>16653.96</v>
      </c>
      <c r="X1012" s="292">
        <v>16653.96</v>
      </c>
      <c r="Y1012" s="292">
        <v>16653.96</v>
      </c>
      <c r="Z1012" s="292">
        <v>48789.83</v>
      </c>
      <c r="AA1012" s="290">
        <v>49911.996090000001</v>
      </c>
      <c r="AB1012" s="285">
        <v>49521.677449999996</v>
      </c>
      <c r="AC1012" s="290">
        <v>3702.97</v>
      </c>
      <c r="AD1012" s="192">
        <v>12</v>
      </c>
      <c r="AE1012" s="290">
        <v>1387.83</v>
      </c>
      <c r="AF1012" s="194">
        <v>45823.47</v>
      </c>
      <c r="AG1012" s="215"/>
      <c r="AJ1012" s="388">
        <f t="shared" si="76"/>
        <v>0</v>
      </c>
    </row>
    <row r="1013" spans="1:36" x14ac:dyDescent="0.3">
      <c r="A1013" s="192">
        <v>5831</v>
      </c>
      <c r="B1013" s="192">
        <v>99</v>
      </c>
      <c r="C1013" s="192">
        <v>0</v>
      </c>
      <c r="D1013" s="192" t="s">
        <v>1699</v>
      </c>
      <c r="E1013" s="192">
        <v>7186414</v>
      </c>
      <c r="F1013" s="192" t="s">
        <v>1304</v>
      </c>
      <c r="G1013" s="290">
        <v>0.33839999999999998</v>
      </c>
      <c r="H1013" s="192">
        <v>1943.73</v>
      </c>
      <c r="I1013" s="192">
        <v>0</v>
      </c>
      <c r="J1013" s="192">
        <v>0</v>
      </c>
      <c r="K1013" s="192">
        <v>0</v>
      </c>
      <c r="L1013" s="192">
        <v>72.91</v>
      </c>
      <c r="M1013" s="192">
        <v>0</v>
      </c>
      <c r="N1013" s="192">
        <v>0</v>
      </c>
      <c r="O1013" s="192">
        <v>2016.64</v>
      </c>
      <c r="P1013" s="192">
        <v>0</v>
      </c>
      <c r="Q1013" s="192">
        <v>162.5</v>
      </c>
      <c r="R1013" s="192">
        <v>0</v>
      </c>
      <c r="S1013" s="285">
        <f t="shared" si="75"/>
        <v>0.33839999999999998</v>
      </c>
      <c r="T1013" s="192">
        <v>0</v>
      </c>
      <c r="U1013" s="291">
        <v>2179.14</v>
      </c>
      <c r="V1013" s="291">
        <v>2179.14</v>
      </c>
      <c r="W1013" s="292">
        <v>26014.68</v>
      </c>
      <c r="X1013" s="292">
        <v>26149.68</v>
      </c>
      <c r="Y1013" s="292">
        <v>26059.68</v>
      </c>
      <c r="Z1013" s="292">
        <v>29203.69</v>
      </c>
      <c r="AA1013" s="290">
        <v>29875.374869999996</v>
      </c>
      <c r="AB1013" s="285">
        <v>29641.745349999997</v>
      </c>
      <c r="AC1013" s="290">
        <v>2167.89</v>
      </c>
      <c r="AD1013" s="192">
        <v>12</v>
      </c>
      <c r="AE1013" s="290">
        <v>2179.14</v>
      </c>
      <c r="AF1013" s="194">
        <v>28193.82</v>
      </c>
      <c r="AG1013" s="215"/>
      <c r="AJ1013" s="388">
        <f t="shared" si="76"/>
        <v>0</v>
      </c>
    </row>
    <row r="1014" spans="1:36" x14ac:dyDescent="0.3">
      <c r="A1014" s="192">
        <v>5831</v>
      </c>
      <c r="B1014" s="192">
        <v>99</v>
      </c>
      <c r="C1014" s="192">
        <v>0</v>
      </c>
      <c r="D1014" s="192" t="s">
        <v>1699</v>
      </c>
      <c r="E1014" s="192">
        <v>7210893</v>
      </c>
      <c r="F1014" s="192" t="s">
        <v>2023</v>
      </c>
      <c r="G1014" s="290">
        <v>0.66</v>
      </c>
      <c r="H1014" s="192">
        <v>5549.89</v>
      </c>
      <c r="I1014" s="192">
        <v>0</v>
      </c>
      <c r="J1014" s="192">
        <v>0</v>
      </c>
      <c r="K1014" s="192">
        <v>0</v>
      </c>
      <c r="L1014" s="192">
        <v>279.2</v>
      </c>
      <c r="M1014" s="192">
        <v>0</v>
      </c>
      <c r="N1014" s="192">
        <v>0</v>
      </c>
      <c r="O1014" s="192">
        <v>5829.09</v>
      </c>
      <c r="P1014" s="192">
        <v>0</v>
      </c>
      <c r="Q1014" s="192">
        <v>448.43</v>
      </c>
      <c r="R1014" s="192">
        <v>0</v>
      </c>
      <c r="S1014" s="285">
        <f t="shared" si="75"/>
        <v>0.66</v>
      </c>
      <c r="T1014" s="192">
        <v>0</v>
      </c>
      <c r="U1014" s="291">
        <v>6277.52</v>
      </c>
      <c r="V1014" s="291">
        <v>6277.52</v>
      </c>
      <c r="W1014" s="292">
        <v>75195.240000000005</v>
      </c>
      <c r="X1014" s="292">
        <v>75330.240000000005</v>
      </c>
      <c r="Y1014" s="292">
        <v>75240.240000000005</v>
      </c>
      <c r="Z1014" s="292">
        <v>80632.38</v>
      </c>
      <c r="AA1014" s="290">
        <v>82486.924740000002</v>
      </c>
      <c r="AB1014" s="285">
        <v>81841.865699999995</v>
      </c>
      <c r="AC1014" s="290">
        <v>6266.27</v>
      </c>
      <c r="AD1014" s="192">
        <v>12</v>
      </c>
      <c r="AE1014" s="290">
        <v>6277.52</v>
      </c>
      <c r="AF1014" s="194">
        <v>81472.760000000009</v>
      </c>
      <c r="AG1014" s="215"/>
      <c r="AJ1014" s="388">
        <f t="shared" si="76"/>
        <v>0</v>
      </c>
    </row>
    <row r="1015" spans="1:36" x14ac:dyDescent="0.3">
      <c r="A1015" s="192">
        <v>5831</v>
      </c>
      <c r="B1015" s="192">
        <v>99</v>
      </c>
      <c r="C1015" s="192">
        <v>0</v>
      </c>
      <c r="D1015" s="192" t="s">
        <v>1699</v>
      </c>
      <c r="E1015" s="192">
        <v>7225863</v>
      </c>
      <c r="F1015" s="192" t="s">
        <v>2024</v>
      </c>
      <c r="G1015" s="290">
        <v>0.63705000000000001</v>
      </c>
      <c r="H1015" s="192">
        <v>4354.95</v>
      </c>
      <c r="I1015" s="192">
        <v>0</v>
      </c>
      <c r="J1015" s="192">
        <v>0</v>
      </c>
      <c r="K1015" s="192">
        <v>0</v>
      </c>
      <c r="L1015" s="192">
        <v>203.71</v>
      </c>
      <c r="M1015" s="192">
        <v>0</v>
      </c>
      <c r="N1015" s="192">
        <v>165</v>
      </c>
      <c r="O1015" s="192">
        <v>4723.66</v>
      </c>
      <c r="P1015" s="192">
        <v>0</v>
      </c>
      <c r="Q1015" s="192">
        <v>365.52</v>
      </c>
      <c r="R1015" s="192">
        <v>0</v>
      </c>
      <c r="S1015" s="285">
        <f t="shared" si="75"/>
        <v>0.63705000000000001</v>
      </c>
      <c r="T1015" s="192">
        <v>0</v>
      </c>
      <c r="U1015" s="291">
        <v>5089.18</v>
      </c>
      <c r="V1015" s="291">
        <v>5089.18</v>
      </c>
      <c r="W1015" s="292">
        <v>60935.16</v>
      </c>
      <c r="X1015" s="292">
        <v>61070.16</v>
      </c>
      <c r="Y1015" s="292">
        <v>60980.160000000003</v>
      </c>
      <c r="Z1015" s="292">
        <v>66161.649999999994</v>
      </c>
      <c r="AA1015" s="290">
        <v>67683.367949999985</v>
      </c>
      <c r="AB1015" s="285">
        <v>67154.074749999985</v>
      </c>
      <c r="AC1015" s="290">
        <v>5077.93</v>
      </c>
      <c r="AD1015" s="192">
        <v>12</v>
      </c>
      <c r="AE1015" s="290">
        <v>5089.18</v>
      </c>
      <c r="AF1015" s="194">
        <v>66024.34</v>
      </c>
      <c r="AG1015" s="215"/>
      <c r="AJ1015" s="388">
        <f t="shared" si="76"/>
        <v>0</v>
      </c>
    </row>
    <row r="1016" spans="1:36" x14ac:dyDescent="0.3">
      <c r="A1016" s="192">
        <v>5831</v>
      </c>
      <c r="B1016" s="192">
        <v>99</v>
      </c>
      <c r="C1016" s="192">
        <v>0</v>
      </c>
      <c r="D1016" s="192" t="s">
        <v>1699</v>
      </c>
      <c r="E1016" s="192">
        <v>7270994</v>
      </c>
      <c r="F1016" s="192" t="s">
        <v>2025</v>
      </c>
      <c r="G1016" s="290">
        <v>0.7</v>
      </c>
      <c r="H1016" s="192">
        <v>8679.5400000000009</v>
      </c>
      <c r="I1016" s="192">
        <v>1133.78</v>
      </c>
      <c r="J1016" s="192">
        <v>0</v>
      </c>
      <c r="K1016" s="192">
        <v>0</v>
      </c>
      <c r="L1016" s="192">
        <v>297.63</v>
      </c>
      <c r="M1016" s="192">
        <v>0</v>
      </c>
      <c r="N1016" s="192">
        <v>0</v>
      </c>
      <c r="O1016" s="192">
        <v>10110.950000000001</v>
      </c>
      <c r="P1016" s="192">
        <v>0</v>
      </c>
      <c r="Q1016" s="192">
        <v>769.57</v>
      </c>
      <c r="R1016" s="192">
        <v>0</v>
      </c>
      <c r="S1016" s="285">
        <f t="shared" si="75"/>
        <v>0.69999999999999984</v>
      </c>
      <c r="T1016" s="192">
        <v>0</v>
      </c>
      <c r="U1016" s="291">
        <v>10880.52</v>
      </c>
      <c r="V1016" s="291">
        <v>10880.52</v>
      </c>
      <c r="W1016" s="292">
        <v>130431.24</v>
      </c>
      <c r="X1016" s="292">
        <v>130566.24</v>
      </c>
      <c r="Y1016" s="292">
        <v>130476.24</v>
      </c>
      <c r="Z1016" s="292">
        <v>140336.06</v>
      </c>
      <c r="AA1016" s="290">
        <v>143158.90643999999</v>
      </c>
      <c r="AB1016" s="285">
        <v>142039.38419999997</v>
      </c>
      <c r="AC1016" s="290">
        <v>10869.27</v>
      </c>
      <c r="AD1016" s="192">
        <v>12</v>
      </c>
      <c r="AE1016" s="290">
        <v>10880.52</v>
      </c>
      <c r="AF1016" s="194">
        <v>141311.76</v>
      </c>
      <c r="AG1016" s="215"/>
      <c r="AJ1016" s="388">
        <f t="shared" si="76"/>
        <v>0</v>
      </c>
    </row>
    <row r="1017" spans="1:36" x14ac:dyDescent="0.3">
      <c r="A1017" s="192">
        <v>5831</v>
      </c>
      <c r="B1017" s="192">
        <v>99</v>
      </c>
      <c r="C1017" s="192">
        <v>0</v>
      </c>
      <c r="D1017" s="192" t="s">
        <v>1699</v>
      </c>
      <c r="E1017" s="192">
        <v>7290673</v>
      </c>
      <c r="F1017" s="192" t="s">
        <v>2026</v>
      </c>
      <c r="G1017" s="290">
        <v>0.33600000000000002</v>
      </c>
      <c r="H1017" s="192">
        <v>2279.1799999999998</v>
      </c>
      <c r="I1017" s="192">
        <v>0</v>
      </c>
      <c r="J1017" s="192">
        <v>0</v>
      </c>
      <c r="K1017" s="192">
        <v>0</v>
      </c>
      <c r="L1017" s="192">
        <v>80.099999999999994</v>
      </c>
      <c r="M1017" s="192">
        <v>0</v>
      </c>
      <c r="N1017" s="192">
        <v>0</v>
      </c>
      <c r="O1017" s="192">
        <v>2359.2800000000002</v>
      </c>
      <c r="P1017" s="192">
        <v>0</v>
      </c>
      <c r="Q1017" s="192">
        <v>0</v>
      </c>
      <c r="R1017" s="192">
        <v>0</v>
      </c>
      <c r="S1017" s="285">
        <f t="shared" si="75"/>
        <v>0.33600000000000002</v>
      </c>
      <c r="T1017" s="192">
        <v>0</v>
      </c>
      <c r="U1017" s="291">
        <v>2359.2800000000002</v>
      </c>
      <c r="V1017" s="291">
        <v>2359.2800000000002</v>
      </c>
      <c r="W1017" s="292">
        <v>28311.360000000001</v>
      </c>
      <c r="X1017" s="292">
        <v>28311.360000000001</v>
      </c>
      <c r="Y1017" s="292">
        <v>28311.360000000001</v>
      </c>
      <c r="Z1017" s="292">
        <v>34811.199999999997</v>
      </c>
      <c r="AA1017" s="290">
        <v>35611.857599999996</v>
      </c>
      <c r="AB1017" s="285">
        <v>35333.367999999995</v>
      </c>
      <c r="AC1017" s="290">
        <v>2536.23</v>
      </c>
      <c r="AD1017" s="192">
        <v>12</v>
      </c>
      <c r="AE1017" s="290">
        <v>2359.2800000000002</v>
      </c>
      <c r="AF1017" s="194">
        <v>32794.04</v>
      </c>
      <c r="AG1017" s="215"/>
      <c r="AJ1017" s="388">
        <f t="shared" si="76"/>
        <v>0</v>
      </c>
    </row>
    <row r="1018" spans="1:36" x14ac:dyDescent="0.3">
      <c r="A1018" s="192">
        <v>5831</v>
      </c>
      <c r="B1018" s="192">
        <v>99</v>
      </c>
      <c r="C1018" s="192">
        <v>0</v>
      </c>
      <c r="D1018" s="192" t="s">
        <v>1699</v>
      </c>
      <c r="E1018" s="192">
        <v>7369281</v>
      </c>
      <c r="F1018" s="192" t="s">
        <v>2027</v>
      </c>
      <c r="G1018" s="290">
        <v>0.66600000000000004</v>
      </c>
      <c r="H1018" s="192">
        <v>1343.94</v>
      </c>
      <c r="I1018" s="192">
        <v>0</v>
      </c>
      <c r="J1018" s="192">
        <v>0</v>
      </c>
      <c r="K1018" s="192">
        <v>0</v>
      </c>
      <c r="L1018" s="192">
        <v>202.67</v>
      </c>
      <c r="M1018" s="192">
        <v>0</v>
      </c>
      <c r="N1018" s="192">
        <v>0</v>
      </c>
      <c r="O1018" s="192">
        <v>1546.61</v>
      </c>
      <c r="P1018" s="192">
        <v>0</v>
      </c>
      <c r="Q1018" s="192">
        <v>0</v>
      </c>
      <c r="R1018" s="192">
        <v>0</v>
      </c>
      <c r="S1018" s="285">
        <f t="shared" si="75"/>
        <v>0.66600000000000004</v>
      </c>
      <c r="T1018" s="192">
        <v>0</v>
      </c>
      <c r="U1018" s="291">
        <v>1546.61</v>
      </c>
      <c r="V1018" s="291">
        <v>1546.61</v>
      </c>
      <c r="W1018" s="292">
        <v>18559.32</v>
      </c>
      <c r="X1018" s="292">
        <v>18559.32</v>
      </c>
      <c r="Y1018" s="292">
        <v>18559.32</v>
      </c>
      <c r="Z1018" s="292">
        <v>64347.07</v>
      </c>
      <c r="AA1018" s="290">
        <v>65827.052609999999</v>
      </c>
      <c r="AB1018" s="285">
        <v>65312.27605</v>
      </c>
      <c r="AC1018" s="290">
        <v>1547</v>
      </c>
      <c r="AD1018" s="192">
        <v>12</v>
      </c>
      <c r="AE1018" s="305">
        <v>3258</v>
      </c>
      <c r="AF1018" s="194">
        <v>21822</v>
      </c>
      <c r="AG1018" s="215"/>
      <c r="AJ1018" s="388">
        <f t="shared" si="76"/>
        <v>0</v>
      </c>
    </row>
    <row r="1019" spans="1:36" x14ac:dyDescent="0.3">
      <c r="A1019" s="192">
        <v>5831</v>
      </c>
      <c r="B1019" s="192">
        <v>99</v>
      </c>
      <c r="C1019" s="192">
        <v>0</v>
      </c>
      <c r="D1019" s="192" t="s">
        <v>1699</v>
      </c>
      <c r="E1019" s="192">
        <v>7369487</v>
      </c>
      <c r="F1019" s="192" t="s">
        <v>2028</v>
      </c>
      <c r="G1019" s="290">
        <v>0.7</v>
      </c>
      <c r="H1019" s="192">
        <v>7459.16</v>
      </c>
      <c r="I1019" s="192">
        <v>2003.4</v>
      </c>
      <c r="J1019" s="192">
        <v>0</v>
      </c>
      <c r="K1019" s="192">
        <v>0</v>
      </c>
      <c r="L1019" s="192">
        <v>289.16000000000003</v>
      </c>
      <c r="M1019" s="192">
        <v>0</v>
      </c>
      <c r="N1019" s="192">
        <v>0</v>
      </c>
      <c r="O1019" s="192">
        <v>9751.7199999999993</v>
      </c>
      <c r="P1019" s="192">
        <v>0</v>
      </c>
      <c r="Q1019" s="192">
        <v>742.63</v>
      </c>
      <c r="R1019" s="192">
        <v>0</v>
      </c>
      <c r="S1019" s="285">
        <f t="shared" si="75"/>
        <v>0.69999999999999984</v>
      </c>
      <c r="T1019" s="192">
        <v>0</v>
      </c>
      <c r="U1019" s="291">
        <v>10494.35</v>
      </c>
      <c r="V1019" s="291">
        <v>10494.35</v>
      </c>
      <c r="W1019" s="292">
        <v>125797.20000000001</v>
      </c>
      <c r="X1019" s="292">
        <v>125932.20000000001</v>
      </c>
      <c r="Y1019" s="292">
        <v>125842.20000000001</v>
      </c>
      <c r="Z1019" s="292">
        <v>138031.35</v>
      </c>
      <c r="AA1019" s="290">
        <v>141207.55439999996</v>
      </c>
      <c r="AB1019" s="285">
        <v>140103.29199999999</v>
      </c>
      <c r="AC1019" s="290">
        <v>10483.1</v>
      </c>
      <c r="AD1019" s="192">
        <v>12</v>
      </c>
      <c r="AE1019" s="290">
        <v>10494.35</v>
      </c>
      <c r="AF1019" s="194">
        <v>136291.55000000002</v>
      </c>
      <c r="AG1019" s="215"/>
      <c r="AJ1019" s="388">
        <f t="shared" si="76"/>
        <v>0</v>
      </c>
    </row>
    <row r="1020" spans="1:36" x14ac:dyDescent="0.3">
      <c r="A1020" s="192">
        <v>5831</v>
      </c>
      <c r="B1020" s="192">
        <v>99</v>
      </c>
      <c r="C1020" s="192">
        <v>0</v>
      </c>
      <c r="D1020" s="192" t="s">
        <v>1699</v>
      </c>
      <c r="E1020" s="192">
        <v>7383015</v>
      </c>
      <c r="F1020" s="192" t="s">
        <v>2029</v>
      </c>
      <c r="G1020" s="290">
        <v>0.43</v>
      </c>
      <c r="H1020" s="192">
        <v>979.37</v>
      </c>
      <c r="I1020" s="192">
        <v>0</v>
      </c>
      <c r="J1020" s="192">
        <v>0</v>
      </c>
      <c r="K1020" s="192">
        <v>0</v>
      </c>
      <c r="L1020" s="192">
        <v>33.4</v>
      </c>
      <c r="M1020" s="192">
        <v>0</v>
      </c>
      <c r="N1020" s="192">
        <v>0</v>
      </c>
      <c r="O1020" s="192">
        <v>1012.77</v>
      </c>
      <c r="P1020" s="192">
        <v>0</v>
      </c>
      <c r="Q1020" s="192">
        <v>87.21</v>
      </c>
      <c r="R1020" s="192">
        <v>0</v>
      </c>
      <c r="S1020" s="285">
        <f t="shared" si="75"/>
        <v>0.43</v>
      </c>
      <c r="T1020" s="192">
        <v>0</v>
      </c>
      <c r="U1020" s="291">
        <v>1099.98</v>
      </c>
      <c r="V1020" s="291">
        <v>1099.98</v>
      </c>
      <c r="W1020" s="292">
        <v>13064.76</v>
      </c>
      <c r="X1020" s="292">
        <v>13199.76</v>
      </c>
      <c r="Y1020" s="292">
        <v>13109.76</v>
      </c>
      <c r="Z1020" s="292">
        <v>14672.03</v>
      </c>
      <c r="AA1020" s="290">
        <v>15009.486689999998</v>
      </c>
      <c r="AB1020" s="285">
        <v>14892.110449999996</v>
      </c>
      <c r="AC1020" s="290">
        <v>1088.73</v>
      </c>
      <c r="AD1020" s="192">
        <v>12</v>
      </c>
      <c r="AE1020" s="290">
        <v>1099.98</v>
      </c>
      <c r="AF1020" s="194">
        <v>14164.74</v>
      </c>
      <c r="AG1020" s="215"/>
      <c r="AJ1020" s="388">
        <f t="shared" si="76"/>
        <v>0</v>
      </c>
    </row>
    <row r="1021" spans="1:36" x14ac:dyDescent="0.3">
      <c r="A1021" s="192">
        <v>5831</v>
      </c>
      <c r="B1021" s="192">
        <v>99</v>
      </c>
      <c r="C1021" s="192">
        <v>0</v>
      </c>
      <c r="D1021" s="192" t="s">
        <v>1699</v>
      </c>
      <c r="E1021" s="192">
        <v>7388022</v>
      </c>
      <c r="F1021" s="192" t="s">
        <v>2030</v>
      </c>
      <c r="G1021" s="290">
        <v>0.27</v>
      </c>
      <c r="H1021" s="192">
        <v>1583.74</v>
      </c>
      <c r="I1021" s="192">
        <v>0</v>
      </c>
      <c r="J1021" s="192">
        <v>0</v>
      </c>
      <c r="K1021" s="192">
        <v>0</v>
      </c>
      <c r="L1021" s="192">
        <v>56.68</v>
      </c>
      <c r="M1021" s="192">
        <v>0</v>
      </c>
      <c r="N1021" s="192">
        <v>0</v>
      </c>
      <c r="O1021" s="192">
        <v>1640.42</v>
      </c>
      <c r="P1021" s="192">
        <v>0</v>
      </c>
      <c r="Q1021" s="192">
        <v>0</v>
      </c>
      <c r="R1021" s="192">
        <v>0</v>
      </c>
      <c r="S1021" s="285">
        <f t="shared" si="75"/>
        <v>0.27</v>
      </c>
      <c r="T1021" s="192">
        <v>0</v>
      </c>
      <c r="U1021" s="291">
        <v>1640.42</v>
      </c>
      <c r="V1021" s="291">
        <v>1640.42</v>
      </c>
      <c r="W1021" s="292">
        <v>19685.04</v>
      </c>
      <c r="X1021" s="292">
        <v>19685.04</v>
      </c>
      <c r="Y1021" s="292">
        <v>19685.04</v>
      </c>
      <c r="Z1021" s="292">
        <v>21659.759999999998</v>
      </c>
      <c r="AA1021" s="290">
        <v>22157.934479999996</v>
      </c>
      <c r="AB1021" s="285">
        <v>21984.656399999996</v>
      </c>
      <c r="AC1021" s="290">
        <v>1640.42</v>
      </c>
      <c r="AD1021" s="192">
        <v>12</v>
      </c>
      <c r="AE1021" s="290">
        <v>1640.42</v>
      </c>
      <c r="AF1021" s="194">
        <v>21325.46</v>
      </c>
      <c r="AG1021" s="215"/>
      <c r="AJ1021" s="388">
        <f t="shared" si="76"/>
        <v>0</v>
      </c>
    </row>
    <row r="1022" spans="1:36" x14ac:dyDescent="0.3">
      <c r="A1022" s="192">
        <v>5831</v>
      </c>
      <c r="B1022" s="192">
        <v>99</v>
      </c>
      <c r="C1022" s="192">
        <v>0</v>
      </c>
      <c r="D1022" s="192" t="s">
        <v>1699</v>
      </c>
      <c r="E1022" s="192">
        <v>7443164</v>
      </c>
      <c r="F1022" s="192" t="s">
        <v>2031</v>
      </c>
      <c r="G1022" s="290">
        <v>0.40529999999999999</v>
      </c>
      <c r="H1022" s="192">
        <v>2761.42</v>
      </c>
      <c r="I1022" s="192">
        <v>0</v>
      </c>
      <c r="J1022" s="192">
        <v>0</v>
      </c>
      <c r="K1022" s="192">
        <v>0</v>
      </c>
      <c r="L1022" s="192">
        <v>119.72</v>
      </c>
      <c r="M1022" s="192">
        <v>0</v>
      </c>
      <c r="N1022" s="192">
        <v>98</v>
      </c>
      <c r="O1022" s="192">
        <v>2979.14</v>
      </c>
      <c r="P1022" s="192">
        <v>0</v>
      </c>
      <c r="Q1022" s="192">
        <v>234.69</v>
      </c>
      <c r="R1022" s="192">
        <v>0</v>
      </c>
      <c r="S1022" s="285">
        <f t="shared" si="75"/>
        <v>0.40529999999999999</v>
      </c>
      <c r="T1022" s="192">
        <v>0</v>
      </c>
      <c r="U1022" s="291">
        <v>3213.83</v>
      </c>
      <c r="V1022" s="291">
        <v>3213.83</v>
      </c>
      <c r="W1022" s="292">
        <v>38430.959999999999</v>
      </c>
      <c r="X1022" s="292">
        <v>38565.96</v>
      </c>
      <c r="Y1022" s="292">
        <v>38475.96</v>
      </c>
      <c r="Z1022" s="292">
        <v>43634.82</v>
      </c>
      <c r="AA1022" s="290">
        <v>44638.420859999998</v>
      </c>
      <c r="AB1022" s="285">
        <v>44289.342299999997</v>
      </c>
      <c r="AC1022" s="290">
        <v>3202.58</v>
      </c>
      <c r="AD1022" s="192">
        <v>12</v>
      </c>
      <c r="AE1022" s="290">
        <v>3213.83</v>
      </c>
      <c r="AF1022" s="194">
        <v>41644.79</v>
      </c>
      <c r="AG1022" s="215"/>
      <c r="AJ1022" s="388">
        <f t="shared" si="76"/>
        <v>0</v>
      </c>
    </row>
    <row r="1023" spans="1:36" x14ac:dyDescent="0.3">
      <c r="A1023" s="192">
        <v>5831</v>
      </c>
      <c r="B1023" s="192">
        <v>99</v>
      </c>
      <c r="C1023" s="192">
        <v>0</v>
      </c>
      <c r="D1023" s="192" t="s">
        <v>1699</v>
      </c>
      <c r="E1023" s="192">
        <v>7443283</v>
      </c>
      <c r="F1023" s="192" t="s">
        <v>2032</v>
      </c>
      <c r="G1023" s="290">
        <v>0.625</v>
      </c>
      <c r="H1023" s="192">
        <v>3778.74</v>
      </c>
      <c r="I1023" s="192">
        <v>0</v>
      </c>
      <c r="J1023" s="192">
        <v>0</v>
      </c>
      <c r="K1023" s="192">
        <v>0</v>
      </c>
      <c r="L1023" s="192">
        <v>169.6</v>
      </c>
      <c r="M1023" s="192">
        <v>0</v>
      </c>
      <c r="N1023" s="192">
        <v>184</v>
      </c>
      <c r="O1023" s="192">
        <v>4132.34</v>
      </c>
      <c r="P1023" s="192">
        <v>0</v>
      </c>
      <c r="Q1023" s="192">
        <v>321.18</v>
      </c>
      <c r="R1023" s="192">
        <v>0</v>
      </c>
      <c r="S1023" s="285">
        <f t="shared" si="75"/>
        <v>0.625</v>
      </c>
      <c r="T1023" s="192">
        <v>0</v>
      </c>
      <c r="U1023" s="291">
        <v>4453.5200000000004</v>
      </c>
      <c r="V1023" s="291">
        <v>4453.5200000000004</v>
      </c>
      <c r="W1023" s="292">
        <v>53307.240000000005</v>
      </c>
      <c r="X1023" s="292">
        <v>53442.240000000005</v>
      </c>
      <c r="Y1023" s="292">
        <v>53352.239999999991</v>
      </c>
      <c r="Z1023" s="292">
        <v>58178.91</v>
      </c>
      <c r="AA1023" s="290">
        <v>59517.02493</v>
      </c>
      <c r="AB1023" s="285">
        <v>59051.593649999995</v>
      </c>
      <c r="AC1023" s="290">
        <v>4442.2700000000004</v>
      </c>
      <c r="AD1023" s="192">
        <v>12</v>
      </c>
      <c r="AE1023" s="290">
        <v>4453.5200000000004</v>
      </c>
      <c r="AF1023" s="194">
        <v>57760.760000000009</v>
      </c>
      <c r="AG1023" s="215"/>
      <c r="AJ1023" s="388">
        <f t="shared" si="76"/>
        <v>0</v>
      </c>
    </row>
    <row r="1024" spans="1:36" x14ac:dyDescent="0.3">
      <c r="A1024" s="192">
        <v>5831</v>
      </c>
      <c r="B1024" s="192">
        <v>99</v>
      </c>
      <c r="C1024" s="192">
        <v>0</v>
      </c>
      <c r="D1024" s="192" t="s">
        <v>1699</v>
      </c>
      <c r="E1024" s="192">
        <v>7447463</v>
      </c>
      <c r="F1024" s="192" t="s">
        <v>2033</v>
      </c>
      <c r="G1024" s="290">
        <v>0.62</v>
      </c>
      <c r="H1024" s="192">
        <v>1652.77</v>
      </c>
      <c r="I1024" s="192">
        <v>0</v>
      </c>
      <c r="J1024" s="192">
        <v>0</v>
      </c>
      <c r="K1024" s="192">
        <v>0</v>
      </c>
      <c r="L1024" s="192">
        <v>58.92</v>
      </c>
      <c r="M1024" s="192">
        <v>0</v>
      </c>
      <c r="N1024" s="192">
        <v>0</v>
      </c>
      <c r="O1024" s="192">
        <v>1711.69</v>
      </c>
      <c r="P1024" s="192">
        <v>0</v>
      </c>
      <c r="Q1024" s="192">
        <v>139.63</v>
      </c>
      <c r="R1024" s="192">
        <v>0</v>
      </c>
      <c r="S1024" s="285">
        <f t="shared" si="75"/>
        <v>0.62</v>
      </c>
      <c r="T1024" s="192">
        <v>0</v>
      </c>
      <c r="U1024" s="291">
        <v>1851.32</v>
      </c>
      <c r="V1024" s="291">
        <v>1851.32</v>
      </c>
      <c r="W1024" s="292">
        <v>22080.84</v>
      </c>
      <c r="X1024" s="292">
        <v>22215.84</v>
      </c>
      <c r="Y1024" s="292">
        <v>22125.84</v>
      </c>
      <c r="Z1024" s="292">
        <v>24413.33</v>
      </c>
      <c r="AA1024" s="290">
        <v>24974.836589999999</v>
      </c>
      <c r="AB1024" s="285">
        <v>24779.52995</v>
      </c>
      <c r="AC1024" s="290">
        <v>1840.07</v>
      </c>
      <c r="AD1024" s="192">
        <v>12</v>
      </c>
      <c r="AE1024" s="290">
        <v>1851.32</v>
      </c>
      <c r="AF1024" s="194">
        <v>23932.16</v>
      </c>
      <c r="AG1024" s="215"/>
      <c r="AJ1024" s="388">
        <f t="shared" si="76"/>
        <v>0</v>
      </c>
    </row>
    <row r="1025" spans="1:36" x14ac:dyDescent="0.3">
      <c r="A1025" s="192">
        <v>5831</v>
      </c>
      <c r="B1025" s="192">
        <v>99</v>
      </c>
      <c r="C1025" s="192">
        <v>0</v>
      </c>
      <c r="D1025" s="192" t="s">
        <v>1699</v>
      </c>
      <c r="E1025" s="192">
        <v>7449127</v>
      </c>
      <c r="F1025" s="192" t="s">
        <v>2034</v>
      </c>
      <c r="G1025" s="290">
        <v>0.625</v>
      </c>
      <c r="H1025" s="192">
        <v>5017.3999999999996</v>
      </c>
      <c r="I1025" s="192">
        <v>339.49</v>
      </c>
      <c r="J1025" s="192">
        <v>0</v>
      </c>
      <c r="K1025" s="192">
        <v>0</v>
      </c>
      <c r="L1025" s="192">
        <v>153.47</v>
      </c>
      <c r="M1025" s="192">
        <v>0</v>
      </c>
      <c r="N1025" s="192">
        <v>0</v>
      </c>
      <c r="O1025" s="192">
        <v>5510.36</v>
      </c>
      <c r="P1025" s="192">
        <v>0</v>
      </c>
      <c r="Q1025" s="192">
        <v>424.53</v>
      </c>
      <c r="R1025" s="192">
        <v>0</v>
      </c>
      <c r="S1025" s="285">
        <f t="shared" si="75"/>
        <v>0.625</v>
      </c>
      <c r="T1025" s="192">
        <v>0</v>
      </c>
      <c r="U1025" s="291">
        <v>5934.89</v>
      </c>
      <c r="V1025" s="291">
        <v>5934.89</v>
      </c>
      <c r="W1025" s="292">
        <v>71083.680000000008</v>
      </c>
      <c r="X1025" s="292">
        <v>71218.680000000008</v>
      </c>
      <c r="Y1025" s="292">
        <v>71128.679999999993</v>
      </c>
      <c r="Z1025" s="292">
        <v>80053.649999999994</v>
      </c>
      <c r="AA1025" s="290">
        <v>81894.883949999989</v>
      </c>
      <c r="AB1025" s="285">
        <v>81254.45474999999</v>
      </c>
      <c r="AC1025" s="290">
        <v>5923.64</v>
      </c>
      <c r="AD1025" s="192">
        <v>12</v>
      </c>
      <c r="AE1025" s="290">
        <v>5934.89</v>
      </c>
      <c r="AF1025" s="194">
        <v>77018.570000000007</v>
      </c>
      <c r="AG1025" s="215"/>
      <c r="AJ1025" s="388">
        <f t="shared" si="76"/>
        <v>0</v>
      </c>
    </row>
    <row r="1026" spans="1:36" x14ac:dyDescent="0.3">
      <c r="A1026" s="192">
        <v>5831</v>
      </c>
      <c r="B1026" s="192">
        <v>99</v>
      </c>
      <c r="C1026" s="192">
        <v>0</v>
      </c>
      <c r="D1026" s="192" t="s">
        <v>1699</v>
      </c>
      <c r="E1026" s="192">
        <v>7468051</v>
      </c>
      <c r="F1026" s="192" t="s">
        <v>2035</v>
      </c>
      <c r="G1026" s="290">
        <v>0.62</v>
      </c>
      <c r="H1026" s="192">
        <v>4468.99</v>
      </c>
      <c r="I1026" s="192">
        <v>593.91</v>
      </c>
      <c r="J1026" s="192">
        <v>0</v>
      </c>
      <c r="K1026" s="192">
        <v>0</v>
      </c>
      <c r="L1026" s="192">
        <v>181.68</v>
      </c>
      <c r="M1026" s="192">
        <v>0</v>
      </c>
      <c r="N1026" s="192">
        <v>0</v>
      </c>
      <c r="O1026" s="192">
        <v>5244.58</v>
      </c>
      <c r="P1026" s="192">
        <v>0</v>
      </c>
      <c r="Q1026" s="192">
        <v>404.59</v>
      </c>
      <c r="R1026" s="192">
        <v>0</v>
      </c>
      <c r="S1026" s="285">
        <f t="shared" si="75"/>
        <v>0.62</v>
      </c>
      <c r="T1026" s="192">
        <v>0</v>
      </c>
      <c r="U1026" s="291">
        <v>5649.17</v>
      </c>
      <c r="V1026" s="291">
        <v>5649.17</v>
      </c>
      <c r="W1026" s="292">
        <v>67655.040000000008</v>
      </c>
      <c r="X1026" s="292">
        <v>67790.040000000008</v>
      </c>
      <c r="Y1026" s="292">
        <v>67700.039999999994</v>
      </c>
      <c r="Z1026" s="292">
        <v>72767.100000000006</v>
      </c>
      <c r="AA1026" s="290">
        <v>74440.743299999987</v>
      </c>
      <c r="AB1026" s="285">
        <v>73858.60649999998</v>
      </c>
      <c r="AC1026" s="290">
        <v>5637.92</v>
      </c>
      <c r="AD1026" s="192">
        <v>12</v>
      </c>
      <c r="AE1026" s="290">
        <v>5649.17</v>
      </c>
      <c r="AF1026" s="194">
        <v>73304.210000000006</v>
      </c>
      <c r="AG1026" s="215"/>
      <c r="AJ1026" s="388">
        <f t="shared" si="76"/>
        <v>0</v>
      </c>
    </row>
    <row r="1027" spans="1:36" x14ac:dyDescent="0.3">
      <c r="A1027" s="192">
        <v>5831</v>
      </c>
      <c r="B1027" s="192">
        <v>99</v>
      </c>
      <c r="C1027" s="192">
        <v>0</v>
      </c>
      <c r="D1027" s="192" t="s">
        <v>1699</v>
      </c>
      <c r="E1027" s="192">
        <v>7468543</v>
      </c>
      <c r="F1027" s="192" t="s">
        <v>2036</v>
      </c>
      <c r="G1027" s="290">
        <v>0.46800000000000003</v>
      </c>
      <c r="H1027" s="192">
        <v>2992.85</v>
      </c>
      <c r="I1027" s="192">
        <v>0</v>
      </c>
      <c r="J1027" s="192">
        <v>0</v>
      </c>
      <c r="K1027" s="192">
        <v>0</v>
      </c>
      <c r="L1027" s="192">
        <v>192.25</v>
      </c>
      <c r="M1027" s="192">
        <v>0</v>
      </c>
      <c r="N1027" s="192">
        <v>0</v>
      </c>
      <c r="O1027" s="192">
        <v>3185.1</v>
      </c>
      <c r="P1027" s="192">
        <v>0</v>
      </c>
      <c r="Q1027" s="192">
        <v>250.13</v>
      </c>
      <c r="R1027" s="192">
        <v>0</v>
      </c>
      <c r="S1027" s="285">
        <f t="shared" si="75"/>
        <v>0.46800000000000003</v>
      </c>
      <c r="T1027" s="192">
        <v>0</v>
      </c>
      <c r="U1027" s="291">
        <v>3435.23</v>
      </c>
      <c r="V1027" s="291">
        <v>3435.23</v>
      </c>
      <c r="W1027" s="292">
        <v>41087.760000000002</v>
      </c>
      <c r="X1027" s="292">
        <v>41222.76</v>
      </c>
      <c r="Y1027" s="292">
        <v>41132.76</v>
      </c>
      <c r="Z1027" s="292">
        <v>44641.14</v>
      </c>
      <c r="AA1027" s="290">
        <v>45667.886219999993</v>
      </c>
      <c r="AB1027" s="285">
        <v>45310.757099999995</v>
      </c>
      <c r="AC1027" s="290">
        <v>3423.98</v>
      </c>
      <c r="AD1027" s="192">
        <v>12</v>
      </c>
      <c r="AE1027" s="290">
        <v>3435.23</v>
      </c>
      <c r="AF1027" s="194">
        <v>44522.990000000005</v>
      </c>
      <c r="AG1027" s="215"/>
      <c r="AJ1027" s="388">
        <f t="shared" si="76"/>
        <v>0</v>
      </c>
    </row>
    <row r="1028" spans="1:36" x14ac:dyDescent="0.3">
      <c r="A1028" s="192">
        <v>5831</v>
      </c>
      <c r="B1028" s="192">
        <v>99</v>
      </c>
      <c r="C1028" s="192">
        <v>0</v>
      </c>
      <c r="D1028" s="192" t="s">
        <v>1699</v>
      </c>
      <c r="E1028" s="192">
        <v>7468563</v>
      </c>
      <c r="F1028" s="192" t="s">
        <v>2037</v>
      </c>
      <c r="G1028" s="290">
        <v>0.6</v>
      </c>
      <c r="H1028" s="192">
        <v>844.21</v>
      </c>
      <c r="I1028" s="192">
        <v>604.79999999999995</v>
      </c>
      <c r="J1028" s="192">
        <v>0</v>
      </c>
      <c r="K1028" s="192">
        <v>0</v>
      </c>
      <c r="L1028" s="192">
        <v>29.46</v>
      </c>
      <c r="M1028" s="192">
        <v>0</v>
      </c>
      <c r="N1028" s="192">
        <v>0</v>
      </c>
      <c r="O1028" s="192">
        <v>1478.47</v>
      </c>
      <c r="P1028" s="192">
        <v>0</v>
      </c>
      <c r="Q1028" s="192">
        <v>0</v>
      </c>
      <c r="R1028" s="192">
        <v>0</v>
      </c>
      <c r="S1028" s="285">
        <f t="shared" si="75"/>
        <v>0.6</v>
      </c>
      <c r="T1028" s="192">
        <v>0</v>
      </c>
      <c r="U1028" s="291">
        <v>1478.47</v>
      </c>
      <c r="V1028" s="291">
        <v>1478.47</v>
      </c>
      <c r="W1028" s="292">
        <v>17741.64</v>
      </c>
      <c r="X1028" s="292">
        <v>17741.64</v>
      </c>
      <c r="Y1028" s="292">
        <v>17741.64</v>
      </c>
      <c r="Z1028" s="292">
        <v>76864.69</v>
      </c>
      <c r="AA1028" s="290">
        <v>78632.577869999994</v>
      </c>
      <c r="AB1028" s="285">
        <v>78017.660349999991</v>
      </c>
      <c r="AC1028" s="290">
        <v>1478</v>
      </c>
      <c r="AD1028" s="192">
        <v>12</v>
      </c>
      <c r="AE1028" s="305">
        <v>4600</v>
      </c>
      <c r="AF1028" s="194">
        <v>22336</v>
      </c>
      <c r="AG1028" s="215"/>
      <c r="AJ1028" s="388">
        <f t="shared" si="76"/>
        <v>0</v>
      </c>
    </row>
    <row r="1029" spans="1:36" x14ac:dyDescent="0.3">
      <c r="A1029" s="192">
        <v>5831</v>
      </c>
      <c r="B1029" s="192">
        <v>99</v>
      </c>
      <c r="C1029" s="192">
        <v>0</v>
      </c>
      <c r="D1029" s="192" t="s">
        <v>1699</v>
      </c>
      <c r="E1029" s="192">
        <v>7527592</v>
      </c>
      <c r="F1029" s="192" t="s">
        <v>2038</v>
      </c>
      <c r="G1029" s="290">
        <v>0.51800000000000002</v>
      </c>
      <c r="H1029" s="192">
        <v>3330.26</v>
      </c>
      <c r="I1029" s="192">
        <v>0</v>
      </c>
      <c r="J1029" s="192">
        <v>0</v>
      </c>
      <c r="K1029" s="192">
        <v>0</v>
      </c>
      <c r="L1029" s="192">
        <v>253.12</v>
      </c>
      <c r="M1029" s="192">
        <v>0</v>
      </c>
      <c r="N1029" s="192">
        <v>0</v>
      </c>
      <c r="O1029" s="192">
        <v>3583.38</v>
      </c>
      <c r="P1029" s="192">
        <v>0</v>
      </c>
      <c r="Q1029" s="192">
        <v>280</v>
      </c>
      <c r="R1029" s="192">
        <v>0</v>
      </c>
      <c r="S1029" s="285">
        <f t="shared" si="75"/>
        <v>0.51800000000000002</v>
      </c>
      <c r="T1029" s="192">
        <v>0</v>
      </c>
      <c r="U1029" s="291">
        <v>3863.38</v>
      </c>
      <c r="V1029" s="291">
        <v>3863.38</v>
      </c>
      <c r="W1029" s="292">
        <v>46225.56</v>
      </c>
      <c r="X1029" s="292">
        <v>46360.56</v>
      </c>
      <c r="Y1029" s="292">
        <v>46270.559999999998</v>
      </c>
      <c r="Z1029" s="292">
        <v>52350.45</v>
      </c>
      <c r="AA1029" s="290">
        <v>53554.51034999999</v>
      </c>
      <c r="AB1029" s="285">
        <v>53135.70674999999</v>
      </c>
      <c r="AC1029" s="290">
        <v>3852.13</v>
      </c>
      <c r="AD1029" s="192">
        <v>12</v>
      </c>
      <c r="AE1029" s="290">
        <v>3863.38</v>
      </c>
      <c r="AF1029" s="194">
        <v>50088.939999999995</v>
      </c>
      <c r="AG1029" s="215"/>
      <c r="AJ1029" s="388">
        <f t="shared" si="76"/>
        <v>0</v>
      </c>
    </row>
    <row r="1030" spans="1:36" x14ac:dyDescent="0.3">
      <c r="A1030" s="192">
        <v>5831</v>
      </c>
      <c r="B1030" s="192">
        <v>99</v>
      </c>
      <c r="C1030" s="192">
        <v>0</v>
      </c>
      <c r="D1030" s="192" t="s">
        <v>1699</v>
      </c>
      <c r="E1030" s="192">
        <v>7529341</v>
      </c>
      <c r="F1030" s="192" t="s">
        <v>2039</v>
      </c>
      <c r="G1030" s="290">
        <v>0.4672</v>
      </c>
      <c r="H1030" s="192">
        <v>5712.22</v>
      </c>
      <c r="I1030" s="192">
        <v>0</v>
      </c>
      <c r="J1030" s="192">
        <v>0</v>
      </c>
      <c r="K1030" s="192">
        <v>0</v>
      </c>
      <c r="L1030" s="192">
        <v>207.79</v>
      </c>
      <c r="M1030" s="192">
        <v>0</v>
      </c>
      <c r="N1030" s="192">
        <v>0</v>
      </c>
      <c r="O1030" s="192">
        <v>5920.01</v>
      </c>
      <c r="P1030" s="192">
        <v>0</v>
      </c>
      <c r="Q1030" s="192">
        <v>455.25</v>
      </c>
      <c r="R1030" s="192">
        <v>0</v>
      </c>
      <c r="S1030" s="285">
        <f t="shared" si="75"/>
        <v>0.4672</v>
      </c>
      <c r="T1030" s="192">
        <v>0</v>
      </c>
      <c r="U1030" s="291">
        <v>6375.26</v>
      </c>
      <c r="V1030" s="291">
        <v>6375.26</v>
      </c>
      <c r="W1030" s="292">
        <v>76368.12</v>
      </c>
      <c r="X1030" s="292">
        <v>76503.12</v>
      </c>
      <c r="Y1030" s="292">
        <v>76413.119999999995</v>
      </c>
      <c r="Z1030" s="292">
        <v>83884.53</v>
      </c>
      <c r="AA1030" s="290">
        <v>85813.874189999988</v>
      </c>
      <c r="AB1030" s="285">
        <v>85142.797949999993</v>
      </c>
      <c r="AC1030" s="290">
        <v>6364.01</v>
      </c>
      <c r="AD1030" s="192">
        <v>12</v>
      </c>
      <c r="AE1030" s="290">
        <v>6375.26</v>
      </c>
      <c r="AF1030" s="194">
        <v>82743.37999999999</v>
      </c>
      <c r="AG1030" s="215"/>
      <c r="AJ1030" s="388">
        <f t="shared" si="76"/>
        <v>0</v>
      </c>
    </row>
    <row r="1031" spans="1:36" x14ac:dyDescent="0.3">
      <c r="A1031" s="192">
        <v>5831</v>
      </c>
      <c r="B1031" s="192">
        <v>99</v>
      </c>
      <c r="C1031" s="192">
        <v>0</v>
      </c>
      <c r="D1031" s="192" t="s">
        <v>1699</v>
      </c>
      <c r="E1031" s="192">
        <v>7535762</v>
      </c>
      <c r="F1031" s="192" t="s">
        <v>2040</v>
      </c>
      <c r="G1031" s="290">
        <v>0.35499999999999998</v>
      </c>
      <c r="H1031" s="192">
        <v>2194.8200000000002</v>
      </c>
      <c r="I1031" s="192">
        <v>0</v>
      </c>
      <c r="J1031" s="192">
        <v>0</v>
      </c>
      <c r="K1031" s="192">
        <v>0</v>
      </c>
      <c r="L1031" s="192">
        <v>212.11</v>
      </c>
      <c r="M1031" s="192">
        <v>0</v>
      </c>
      <c r="N1031" s="192">
        <v>0</v>
      </c>
      <c r="O1031" s="192">
        <v>2406.9299999999998</v>
      </c>
      <c r="P1031" s="192">
        <v>0</v>
      </c>
      <c r="Q1031" s="192">
        <v>0</v>
      </c>
      <c r="R1031" s="192">
        <v>0</v>
      </c>
      <c r="S1031" s="285">
        <f t="shared" si="75"/>
        <v>0.35499999999999998</v>
      </c>
      <c r="T1031" s="192">
        <v>0</v>
      </c>
      <c r="U1031" s="291">
        <v>2406.9299999999998</v>
      </c>
      <c r="V1031" s="291">
        <v>2406.9299999999998</v>
      </c>
      <c r="W1031" s="292">
        <v>28883.159999999996</v>
      </c>
      <c r="X1031" s="292">
        <v>28883.159999999996</v>
      </c>
      <c r="Y1031" s="292">
        <v>28883.159999999996</v>
      </c>
      <c r="Z1031" s="292">
        <v>31624.61</v>
      </c>
      <c r="AA1031" s="290">
        <v>32351.976029999998</v>
      </c>
      <c r="AB1031" s="285">
        <v>32098.979149999999</v>
      </c>
      <c r="AC1031" s="290">
        <v>2406.9299999999998</v>
      </c>
      <c r="AD1031" s="192">
        <v>12</v>
      </c>
      <c r="AE1031" s="290">
        <v>2406.9299999999998</v>
      </c>
      <c r="AF1031" s="194">
        <v>31290.089999999997</v>
      </c>
      <c r="AG1031" s="215"/>
      <c r="AJ1031" s="388">
        <f t="shared" si="76"/>
        <v>0</v>
      </c>
    </row>
    <row r="1032" spans="1:36" x14ac:dyDescent="0.3">
      <c r="A1032" s="192">
        <v>5831</v>
      </c>
      <c r="B1032" s="192">
        <v>99</v>
      </c>
      <c r="C1032" s="192">
        <v>0</v>
      </c>
      <c r="D1032" s="192" t="s">
        <v>1699</v>
      </c>
      <c r="E1032" s="192">
        <v>7553657</v>
      </c>
      <c r="F1032" s="192" t="s">
        <v>2041</v>
      </c>
      <c r="G1032" s="290">
        <v>0.56000000000000005</v>
      </c>
      <c r="H1032" s="192">
        <v>4214.55</v>
      </c>
      <c r="I1032" s="192">
        <v>0</v>
      </c>
      <c r="J1032" s="192">
        <v>0</v>
      </c>
      <c r="K1032" s="192">
        <v>0</v>
      </c>
      <c r="L1032" s="192">
        <v>120.12</v>
      </c>
      <c r="M1032" s="192">
        <v>0</v>
      </c>
      <c r="N1032" s="192">
        <v>0</v>
      </c>
      <c r="O1032" s="192">
        <v>4334.67</v>
      </c>
      <c r="P1032" s="192">
        <v>0</v>
      </c>
      <c r="Q1032" s="192">
        <v>336.35</v>
      </c>
      <c r="R1032" s="192">
        <v>0</v>
      </c>
      <c r="S1032" s="285">
        <f t="shared" si="75"/>
        <v>0.56000000000000005</v>
      </c>
      <c r="T1032" s="192">
        <v>0</v>
      </c>
      <c r="U1032" s="291">
        <v>4671.0200000000004</v>
      </c>
      <c r="V1032" s="291">
        <v>4671.0200000000004</v>
      </c>
      <c r="W1032" s="292">
        <v>55917.240000000005</v>
      </c>
      <c r="X1032" s="292">
        <v>56052.240000000005</v>
      </c>
      <c r="Y1032" s="292">
        <v>55962.239999999991</v>
      </c>
      <c r="Z1032" s="292">
        <v>63661.01</v>
      </c>
      <c r="AA1032" s="290">
        <v>65125.213229999994</v>
      </c>
      <c r="AB1032" s="285">
        <v>64615.925149999995</v>
      </c>
      <c r="AC1032" s="290">
        <v>4659.7700000000004</v>
      </c>
      <c r="AD1032" s="192">
        <v>12</v>
      </c>
      <c r="AE1032" s="290">
        <v>4671.0200000000004</v>
      </c>
      <c r="AF1032" s="194">
        <v>60588.260000000009</v>
      </c>
      <c r="AG1032" s="215"/>
      <c r="AJ1032" s="388">
        <f t="shared" si="76"/>
        <v>0</v>
      </c>
    </row>
    <row r="1033" spans="1:36" x14ac:dyDescent="0.3">
      <c r="A1033" s="192">
        <v>5831</v>
      </c>
      <c r="B1033" s="192">
        <v>99</v>
      </c>
      <c r="C1033" s="192">
        <v>0</v>
      </c>
      <c r="D1033" s="192" t="s">
        <v>1699</v>
      </c>
      <c r="E1033" s="192">
        <v>7555902</v>
      </c>
      <c r="F1033" s="192" t="s">
        <v>2042</v>
      </c>
      <c r="G1033" s="290">
        <v>0.35299999999999998</v>
      </c>
      <c r="H1033" s="192">
        <v>2155.0300000000002</v>
      </c>
      <c r="I1033" s="192">
        <v>0</v>
      </c>
      <c r="J1033" s="192">
        <v>0</v>
      </c>
      <c r="K1033" s="192">
        <v>0</v>
      </c>
      <c r="L1033" s="192">
        <v>161.09</v>
      </c>
      <c r="M1033" s="192">
        <v>0</v>
      </c>
      <c r="N1033" s="192">
        <v>0</v>
      </c>
      <c r="O1033" s="192">
        <v>2316.12</v>
      </c>
      <c r="P1033" s="192">
        <v>0</v>
      </c>
      <c r="Q1033" s="192">
        <v>184.96</v>
      </c>
      <c r="R1033" s="192">
        <v>0</v>
      </c>
      <c r="S1033" s="285">
        <f t="shared" si="75"/>
        <v>0.35299999999999998</v>
      </c>
      <c r="T1033" s="192">
        <v>0</v>
      </c>
      <c r="U1033" s="291">
        <v>2501.08</v>
      </c>
      <c r="V1033" s="291">
        <v>2501.08</v>
      </c>
      <c r="W1033" s="292">
        <v>29877.96</v>
      </c>
      <c r="X1033" s="292">
        <v>30012.959999999999</v>
      </c>
      <c r="Y1033" s="292">
        <v>29922.959999999999</v>
      </c>
      <c r="Z1033" s="292">
        <v>32614.1</v>
      </c>
      <c r="AA1033" s="290">
        <v>33364.224300000002</v>
      </c>
      <c r="AB1033" s="285">
        <v>33103.311499999996</v>
      </c>
      <c r="AC1033" s="290">
        <v>2489.83</v>
      </c>
      <c r="AD1033" s="192">
        <v>12</v>
      </c>
      <c r="AE1033" s="290">
        <v>2501.08</v>
      </c>
      <c r="AF1033" s="194">
        <v>32379.040000000001</v>
      </c>
      <c r="AG1033" s="215"/>
      <c r="AJ1033" s="388">
        <f t="shared" si="76"/>
        <v>0</v>
      </c>
    </row>
    <row r="1034" spans="1:36" x14ac:dyDescent="0.3">
      <c r="A1034" s="192">
        <v>5831</v>
      </c>
      <c r="B1034" s="192">
        <v>99</v>
      </c>
      <c r="C1034" s="192">
        <v>0</v>
      </c>
      <c r="D1034" s="192" t="s">
        <v>1699</v>
      </c>
      <c r="E1034" s="192">
        <v>7574343</v>
      </c>
      <c r="F1034" s="192" t="s">
        <v>2043</v>
      </c>
      <c r="G1034" s="290">
        <v>0.42</v>
      </c>
      <c r="H1034" s="192">
        <v>5567.51</v>
      </c>
      <c r="I1034" s="192">
        <v>1616.85</v>
      </c>
      <c r="J1034" s="192">
        <v>0</v>
      </c>
      <c r="K1034" s="192">
        <v>0</v>
      </c>
      <c r="L1034" s="192">
        <v>158.69</v>
      </c>
      <c r="M1034" s="192">
        <v>0</v>
      </c>
      <c r="N1034" s="192">
        <v>26</v>
      </c>
      <c r="O1034" s="192">
        <v>7369.05</v>
      </c>
      <c r="P1034" s="192">
        <v>0</v>
      </c>
      <c r="Q1034" s="192">
        <v>0</v>
      </c>
      <c r="R1034" s="192">
        <v>0</v>
      </c>
      <c r="S1034" s="285">
        <f t="shared" si="75"/>
        <v>0.42</v>
      </c>
      <c r="T1034" s="192">
        <v>0</v>
      </c>
      <c r="U1034" s="291">
        <v>7369.05</v>
      </c>
      <c r="V1034" s="291">
        <v>7369.05</v>
      </c>
      <c r="W1034" s="292">
        <v>88428.6</v>
      </c>
      <c r="X1034" s="292">
        <v>88428.6</v>
      </c>
      <c r="Y1034" s="292">
        <v>88428.6</v>
      </c>
      <c r="Z1034" s="292">
        <v>97261.65</v>
      </c>
      <c r="AA1034" s="290">
        <v>99498.667950000003</v>
      </c>
      <c r="AB1034" s="285">
        <v>98720.57475</v>
      </c>
      <c r="AC1034" s="290">
        <v>7369.05</v>
      </c>
      <c r="AD1034" s="192">
        <v>12</v>
      </c>
      <c r="AE1034" s="290">
        <v>7369.05</v>
      </c>
      <c r="AF1034" s="194">
        <v>95797.650000000009</v>
      </c>
      <c r="AG1034" s="215"/>
      <c r="AJ1034" s="388">
        <f t="shared" si="76"/>
        <v>0</v>
      </c>
    </row>
    <row r="1035" spans="1:36" x14ac:dyDescent="0.3">
      <c r="A1035" s="192">
        <v>5831</v>
      </c>
      <c r="B1035" s="192">
        <v>99</v>
      </c>
      <c r="C1035" s="192">
        <v>0</v>
      </c>
      <c r="D1035" s="192" t="s">
        <v>1699</v>
      </c>
      <c r="E1035" s="192">
        <v>7574361</v>
      </c>
      <c r="F1035" s="192" t="s">
        <v>2044</v>
      </c>
      <c r="G1035" s="290">
        <v>0.34399999999999997</v>
      </c>
      <c r="H1035" s="192">
        <v>1998.88</v>
      </c>
      <c r="I1035" s="192">
        <v>0</v>
      </c>
      <c r="J1035" s="192">
        <v>0</v>
      </c>
      <c r="K1035" s="192">
        <v>0</v>
      </c>
      <c r="L1035" s="192">
        <v>260.85000000000002</v>
      </c>
      <c r="M1035" s="192">
        <v>0</v>
      </c>
      <c r="N1035" s="192">
        <v>0</v>
      </c>
      <c r="O1035" s="192">
        <v>2259.73</v>
      </c>
      <c r="P1035" s="192">
        <v>0</v>
      </c>
      <c r="Q1035" s="192">
        <v>180.73</v>
      </c>
      <c r="R1035" s="192">
        <v>0</v>
      </c>
      <c r="S1035" s="285">
        <f t="shared" si="75"/>
        <v>0.34400000000000003</v>
      </c>
      <c r="T1035" s="192">
        <v>0</v>
      </c>
      <c r="U1035" s="291">
        <v>2440.46</v>
      </c>
      <c r="V1035" s="291">
        <v>2440.46</v>
      </c>
      <c r="W1035" s="292">
        <v>29150.52</v>
      </c>
      <c r="X1035" s="292">
        <v>29285.52</v>
      </c>
      <c r="Y1035" s="292">
        <v>29195.52</v>
      </c>
      <c r="Z1035" s="292">
        <v>31830.66</v>
      </c>
      <c r="AA1035" s="290">
        <v>32562.765179999999</v>
      </c>
      <c r="AB1035" s="285">
        <v>32308.119899999998</v>
      </c>
      <c r="AC1035" s="290">
        <v>2429.21</v>
      </c>
      <c r="AD1035" s="192">
        <v>12</v>
      </c>
      <c r="AE1035" s="290">
        <v>2440.46</v>
      </c>
      <c r="AF1035" s="194">
        <v>31590.98</v>
      </c>
      <c r="AG1035" s="215"/>
      <c r="AJ1035" s="388">
        <f t="shared" si="76"/>
        <v>0</v>
      </c>
    </row>
    <row r="1036" spans="1:36" x14ac:dyDescent="0.3">
      <c r="A1036" s="192">
        <v>5831</v>
      </c>
      <c r="B1036" s="192">
        <v>99</v>
      </c>
      <c r="C1036" s="192">
        <v>0</v>
      </c>
      <c r="D1036" s="192" t="s">
        <v>1699</v>
      </c>
      <c r="E1036" s="192">
        <v>7595841</v>
      </c>
      <c r="F1036" s="192" t="s">
        <v>2045</v>
      </c>
      <c r="G1036" s="290">
        <v>0.42</v>
      </c>
      <c r="H1036" s="192">
        <v>2255.59</v>
      </c>
      <c r="I1036" s="192">
        <v>0</v>
      </c>
      <c r="J1036" s="192">
        <v>0</v>
      </c>
      <c r="K1036" s="192">
        <v>0</v>
      </c>
      <c r="L1036" s="192">
        <v>83.88</v>
      </c>
      <c r="M1036" s="192">
        <v>0</v>
      </c>
      <c r="N1036" s="192">
        <v>117</v>
      </c>
      <c r="O1036" s="192">
        <v>2456.4699999999998</v>
      </c>
      <c r="P1036" s="192">
        <v>0</v>
      </c>
      <c r="Q1036" s="192">
        <v>0</v>
      </c>
      <c r="R1036" s="192">
        <v>0</v>
      </c>
      <c r="S1036" s="285">
        <f t="shared" si="75"/>
        <v>0.42</v>
      </c>
      <c r="T1036" s="192">
        <v>0</v>
      </c>
      <c r="U1036" s="291">
        <v>2456.4699999999998</v>
      </c>
      <c r="V1036" s="291">
        <v>2456.4699999999998</v>
      </c>
      <c r="W1036" s="292">
        <v>29477.64</v>
      </c>
      <c r="X1036" s="292">
        <v>29477.64</v>
      </c>
      <c r="Y1036" s="292">
        <v>29477.64</v>
      </c>
      <c r="Z1036" s="292">
        <v>33143.43</v>
      </c>
      <c r="AA1036" s="290">
        <v>33905.728889999999</v>
      </c>
      <c r="AB1036" s="285">
        <v>33640.581449999998</v>
      </c>
      <c r="AC1036" s="290">
        <v>2456.4699999999998</v>
      </c>
      <c r="AD1036" s="192">
        <v>12</v>
      </c>
      <c r="AE1036" s="290">
        <v>2456.4699999999998</v>
      </c>
      <c r="AF1036" s="194">
        <v>31934.11</v>
      </c>
      <c r="AG1036" s="215"/>
      <c r="AJ1036" s="388">
        <f t="shared" si="76"/>
        <v>0</v>
      </c>
    </row>
    <row r="1037" spans="1:36" x14ac:dyDescent="0.3">
      <c r="A1037" s="192">
        <v>5831</v>
      </c>
      <c r="B1037" s="192">
        <v>99</v>
      </c>
      <c r="C1037" s="192">
        <v>0</v>
      </c>
      <c r="D1037" s="192" t="s">
        <v>1699</v>
      </c>
      <c r="E1037" s="192">
        <v>7728591</v>
      </c>
      <c r="F1037" s="192" t="s">
        <v>2046</v>
      </c>
      <c r="G1037" s="290">
        <v>0.6</v>
      </c>
      <c r="H1037" s="192">
        <v>1774.12</v>
      </c>
      <c r="I1037" s="192">
        <v>0</v>
      </c>
      <c r="J1037" s="192">
        <v>0</v>
      </c>
      <c r="K1037" s="192">
        <v>0</v>
      </c>
      <c r="L1037" s="192">
        <v>158.84</v>
      </c>
      <c r="M1037" s="192">
        <v>0</v>
      </c>
      <c r="N1037" s="192">
        <v>0</v>
      </c>
      <c r="O1037" s="192">
        <v>1932.96</v>
      </c>
      <c r="P1037" s="192">
        <v>0</v>
      </c>
      <c r="Q1037" s="192">
        <v>156.22</v>
      </c>
      <c r="R1037" s="192">
        <v>0</v>
      </c>
      <c r="S1037" s="285">
        <f t="shared" si="75"/>
        <v>0.6</v>
      </c>
      <c r="T1037" s="192">
        <v>0</v>
      </c>
      <c r="U1037" s="291">
        <v>2089.1799999999998</v>
      </c>
      <c r="V1037" s="291">
        <v>2089.1799999999998</v>
      </c>
      <c r="W1037" s="292">
        <v>24935.159999999996</v>
      </c>
      <c r="X1037" s="292">
        <v>25070.159999999996</v>
      </c>
      <c r="Y1037" s="292">
        <v>24980.159999999996</v>
      </c>
      <c r="Z1037" s="292">
        <v>27347.72</v>
      </c>
      <c r="AA1037" s="290">
        <v>27976.717559999997</v>
      </c>
      <c r="AB1037" s="285">
        <v>27757.935799999999</v>
      </c>
      <c r="AC1037" s="290">
        <v>2077.9299999999998</v>
      </c>
      <c r="AD1037" s="192">
        <v>12</v>
      </c>
      <c r="AE1037" s="290">
        <v>2089.1799999999998</v>
      </c>
      <c r="AF1037" s="194">
        <v>27024.339999999997</v>
      </c>
      <c r="AG1037" s="215"/>
      <c r="AJ1037" s="388">
        <f t="shared" si="76"/>
        <v>0</v>
      </c>
    </row>
    <row r="1038" spans="1:36" x14ac:dyDescent="0.3">
      <c r="A1038" s="192">
        <v>5831</v>
      </c>
      <c r="B1038" s="192">
        <v>99</v>
      </c>
      <c r="C1038" s="192">
        <v>0</v>
      </c>
      <c r="D1038" s="192" t="s">
        <v>1699</v>
      </c>
      <c r="E1038" s="192">
        <v>7733633</v>
      </c>
      <c r="F1038" s="192" t="s">
        <v>2047</v>
      </c>
      <c r="G1038" s="290">
        <v>0.7</v>
      </c>
      <c r="H1038" s="192">
        <v>4701.7299999999996</v>
      </c>
      <c r="I1038" s="192">
        <v>0</v>
      </c>
      <c r="J1038" s="192">
        <v>0</v>
      </c>
      <c r="K1038" s="192">
        <v>0</v>
      </c>
      <c r="L1038" s="192">
        <v>216.08</v>
      </c>
      <c r="M1038" s="192">
        <v>0</v>
      </c>
      <c r="N1038" s="192">
        <v>206.5</v>
      </c>
      <c r="O1038" s="192">
        <v>5124.3100000000004</v>
      </c>
      <c r="P1038" s="192">
        <v>0</v>
      </c>
      <c r="Q1038" s="192">
        <v>395.57</v>
      </c>
      <c r="R1038" s="192">
        <v>0</v>
      </c>
      <c r="S1038" s="285">
        <f t="shared" si="75"/>
        <v>0.69999999999999984</v>
      </c>
      <c r="T1038" s="192">
        <v>0</v>
      </c>
      <c r="U1038" s="291">
        <v>5519.88</v>
      </c>
      <c r="V1038" s="291">
        <v>5519.88</v>
      </c>
      <c r="W1038" s="292">
        <v>66103.56</v>
      </c>
      <c r="X1038" s="292">
        <v>66238.559999999998</v>
      </c>
      <c r="Y1038" s="292">
        <v>66148.56</v>
      </c>
      <c r="Z1038" s="292">
        <v>75010.649999999994</v>
      </c>
      <c r="AA1038" s="290">
        <v>76626.024749999997</v>
      </c>
      <c r="AB1038" s="285">
        <v>76026.798749999987</v>
      </c>
      <c r="AC1038" s="290">
        <v>5508.63</v>
      </c>
      <c r="AD1038" s="192">
        <v>12</v>
      </c>
      <c r="AE1038" s="290">
        <v>5519.88</v>
      </c>
      <c r="AF1038" s="194">
        <v>71623.44</v>
      </c>
      <c r="AG1038" s="215"/>
      <c r="AJ1038" s="388">
        <f t="shared" si="76"/>
        <v>0</v>
      </c>
    </row>
    <row r="1039" spans="1:36" x14ac:dyDescent="0.3">
      <c r="A1039" s="192">
        <v>5831</v>
      </c>
      <c r="B1039" s="192">
        <v>99</v>
      </c>
      <c r="C1039" s="192">
        <v>0</v>
      </c>
      <c r="D1039" s="192" t="s">
        <v>1699</v>
      </c>
      <c r="E1039" s="192">
        <v>7846283</v>
      </c>
      <c r="F1039" s="192" t="s">
        <v>2048</v>
      </c>
      <c r="G1039" s="290">
        <v>0.55000000000000004</v>
      </c>
      <c r="H1039" s="192">
        <v>4932.9399999999996</v>
      </c>
      <c r="I1039" s="192">
        <v>1775.48</v>
      </c>
      <c r="J1039" s="192">
        <v>0</v>
      </c>
      <c r="K1039" s="192">
        <v>0</v>
      </c>
      <c r="L1039" s="192">
        <v>885.55</v>
      </c>
      <c r="M1039" s="192">
        <v>0</v>
      </c>
      <c r="N1039" s="192">
        <v>0</v>
      </c>
      <c r="O1039" s="192">
        <v>7593.97</v>
      </c>
      <c r="P1039" s="192">
        <v>0</v>
      </c>
      <c r="Q1039" s="192">
        <v>580.79999999999995</v>
      </c>
      <c r="R1039" s="192">
        <v>0</v>
      </c>
      <c r="S1039" s="285">
        <f t="shared" si="75"/>
        <v>0.55000000000000004</v>
      </c>
      <c r="T1039" s="192">
        <v>0</v>
      </c>
      <c r="U1039" s="291">
        <v>8174.77</v>
      </c>
      <c r="V1039" s="291">
        <v>8174.77</v>
      </c>
      <c r="W1039" s="292">
        <v>97962.240000000005</v>
      </c>
      <c r="X1039" s="292">
        <v>98097.24</v>
      </c>
      <c r="Y1039" s="292">
        <v>98007.24</v>
      </c>
      <c r="Z1039" s="292">
        <v>107517.96</v>
      </c>
      <c r="AA1039" s="290">
        <v>109990.87307999998</v>
      </c>
      <c r="AB1039" s="285">
        <v>109130.72939999998</v>
      </c>
      <c r="AC1039" s="290">
        <v>8163.52</v>
      </c>
      <c r="AD1039" s="192">
        <v>12</v>
      </c>
      <c r="AE1039" s="290">
        <v>8174.77</v>
      </c>
      <c r="AF1039" s="194">
        <v>106137.01000000001</v>
      </c>
      <c r="AG1039" s="215"/>
      <c r="AJ1039" s="388">
        <f t="shared" si="76"/>
        <v>0</v>
      </c>
    </row>
    <row r="1040" spans="1:36" x14ac:dyDescent="0.3">
      <c r="A1040" s="192">
        <v>5831</v>
      </c>
      <c r="B1040" s="192">
        <v>99</v>
      </c>
      <c r="C1040" s="192">
        <v>0</v>
      </c>
      <c r="D1040" s="192" t="s">
        <v>1699</v>
      </c>
      <c r="E1040" s="192">
        <v>7846284</v>
      </c>
      <c r="F1040" s="192" t="s">
        <v>2049</v>
      </c>
      <c r="G1040" s="290">
        <v>0.54340999999999995</v>
      </c>
      <c r="H1040" s="192">
        <v>4261.45</v>
      </c>
      <c r="I1040" s="192">
        <v>0</v>
      </c>
      <c r="J1040" s="192">
        <v>0</v>
      </c>
      <c r="K1040" s="192">
        <v>0</v>
      </c>
      <c r="L1040" s="192">
        <v>121.46</v>
      </c>
      <c r="M1040" s="192">
        <v>0</v>
      </c>
      <c r="N1040" s="192">
        <v>0</v>
      </c>
      <c r="O1040" s="192">
        <v>4382.91</v>
      </c>
      <c r="P1040" s="192">
        <v>0</v>
      </c>
      <c r="Q1040" s="192">
        <v>339.97</v>
      </c>
      <c r="R1040" s="192">
        <v>0</v>
      </c>
      <c r="S1040" s="285">
        <f t="shared" si="75"/>
        <v>0.54340999999999995</v>
      </c>
      <c r="T1040" s="192">
        <v>0</v>
      </c>
      <c r="U1040" s="291">
        <v>4722.88</v>
      </c>
      <c r="V1040" s="291">
        <v>4722.88</v>
      </c>
      <c r="W1040" s="292">
        <v>56539.56</v>
      </c>
      <c r="X1040" s="292">
        <v>56674.559999999998</v>
      </c>
      <c r="Y1040" s="292">
        <v>56584.56</v>
      </c>
      <c r="Z1040" s="292">
        <v>64162.31</v>
      </c>
      <c r="AA1040" s="290">
        <v>65638.043129999991</v>
      </c>
      <c r="AB1040" s="285">
        <v>65124.744649999993</v>
      </c>
      <c r="AC1040" s="290">
        <v>4711.63</v>
      </c>
      <c r="AD1040" s="192">
        <v>12</v>
      </c>
      <c r="AE1040" s="290">
        <v>4722.88</v>
      </c>
      <c r="AF1040" s="194">
        <v>61262.439999999995</v>
      </c>
      <c r="AG1040" s="215"/>
      <c r="AJ1040" s="388">
        <f t="shared" si="76"/>
        <v>0</v>
      </c>
    </row>
    <row r="1041" spans="1:36" x14ac:dyDescent="0.3">
      <c r="A1041" s="192">
        <v>5831</v>
      </c>
      <c r="B1041" s="192">
        <v>99</v>
      </c>
      <c r="C1041" s="192">
        <v>0</v>
      </c>
      <c r="D1041" s="192" t="s">
        <v>1699</v>
      </c>
      <c r="E1041" s="192">
        <v>7887285</v>
      </c>
      <c r="F1041" s="192" t="s">
        <v>2050</v>
      </c>
      <c r="G1041" s="290">
        <v>0.36371999999999999</v>
      </c>
      <c r="H1041" s="192">
        <v>2139.86</v>
      </c>
      <c r="I1041" s="192">
        <v>0</v>
      </c>
      <c r="J1041" s="192">
        <v>0</v>
      </c>
      <c r="K1041" s="192">
        <v>0</v>
      </c>
      <c r="L1041" s="192">
        <v>80.680000000000007</v>
      </c>
      <c r="M1041" s="192">
        <v>0</v>
      </c>
      <c r="N1041" s="192">
        <v>0</v>
      </c>
      <c r="O1041" s="192">
        <v>2220.54</v>
      </c>
      <c r="P1041" s="192">
        <v>0</v>
      </c>
      <c r="Q1041" s="192">
        <v>177.79</v>
      </c>
      <c r="R1041" s="192">
        <v>0</v>
      </c>
      <c r="S1041" s="285">
        <f t="shared" si="75"/>
        <v>0.36371999999999999</v>
      </c>
      <c r="T1041" s="192">
        <v>0</v>
      </c>
      <c r="U1041" s="291">
        <v>2398.33</v>
      </c>
      <c r="V1041" s="291">
        <v>2398.33</v>
      </c>
      <c r="W1041" s="292">
        <v>28644.959999999999</v>
      </c>
      <c r="X1041" s="292">
        <v>28779.96</v>
      </c>
      <c r="Y1041" s="292">
        <v>28689.96</v>
      </c>
      <c r="Z1041" s="292">
        <v>32208.34</v>
      </c>
      <c r="AA1041" s="290">
        <v>32949.131819999995</v>
      </c>
      <c r="AB1041" s="285">
        <v>32691.465099999998</v>
      </c>
      <c r="AC1041" s="290">
        <v>2387.08</v>
      </c>
      <c r="AD1041" s="192">
        <v>12</v>
      </c>
      <c r="AE1041" s="290">
        <v>2398.33</v>
      </c>
      <c r="AF1041" s="194">
        <v>31043.29</v>
      </c>
      <c r="AG1041" s="215"/>
      <c r="AJ1041" s="388">
        <f t="shared" si="76"/>
        <v>0</v>
      </c>
    </row>
    <row r="1042" spans="1:36" x14ac:dyDescent="0.3">
      <c r="A1042" s="192">
        <v>5831</v>
      </c>
      <c r="B1042" s="192">
        <v>99</v>
      </c>
      <c r="C1042" s="192">
        <v>0</v>
      </c>
      <c r="D1042" s="192" t="s">
        <v>1699</v>
      </c>
      <c r="E1042" s="192">
        <v>7890384</v>
      </c>
      <c r="F1042" s="192" t="s">
        <v>2051</v>
      </c>
      <c r="G1042" s="290">
        <v>0.7</v>
      </c>
      <c r="H1042" s="192">
        <v>8208.75</v>
      </c>
      <c r="I1042" s="192">
        <v>2707.69</v>
      </c>
      <c r="J1042" s="192">
        <v>0</v>
      </c>
      <c r="K1042" s="192">
        <v>0</v>
      </c>
      <c r="L1042" s="192">
        <v>338.82</v>
      </c>
      <c r="M1042" s="192">
        <v>0</v>
      </c>
      <c r="N1042" s="192">
        <v>0</v>
      </c>
      <c r="O1042" s="192">
        <v>11255.26</v>
      </c>
      <c r="P1042" s="192">
        <v>0</v>
      </c>
      <c r="Q1042" s="192">
        <v>855.39</v>
      </c>
      <c r="R1042" s="192">
        <v>0</v>
      </c>
      <c r="S1042" s="285">
        <f t="shared" si="75"/>
        <v>0.69999999999999984</v>
      </c>
      <c r="T1042" s="192">
        <v>0</v>
      </c>
      <c r="U1042" s="291">
        <v>12110.65</v>
      </c>
      <c r="V1042" s="291">
        <v>12110.65</v>
      </c>
      <c r="W1042" s="292">
        <v>145192.79999999999</v>
      </c>
      <c r="X1042" s="292">
        <v>145327.79999999999</v>
      </c>
      <c r="Y1042" s="292">
        <v>145237.79999999999</v>
      </c>
      <c r="Z1042" s="292">
        <v>158211.06</v>
      </c>
      <c r="AA1042" s="290">
        <v>161849.91437999997</v>
      </c>
      <c r="AB1042" s="285">
        <v>160584.22589999999</v>
      </c>
      <c r="AC1042" s="290">
        <v>12099.4</v>
      </c>
      <c r="AD1042" s="192">
        <v>12</v>
      </c>
      <c r="AE1042" s="290">
        <v>12110.65</v>
      </c>
      <c r="AF1042" s="194">
        <v>157303.44999999998</v>
      </c>
      <c r="AG1042" s="215"/>
      <c r="AJ1042" s="388">
        <f t="shared" si="76"/>
        <v>0</v>
      </c>
    </row>
    <row r="1043" spans="1:36" x14ac:dyDescent="0.3">
      <c r="A1043" s="192">
        <v>5831</v>
      </c>
      <c r="B1043" s="192">
        <v>99</v>
      </c>
      <c r="C1043" s="192">
        <v>0</v>
      </c>
      <c r="D1043" s="192" t="s">
        <v>1699</v>
      </c>
      <c r="E1043" s="192">
        <v>7927694</v>
      </c>
      <c r="F1043" s="192" t="s">
        <v>2052</v>
      </c>
      <c r="G1043" s="290">
        <v>0.32800000000000001</v>
      </c>
      <c r="H1043" s="192">
        <v>2310.23</v>
      </c>
      <c r="I1043" s="192">
        <v>520.03</v>
      </c>
      <c r="J1043" s="192">
        <v>0</v>
      </c>
      <c r="K1043" s="192">
        <v>0</v>
      </c>
      <c r="L1043" s="192">
        <v>84.55</v>
      </c>
      <c r="M1043" s="192">
        <v>0</v>
      </c>
      <c r="N1043" s="192">
        <v>0</v>
      </c>
      <c r="O1043" s="192">
        <v>2914.81</v>
      </c>
      <c r="P1043" s="192">
        <v>0</v>
      </c>
      <c r="Q1043" s="192">
        <v>0</v>
      </c>
      <c r="R1043" s="192">
        <v>0</v>
      </c>
      <c r="S1043" s="285">
        <f t="shared" si="75"/>
        <v>0.32800000000000001</v>
      </c>
      <c r="T1043" s="192">
        <v>0</v>
      </c>
      <c r="U1043" s="291">
        <v>2914.81</v>
      </c>
      <c r="V1043" s="291">
        <v>2914.81</v>
      </c>
      <c r="W1043" s="292">
        <v>34977.72</v>
      </c>
      <c r="X1043" s="292">
        <v>34977.72</v>
      </c>
      <c r="Y1043" s="292">
        <v>34977.72</v>
      </c>
      <c r="Z1043" s="292">
        <v>41309.440000000002</v>
      </c>
      <c r="AA1043" s="290">
        <v>0</v>
      </c>
      <c r="AB1043" s="285">
        <v>0</v>
      </c>
      <c r="AC1043" s="290">
        <v>2914.81</v>
      </c>
      <c r="AD1043" s="192">
        <v>12</v>
      </c>
      <c r="AE1043" s="290">
        <v>2914.81</v>
      </c>
      <c r="AF1043" s="194">
        <v>37892.53</v>
      </c>
      <c r="AG1043" s="215"/>
      <c r="AJ1043" s="388">
        <f t="shared" si="76"/>
        <v>0</v>
      </c>
    </row>
    <row r="1044" spans="1:36" x14ac:dyDescent="0.3">
      <c r="A1044" s="192">
        <v>5831</v>
      </c>
      <c r="B1044" s="192">
        <v>99</v>
      </c>
      <c r="C1044" s="192">
        <v>0</v>
      </c>
      <c r="D1044" s="192" t="s">
        <v>1699</v>
      </c>
      <c r="E1044" s="192">
        <v>7928885</v>
      </c>
      <c r="F1044" s="192" t="s">
        <v>2053</v>
      </c>
      <c r="G1044" s="290">
        <v>0.5</v>
      </c>
      <c r="H1044" s="192">
        <v>3193.37</v>
      </c>
      <c r="I1044" s="192">
        <v>0</v>
      </c>
      <c r="J1044" s="192">
        <v>0</v>
      </c>
      <c r="K1044" s="192">
        <v>0</v>
      </c>
      <c r="L1044" s="192">
        <v>205.06</v>
      </c>
      <c r="M1044" s="192">
        <v>0</v>
      </c>
      <c r="N1044" s="192">
        <v>0</v>
      </c>
      <c r="O1044" s="192">
        <v>3398.43</v>
      </c>
      <c r="P1044" s="192">
        <v>0</v>
      </c>
      <c r="Q1044" s="192">
        <v>266.13</v>
      </c>
      <c r="R1044" s="192">
        <v>0</v>
      </c>
      <c r="S1044" s="285">
        <f t="shared" si="75"/>
        <v>0.5</v>
      </c>
      <c r="T1044" s="192">
        <v>0</v>
      </c>
      <c r="U1044" s="291">
        <v>3664.56</v>
      </c>
      <c r="V1044" s="291">
        <v>3664.56</v>
      </c>
      <c r="W1044" s="292">
        <v>43839.72</v>
      </c>
      <c r="X1044" s="292">
        <v>43974.720000000001</v>
      </c>
      <c r="Y1044" s="292">
        <v>43884.72</v>
      </c>
      <c r="Z1044" s="292">
        <v>47603.22</v>
      </c>
      <c r="AA1044" s="290">
        <v>48698.094059999996</v>
      </c>
      <c r="AB1044" s="285">
        <v>48317.268299999996</v>
      </c>
      <c r="AC1044" s="290">
        <v>3653.31</v>
      </c>
      <c r="AD1044" s="192">
        <v>12</v>
      </c>
      <c r="AE1044" s="290">
        <v>3664.56</v>
      </c>
      <c r="AF1044" s="194">
        <v>47504.28</v>
      </c>
      <c r="AG1044" s="215"/>
      <c r="AJ1044" s="388">
        <f t="shared" si="76"/>
        <v>0</v>
      </c>
    </row>
    <row r="1045" spans="1:36" x14ac:dyDescent="0.3">
      <c r="A1045" s="192">
        <v>5831</v>
      </c>
      <c r="B1045" s="192">
        <v>99</v>
      </c>
      <c r="C1045" s="192">
        <v>0</v>
      </c>
      <c r="D1045" s="192" t="s">
        <v>1699</v>
      </c>
      <c r="E1045" s="192">
        <v>7930046</v>
      </c>
      <c r="F1045" s="192" t="s">
        <v>2054</v>
      </c>
      <c r="G1045" s="290">
        <v>0.505</v>
      </c>
      <c r="H1045" s="192">
        <v>2933.58</v>
      </c>
      <c r="I1045" s="192">
        <v>0</v>
      </c>
      <c r="J1045" s="192">
        <v>0</v>
      </c>
      <c r="K1045" s="192">
        <v>0</v>
      </c>
      <c r="L1045" s="192">
        <v>188.83</v>
      </c>
      <c r="M1045" s="192">
        <v>0</v>
      </c>
      <c r="N1045" s="192">
        <v>160</v>
      </c>
      <c r="O1045" s="192">
        <v>3282.41</v>
      </c>
      <c r="P1045" s="192">
        <v>0</v>
      </c>
      <c r="Q1045" s="192">
        <v>257.43</v>
      </c>
      <c r="R1045" s="192">
        <v>0</v>
      </c>
      <c r="S1045" s="285">
        <f t="shared" si="75"/>
        <v>0.505</v>
      </c>
      <c r="T1045" s="192">
        <v>0</v>
      </c>
      <c r="U1045" s="291">
        <v>3539.84</v>
      </c>
      <c r="V1045" s="291">
        <v>3539.84</v>
      </c>
      <c r="W1045" s="292">
        <v>42343.08</v>
      </c>
      <c r="X1045" s="292">
        <v>42478.080000000002</v>
      </c>
      <c r="Y1045" s="292">
        <v>42388.08</v>
      </c>
      <c r="Z1045" s="292">
        <v>46375.74</v>
      </c>
      <c r="AA1045" s="290">
        <v>47442.382019999997</v>
      </c>
      <c r="AB1045" s="285">
        <v>47071.376099999994</v>
      </c>
      <c r="AC1045" s="290">
        <v>3528.59</v>
      </c>
      <c r="AD1045" s="192">
        <v>12</v>
      </c>
      <c r="AE1045" s="290">
        <v>3539.84</v>
      </c>
      <c r="AF1045" s="194">
        <v>45882.92</v>
      </c>
      <c r="AG1045" s="215"/>
      <c r="AJ1045" s="388">
        <f t="shared" si="76"/>
        <v>0</v>
      </c>
    </row>
    <row r="1046" spans="1:36" x14ac:dyDescent="0.3">
      <c r="A1046" s="192">
        <v>5831</v>
      </c>
      <c r="B1046" s="192">
        <v>99</v>
      </c>
      <c r="C1046" s="192">
        <v>0</v>
      </c>
      <c r="D1046" s="192" t="s">
        <v>1699</v>
      </c>
      <c r="E1046" s="192">
        <v>7934445</v>
      </c>
      <c r="F1046" s="192" t="s">
        <v>2055</v>
      </c>
      <c r="G1046" s="290">
        <v>0.60199999999999998</v>
      </c>
      <c r="H1046" s="192">
        <v>3332.11</v>
      </c>
      <c r="I1046" s="192">
        <v>0</v>
      </c>
      <c r="J1046" s="192">
        <v>0</v>
      </c>
      <c r="K1046" s="192">
        <v>0</v>
      </c>
      <c r="L1046" s="192">
        <v>125.21</v>
      </c>
      <c r="M1046" s="192">
        <v>0</v>
      </c>
      <c r="N1046" s="192">
        <v>0</v>
      </c>
      <c r="O1046" s="192">
        <v>3457.32</v>
      </c>
      <c r="P1046" s="192">
        <v>0</v>
      </c>
      <c r="Q1046" s="192">
        <v>270.55</v>
      </c>
      <c r="R1046" s="192">
        <v>0</v>
      </c>
      <c r="S1046" s="285">
        <f t="shared" si="75"/>
        <v>0.60199999999999998</v>
      </c>
      <c r="T1046" s="192">
        <v>0</v>
      </c>
      <c r="U1046" s="291">
        <v>3727.87</v>
      </c>
      <c r="V1046" s="291">
        <v>3727.87</v>
      </c>
      <c r="W1046" s="292">
        <v>44599.44</v>
      </c>
      <c r="X1046" s="292">
        <v>44734.44</v>
      </c>
      <c r="Y1046" s="292">
        <v>44644.44</v>
      </c>
      <c r="Z1046" s="292">
        <v>46261.71</v>
      </c>
      <c r="AA1046" s="290">
        <v>47325.729329999995</v>
      </c>
      <c r="AB1046" s="285">
        <v>46955.635649999997</v>
      </c>
      <c r="AC1046" s="290">
        <v>3716.62</v>
      </c>
      <c r="AD1046" s="192">
        <v>12</v>
      </c>
      <c r="AE1046" s="290">
        <v>3727.87</v>
      </c>
      <c r="AF1046" s="194">
        <v>48327.310000000005</v>
      </c>
      <c r="AG1046" s="215"/>
      <c r="AJ1046" s="388">
        <f t="shared" si="76"/>
        <v>0</v>
      </c>
    </row>
    <row r="1047" spans="1:36" x14ac:dyDescent="0.3">
      <c r="A1047" s="192">
        <v>5831</v>
      </c>
      <c r="B1047" s="192">
        <v>99</v>
      </c>
      <c r="C1047" s="192">
        <v>0</v>
      </c>
      <c r="D1047" s="192" t="s">
        <v>1699</v>
      </c>
      <c r="E1047" s="192">
        <v>7935114</v>
      </c>
      <c r="F1047" s="192" t="s">
        <v>2056</v>
      </c>
      <c r="G1047" s="290">
        <v>0.20599999999999999</v>
      </c>
      <c r="H1047" s="192">
        <v>1317.41</v>
      </c>
      <c r="I1047" s="192">
        <v>0</v>
      </c>
      <c r="J1047" s="192">
        <v>0</v>
      </c>
      <c r="K1047" s="192">
        <v>0</v>
      </c>
      <c r="L1047" s="192">
        <v>34.85</v>
      </c>
      <c r="M1047" s="192">
        <v>0</v>
      </c>
      <c r="N1047" s="192">
        <v>0</v>
      </c>
      <c r="O1047" s="192">
        <v>1352.26</v>
      </c>
      <c r="P1047" s="192">
        <v>0</v>
      </c>
      <c r="Q1047" s="192">
        <v>0</v>
      </c>
      <c r="R1047" s="192">
        <v>0</v>
      </c>
      <c r="S1047" s="285">
        <f t="shared" si="75"/>
        <v>0.20599999999999999</v>
      </c>
      <c r="T1047" s="192">
        <v>0</v>
      </c>
      <c r="U1047" s="291">
        <v>1352.26</v>
      </c>
      <c r="V1047" s="291">
        <v>1352.26</v>
      </c>
      <c r="W1047" s="292">
        <v>16227.119999999999</v>
      </c>
      <c r="X1047" s="292">
        <v>16227.119999999999</v>
      </c>
      <c r="Y1047" s="292">
        <v>16227.119999999999</v>
      </c>
      <c r="Z1047" s="292">
        <v>18059.2</v>
      </c>
      <c r="AA1047" s="290">
        <v>18474.561600000001</v>
      </c>
      <c r="AB1047" s="285">
        <v>18330.088</v>
      </c>
      <c r="AC1047" s="290">
        <v>1352.26</v>
      </c>
      <c r="AD1047" s="192">
        <v>12</v>
      </c>
      <c r="AE1047" s="290">
        <v>1352.26</v>
      </c>
      <c r="AF1047" s="194">
        <v>17579.379999999997</v>
      </c>
      <c r="AG1047" s="215"/>
      <c r="AJ1047" s="388">
        <f t="shared" si="76"/>
        <v>0</v>
      </c>
    </row>
    <row r="1048" spans="1:36" x14ac:dyDescent="0.3">
      <c r="A1048" s="192">
        <v>5831</v>
      </c>
      <c r="B1048" s="192">
        <v>99</v>
      </c>
      <c r="C1048" s="192">
        <v>0</v>
      </c>
      <c r="D1048" s="192" t="s">
        <v>1699</v>
      </c>
      <c r="E1048" s="192">
        <v>7941436</v>
      </c>
      <c r="F1048" s="192" t="s">
        <v>2057</v>
      </c>
      <c r="G1048" s="290">
        <v>0.66</v>
      </c>
      <c r="H1048" s="192">
        <v>4236.29</v>
      </c>
      <c r="I1048" s="192">
        <v>0</v>
      </c>
      <c r="J1048" s="192">
        <v>0</v>
      </c>
      <c r="K1048" s="192">
        <v>0</v>
      </c>
      <c r="L1048" s="192">
        <v>160.68</v>
      </c>
      <c r="M1048" s="192">
        <v>0</v>
      </c>
      <c r="N1048" s="192">
        <v>0</v>
      </c>
      <c r="O1048" s="192">
        <v>4396.97</v>
      </c>
      <c r="P1048" s="192">
        <v>0</v>
      </c>
      <c r="Q1048" s="192">
        <v>341.02</v>
      </c>
      <c r="R1048" s="192">
        <v>0</v>
      </c>
      <c r="S1048" s="285">
        <f t="shared" si="75"/>
        <v>0.66</v>
      </c>
      <c r="T1048" s="192">
        <v>0</v>
      </c>
      <c r="U1048" s="291">
        <v>4737.99</v>
      </c>
      <c r="V1048" s="291">
        <v>4737.99</v>
      </c>
      <c r="W1048" s="292">
        <v>56720.88</v>
      </c>
      <c r="X1048" s="292">
        <v>56855.88</v>
      </c>
      <c r="Y1048" s="292">
        <v>56765.88</v>
      </c>
      <c r="Z1048" s="292">
        <v>65501.32</v>
      </c>
      <c r="AA1048" s="290">
        <v>67007.850359999997</v>
      </c>
      <c r="AB1048" s="285">
        <v>66483.839799999987</v>
      </c>
      <c r="AC1048" s="290">
        <v>4726.74</v>
      </c>
      <c r="AD1048" s="192">
        <v>12</v>
      </c>
      <c r="AE1048" s="290">
        <v>4737.99</v>
      </c>
      <c r="AF1048" s="194">
        <v>61458.869999999995</v>
      </c>
      <c r="AG1048" s="215"/>
      <c r="AJ1048" s="388">
        <f t="shared" si="76"/>
        <v>0</v>
      </c>
    </row>
    <row r="1049" spans="1:36" x14ac:dyDescent="0.3">
      <c r="A1049" s="192">
        <v>5831</v>
      </c>
      <c r="B1049" s="192">
        <v>99</v>
      </c>
      <c r="C1049" s="192">
        <v>0</v>
      </c>
      <c r="D1049" s="192" t="s">
        <v>1699</v>
      </c>
      <c r="E1049" s="192">
        <v>7951385</v>
      </c>
      <c r="F1049" s="192" t="s">
        <v>2058</v>
      </c>
      <c r="G1049" s="290">
        <v>0.41360000000000002</v>
      </c>
      <c r="H1049" s="192">
        <v>2416.37</v>
      </c>
      <c r="I1049" s="192">
        <v>0</v>
      </c>
      <c r="J1049" s="192">
        <v>0</v>
      </c>
      <c r="K1049" s="192">
        <v>0</v>
      </c>
      <c r="L1049" s="192">
        <v>90.03</v>
      </c>
      <c r="M1049" s="192">
        <v>0</v>
      </c>
      <c r="N1049" s="192">
        <v>0</v>
      </c>
      <c r="O1049" s="192">
        <v>2506.4</v>
      </c>
      <c r="P1049" s="192">
        <v>0</v>
      </c>
      <c r="Q1049" s="192">
        <v>199.23</v>
      </c>
      <c r="R1049" s="192">
        <v>0</v>
      </c>
      <c r="S1049" s="285">
        <f t="shared" si="75"/>
        <v>0.41360000000000002</v>
      </c>
      <c r="T1049" s="192">
        <v>0</v>
      </c>
      <c r="U1049" s="291">
        <v>2705.63</v>
      </c>
      <c r="V1049" s="291">
        <v>2705.63</v>
      </c>
      <c r="W1049" s="292">
        <v>32332.560000000001</v>
      </c>
      <c r="X1049" s="292">
        <v>32467.56</v>
      </c>
      <c r="Y1049" s="292">
        <v>32377.56</v>
      </c>
      <c r="Z1049" s="292">
        <v>36130.019999999997</v>
      </c>
      <c r="AA1049" s="290">
        <v>36961.01045999999</v>
      </c>
      <c r="AB1049" s="285">
        <v>36671.970299999994</v>
      </c>
      <c r="AC1049" s="290">
        <v>2694.38</v>
      </c>
      <c r="AD1049" s="192">
        <v>12</v>
      </c>
      <c r="AE1049" s="290">
        <v>2705.63</v>
      </c>
      <c r="AF1049" s="194">
        <v>35038.19</v>
      </c>
      <c r="AG1049" s="215"/>
      <c r="AJ1049" s="388">
        <f t="shared" si="76"/>
        <v>0</v>
      </c>
    </row>
    <row r="1050" spans="1:36" x14ac:dyDescent="0.3">
      <c r="A1050" s="192">
        <v>5831</v>
      </c>
      <c r="B1050" s="192">
        <v>99</v>
      </c>
      <c r="C1050" s="192">
        <v>0</v>
      </c>
      <c r="D1050" s="192" t="s">
        <v>1699</v>
      </c>
      <c r="E1050" s="192">
        <v>7951387</v>
      </c>
      <c r="F1050" s="192" t="s">
        <v>2059</v>
      </c>
      <c r="G1050" s="290">
        <v>0.24099999999999999</v>
      </c>
      <c r="H1050" s="192">
        <v>1534.46</v>
      </c>
      <c r="I1050" s="192">
        <v>0</v>
      </c>
      <c r="J1050" s="192">
        <v>0</v>
      </c>
      <c r="K1050" s="192">
        <v>0</v>
      </c>
      <c r="L1050" s="192">
        <v>44.29</v>
      </c>
      <c r="M1050" s="192">
        <v>0</v>
      </c>
      <c r="N1050" s="192">
        <v>135</v>
      </c>
      <c r="O1050" s="192">
        <v>1713.75</v>
      </c>
      <c r="P1050" s="192">
        <v>0</v>
      </c>
      <c r="Q1050" s="192">
        <v>139.78</v>
      </c>
      <c r="R1050" s="192">
        <v>0</v>
      </c>
      <c r="S1050" s="285">
        <f t="shared" si="75"/>
        <v>0.24099999999999999</v>
      </c>
      <c r="T1050" s="192">
        <v>0</v>
      </c>
      <c r="U1050" s="291">
        <v>1853.53</v>
      </c>
      <c r="V1050" s="291">
        <v>1853.53</v>
      </c>
      <c r="W1050" s="292">
        <v>22107.360000000001</v>
      </c>
      <c r="X1050" s="292">
        <v>22242.36</v>
      </c>
      <c r="Y1050" s="292">
        <v>22152.36</v>
      </c>
      <c r="Z1050" s="292">
        <v>24388.959999999999</v>
      </c>
      <c r="AA1050" s="290">
        <v>24949.906079999997</v>
      </c>
      <c r="AB1050" s="285">
        <v>24754.794399999995</v>
      </c>
      <c r="AC1050" s="290">
        <v>1842.28</v>
      </c>
      <c r="AD1050" s="192">
        <v>12</v>
      </c>
      <c r="AE1050" s="290">
        <v>1853.53</v>
      </c>
      <c r="AF1050" s="194">
        <v>23960.89</v>
      </c>
      <c r="AG1050" s="215"/>
      <c r="AJ1050" s="388">
        <f t="shared" si="76"/>
        <v>0</v>
      </c>
    </row>
    <row r="1051" spans="1:36" x14ac:dyDescent="0.3">
      <c r="A1051" s="192">
        <v>5831</v>
      </c>
      <c r="B1051" s="192">
        <v>99</v>
      </c>
      <c r="C1051" s="192">
        <v>0</v>
      </c>
      <c r="D1051" s="192" t="s">
        <v>1699</v>
      </c>
      <c r="E1051" s="192">
        <v>7951551</v>
      </c>
      <c r="F1051" s="192" t="s">
        <v>2060</v>
      </c>
      <c r="G1051" s="290">
        <v>0.35</v>
      </c>
      <c r="H1051" s="192">
        <v>2359.5300000000002</v>
      </c>
      <c r="I1051" s="192">
        <v>105</v>
      </c>
      <c r="J1051" s="192">
        <v>0</v>
      </c>
      <c r="K1051" s="192">
        <v>0</v>
      </c>
      <c r="L1051" s="192">
        <v>68.36</v>
      </c>
      <c r="M1051" s="192">
        <v>0</v>
      </c>
      <c r="N1051" s="192">
        <v>0</v>
      </c>
      <c r="O1051" s="192">
        <v>2532.89</v>
      </c>
      <c r="P1051" s="192">
        <v>0</v>
      </c>
      <c r="Q1051" s="192">
        <v>201.22</v>
      </c>
      <c r="R1051" s="192">
        <v>0</v>
      </c>
      <c r="S1051" s="285">
        <f t="shared" si="75"/>
        <v>0.34999999999999992</v>
      </c>
      <c r="T1051" s="192">
        <v>0</v>
      </c>
      <c r="U1051" s="291">
        <v>2734.11</v>
      </c>
      <c r="V1051" s="291">
        <v>2734.11</v>
      </c>
      <c r="W1051" s="292">
        <v>32674.32</v>
      </c>
      <c r="X1051" s="292">
        <v>32809.32</v>
      </c>
      <c r="Y1051" s="292">
        <v>32719.32</v>
      </c>
      <c r="Z1051" s="292">
        <v>35446.33</v>
      </c>
      <c r="AA1051" s="290">
        <v>36261.595589999997</v>
      </c>
      <c r="AB1051" s="285">
        <v>35978.024949999999</v>
      </c>
      <c r="AC1051" s="290">
        <v>2722.86</v>
      </c>
      <c r="AD1051" s="192">
        <v>12</v>
      </c>
      <c r="AE1051" s="290">
        <v>2734.11</v>
      </c>
      <c r="AF1051" s="194">
        <v>35408.43</v>
      </c>
      <c r="AG1051" s="215"/>
      <c r="AJ1051" s="388">
        <f t="shared" si="76"/>
        <v>0</v>
      </c>
    </row>
    <row r="1052" spans="1:36" x14ac:dyDescent="0.3">
      <c r="A1052" s="192">
        <v>5831</v>
      </c>
      <c r="B1052" s="192">
        <v>99</v>
      </c>
      <c r="C1052" s="192">
        <v>0</v>
      </c>
      <c r="D1052" s="192" t="s">
        <v>1699</v>
      </c>
      <c r="E1052" s="192">
        <v>7951552</v>
      </c>
      <c r="F1052" s="192" t="s">
        <v>2061</v>
      </c>
      <c r="G1052" s="290">
        <v>0.34499999999999997</v>
      </c>
      <c r="H1052" s="192">
        <v>2321.85</v>
      </c>
      <c r="I1052" s="192">
        <v>0</v>
      </c>
      <c r="J1052" s="192">
        <v>0</v>
      </c>
      <c r="K1052" s="192">
        <v>0</v>
      </c>
      <c r="L1052" s="192">
        <v>147.57</v>
      </c>
      <c r="M1052" s="192">
        <v>0</v>
      </c>
      <c r="N1052" s="192">
        <v>62</v>
      </c>
      <c r="O1052" s="192">
        <v>2531.42</v>
      </c>
      <c r="P1052" s="192">
        <v>0</v>
      </c>
      <c r="Q1052" s="192">
        <v>201.11</v>
      </c>
      <c r="R1052" s="192">
        <v>0</v>
      </c>
      <c r="S1052" s="285">
        <f t="shared" si="75"/>
        <v>0.34499999999999997</v>
      </c>
      <c r="T1052" s="192">
        <v>0</v>
      </c>
      <c r="U1052" s="291">
        <v>2732.53</v>
      </c>
      <c r="V1052" s="291">
        <v>2732.53</v>
      </c>
      <c r="W1052" s="292">
        <v>32655.360000000001</v>
      </c>
      <c r="X1052" s="292">
        <v>32790.36</v>
      </c>
      <c r="Y1052" s="292">
        <v>32700.36</v>
      </c>
      <c r="Z1052" s="292">
        <v>37170.11</v>
      </c>
      <c r="AA1052" s="290">
        <v>38025.022529999995</v>
      </c>
      <c r="AB1052" s="285">
        <v>37727.661649999995</v>
      </c>
      <c r="AC1052" s="290">
        <v>3500</v>
      </c>
      <c r="AD1052" s="192">
        <v>12</v>
      </c>
      <c r="AE1052" s="290">
        <v>2732.53</v>
      </c>
      <c r="AF1052" s="194">
        <v>44732.53</v>
      </c>
      <c r="AG1052" s="215"/>
      <c r="AJ1052" s="388">
        <f t="shared" si="76"/>
        <v>0</v>
      </c>
    </row>
    <row r="1053" spans="1:36" x14ac:dyDescent="0.3">
      <c r="A1053" s="192">
        <v>5831</v>
      </c>
      <c r="B1053" s="192">
        <v>99</v>
      </c>
      <c r="C1053" s="192">
        <v>0</v>
      </c>
      <c r="D1053" s="192" t="s">
        <v>1699</v>
      </c>
      <c r="E1053" s="192">
        <v>7967156</v>
      </c>
      <c r="F1053" s="192" t="s">
        <v>2062</v>
      </c>
      <c r="G1053" s="290">
        <v>0.58499999999999996</v>
      </c>
      <c r="H1053" s="192">
        <v>3675.06</v>
      </c>
      <c r="I1053" s="192">
        <v>0</v>
      </c>
      <c r="J1053" s="192">
        <v>0</v>
      </c>
      <c r="K1053" s="192">
        <v>0</v>
      </c>
      <c r="L1053" s="192">
        <v>136.09</v>
      </c>
      <c r="M1053" s="192">
        <v>0</v>
      </c>
      <c r="N1053" s="192">
        <v>0</v>
      </c>
      <c r="O1053" s="192">
        <v>3811.15</v>
      </c>
      <c r="P1053" s="192">
        <v>0</v>
      </c>
      <c r="Q1053" s="192">
        <v>297.08999999999997</v>
      </c>
      <c r="R1053" s="192">
        <v>0</v>
      </c>
      <c r="S1053" s="285">
        <f t="shared" si="75"/>
        <v>0.58499999999999996</v>
      </c>
      <c r="T1053" s="192">
        <v>0</v>
      </c>
      <c r="U1053" s="291">
        <v>4108.24</v>
      </c>
      <c r="V1053" s="291">
        <v>4108.24</v>
      </c>
      <c r="W1053" s="292">
        <v>49163.88</v>
      </c>
      <c r="X1053" s="292">
        <v>49298.879999999997</v>
      </c>
      <c r="Y1053" s="292">
        <v>49208.88</v>
      </c>
      <c r="Z1053" s="292">
        <v>57059.96</v>
      </c>
      <c r="AA1053" s="290">
        <v>58372.339079999998</v>
      </c>
      <c r="AB1053" s="285">
        <v>57915.859400000001</v>
      </c>
      <c r="AC1053" s="290">
        <v>4500</v>
      </c>
      <c r="AD1053" s="192">
        <v>12</v>
      </c>
      <c r="AE1053" s="290">
        <v>4108.24</v>
      </c>
      <c r="AF1053" s="194">
        <v>58108.24</v>
      </c>
      <c r="AG1053" s="215"/>
      <c r="AJ1053" s="388">
        <f t="shared" si="76"/>
        <v>0</v>
      </c>
    </row>
    <row r="1054" spans="1:36" x14ac:dyDescent="0.3">
      <c r="A1054" s="192">
        <v>5831</v>
      </c>
      <c r="B1054" s="192">
        <v>99</v>
      </c>
      <c r="C1054" s="192">
        <v>0</v>
      </c>
      <c r="D1054" s="192" t="s">
        <v>1699</v>
      </c>
      <c r="E1054" s="192">
        <v>7972346</v>
      </c>
      <c r="F1054" s="192" t="s">
        <v>2063</v>
      </c>
      <c r="G1054" s="290">
        <v>0.39</v>
      </c>
      <c r="H1054" s="192">
        <v>2532.4299999999998</v>
      </c>
      <c r="I1054" s="192">
        <v>393</v>
      </c>
      <c r="J1054" s="192">
        <v>0</v>
      </c>
      <c r="K1054" s="192">
        <v>0</v>
      </c>
      <c r="L1054" s="192">
        <v>423.03</v>
      </c>
      <c r="M1054" s="192">
        <v>0</v>
      </c>
      <c r="N1054" s="192">
        <v>0</v>
      </c>
      <c r="O1054" s="192">
        <v>3348.46</v>
      </c>
      <c r="P1054" s="192">
        <v>0</v>
      </c>
      <c r="Q1054" s="192">
        <v>0</v>
      </c>
      <c r="R1054" s="192">
        <v>0</v>
      </c>
      <c r="S1054" s="285">
        <f t="shared" ref="S1054:S1091" si="77">G1054*AD1054/$AG$1</f>
        <v>0.38999999999999996</v>
      </c>
      <c r="T1054" s="192">
        <v>0</v>
      </c>
      <c r="U1054" s="291">
        <v>3348.46</v>
      </c>
      <c r="V1054" s="291">
        <v>3348.46</v>
      </c>
      <c r="W1054" s="292">
        <v>40181.520000000004</v>
      </c>
      <c r="X1054" s="292">
        <v>40181.520000000004</v>
      </c>
      <c r="Y1054" s="292">
        <v>40181.519999999997</v>
      </c>
      <c r="Z1054" s="292">
        <v>45545.64</v>
      </c>
      <c r="AA1054" s="290">
        <v>46593.189719999995</v>
      </c>
      <c r="AB1054" s="285">
        <v>46228.824599999993</v>
      </c>
      <c r="AC1054" s="290">
        <v>4580</v>
      </c>
      <c r="AD1054" s="192">
        <v>12</v>
      </c>
      <c r="AE1054" s="290">
        <v>3348.46</v>
      </c>
      <c r="AF1054" s="194">
        <v>58308.46</v>
      </c>
      <c r="AG1054" s="215"/>
      <c r="AJ1054" s="388">
        <f t="shared" ref="AJ1054:AJ1091" si="78">G1054-S1054</f>
        <v>0</v>
      </c>
    </row>
    <row r="1055" spans="1:36" x14ac:dyDescent="0.3">
      <c r="A1055" s="192">
        <v>5831</v>
      </c>
      <c r="B1055" s="192">
        <v>99</v>
      </c>
      <c r="C1055" s="192">
        <v>0</v>
      </c>
      <c r="D1055" s="192" t="s">
        <v>1699</v>
      </c>
      <c r="E1055" s="192">
        <v>7985331</v>
      </c>
      <c r="F1055" s="192" t="s">
        <v>2064</v>
      </c>
      <c r="G1055" s="290">
        <v>0.42</v>
      </c>
      <c r="H1055" s="192">
        <v>5836.85</v>
      </c>
      <c r="I1055" s="192">
        <v>1399.31</v>
      </c>
      <c r="J1055" s="192">
        <v>0</v>
      </c>
      <c r="K1055" s="192">
        <v>0</v>
      </c>
      <c r="L1055" s="192">
        <v>305.08</v>
      </c>
      <c r="M1055" s="192">
        <v>0</v>
      </c>
      <c r="N1055" s="192">
        <v>0</v>
      </c>
      <c r="O1055" s="192">
        <v>7541.24</v>
      </c>
      <c r="P1055" s="192">
        <v>0</v>
      </c>
      <c r="Q1055" s="192">
        <v>0</v>
      </c>
      <c r="R1055" s="192">
        <v>0</v>
      </c>
      <c r="S1055" s="285">
        <f t="shared" si="77"/>
        <v>0.42</v>
      </c>
      <c r="T1055" s="192">
        <v>0</v>
      </c>
      <c r="U1055" s="291">
        <v>7541.24</v>
      </c>
      <c r="V1055" s="291">
        <v>7541.24</v>
      </c>
      <c r="W1055" s="292">
        <v>90494.88</v>
      </c>
      <c r="X1055" s="292">
        <v>90494.88</v>
      </c>
      <c r="Y1055" s="292">
        <v>90494.88</v>
      </c>
      <c r="Z1055" s="292">
        <v>98251.78</v>
      </c>
      <c r="AA1055" s="290">
        <v>100511.57093999999</v>
      </c>
      <c r="AB1055" s="285">
        <v>99725.556699999986</v>
      </c>
      <c r="AC1055" s="290">
        <v>7541.24</v>
      </c>
      <c r="AD1055" s="192">
        <v>12</v>
      </c>
      <c r="AE1055" s="290">
        <v>7541.24</v>
      </c>
      <c r="AF1055" s="194">
        <v>98036.12000000001</v>
      </c>
      <c r="AG1055" s="215"/>
      <c r="AJ1055" s="388">
        <f t="shared" si="78"/>
        <v>0</v>
      </c>
    </row>
    <row r="1056" spans="1:36" x14ac:dyDescent="0.3">
      <c r="A1056" s="192">
        <v>5831</v>
      </c>
      <c r="B1056" s="192">
        <v>99</v>
      </c>
      <c r="C1056" s="192">
        <v>0</v>
      </c>
      <c r="D1056" s="192" t="s">
        <v>1699</v>
      </c>
      <c r="E1056" s="192">
        <v>7994542</v>
      </c>
      <c r="F1056" s="192" t="s">
        <v>2065</v>
      </c>
      <c r="G1056" s="290">
        <v>0.316</v>
      </c>
      <c r="H1056" s="192">
        <v>1831.96</v>
      </c>
      <c r="I1056" s="192">
        <v>0</v>
      </c>
      <c r="J1056" s="192">
        <v>0</v>
      </c>
      <c r="K1056" s="192">
        <v>0</v>
      </c>
      <c r="L1056" s="192">
        <v>186.24</v>
      </c>
      <c r="M1056" s="192">
        <v>0</v>
      </c>
      <c r="N1056" s="192">
        <v>0</v>
      </c>
      <c r="O1056" s="192">
        <v>2018.2</v>
      </c>
      <c r="P1056" s="192">
        <v>0</v>
      </c>
      <c r="Q1056" s="192">
        <v>162.62</v>
      </c>
      <c r="R1056" s="192">
        <v>0</v>
      </c>
      <c r="S1056" s="285">
        <f t="shared" si="77"/>
        <v>0.316</v>
      </c>
      <c r="T1056" s="192">
        <v>0</v>
      </c>
      <c r="U1056" s="291">
        <v>2180.8200000000002</v>
      </c>
      <c r="V1056" s="291">
        <v>2180.8200000000002</v>
      </c>
      <c r="W1056" s="292">
        <v>26034.840000000004</v>
      </c>
      <c r="X1056" s="292">
        <v>26169.840000000004</v>
      </c>
      <c r="Y1056" s="292">
        <v>26079.840000000004</v>
      </c>
      <c r="Z1056" s="292">
        <v>28537.67</v>
      </c>
      <c r="AA1056" s="290">
        <v>29194.036409999997</v>
      </c>
      <c r="AB1056" s="285">
        <v>28965.735049999996</v>
      </c>
      <c r="AC1056" s="290">
        <v>3169</v>
      </c>
      <c r="AD1056" s="192">
        <v>12</v>
      </c>
      <c r="AE1056" s="290">
        <v>2180.8200000000002</v>
      </c>
      <c r="AF1056" s="194">
        <v>40208.82</v>
      </c>
      <c r="AG1056" s="215"/>
      <c r="AJ1056" s="388">
        <f t="shared" si="78"/>
        <v>0</v>
      </c>
    </row>
    <row r="1057" spans="1:36" x14ac:dyDescent="0.3">
      <c r="A1057" s="192">
        <v>5831</v>
      </c>
      <c r="B1057" s="192">
        <v>99</v>
      </c>
      <c r="C1057" s="192">
        <v>0</v>
      </c>
      <c r="D1057" s="192" t="s">
        <v>1699</v>
      </c>
      <c r="E1057" s="192">
        <v>30346301</v>
      </c>
      <c r="F1057" s="192" t="s">
        <v>2066</v>
      </c>
      <c r="G1057" s="290">
        <v>0.28860000000000002</v>
      </c>
      <c r="H1057" s="192">
        <v>1770.79</v>
      </c>
      <c r="I1057" s="192">
        <v>0</v>
      </c>
      <c r="J1057" s="192">
        <v>0</v>
      </c>
      <c r="K1057" s="192">
        <v>0</v>
      </c>
      <c r="L1057" s="192">
        <v>63.72</v>
      </c>
      <c r="M1057" s="192">
        <v>0</v>
      </c>
      <c r="N1057" s="192">
        <v>0</v>
      </c>
      <c r="O1057" s="192">
        <v>1834.51</v>
      </c>
      <c r="P1057" s="192">
        <v>0</v>
      </c>
      <c r="Q1057" s="192">
        <v>0</v>
      </c>
      <c r="R1057" s="192">
        <v>0</v>
      </c>
      <c r="S1057" s="285">
        <f t="shared" si="77"/>
        <v>0.28860000000000002</v>
      </c>
      <c r="T1057" s="192">
        <v>0</v>
      </c>
      <c r="U1057" s="291">
        <v>1834.51</v>
      </c>
      <c r="V1057" s="291">
        <v>1834.51</v>
      </c>
      <c r="W1057" s="292">
        <v>22014.12</v>
      </c>
      <c r="X1057" s="292">
        <v>22014.12</v>
      </c>
      <c r="Y1057" s="292">
        <v>22014.12</v>
      </c>
      <c r="Z1057" s="292">
        <v>26206.43</v>
      </c>
      <c r="AA1057" s="290">
        <v>26809.177889999999</v>
      </c>
      <c r="AB1057" s="285">
        <v>26599.526449999998</v>
      </c>
      <c r="AC1057" s="290">
        <v>2800</v>
      </c>
      <c r="AD1057" s="192">
        <v>12</v>
      </c>
      <c r="AE1057" s="290">
        <v>1834.51</v>
      </c>
      <c r="AF1057" s="194">
        <v>35434.51</v>
      </c>
      <c r="AG1057" s="215"/>
      <c r="AJ1057" s="388">
        <f t="shared" si="78"/>
        <v>0</v>
      </c>
    </row>
    <row r="1058" spans="1:36" x14ac:dyDescent="0.3">
      <c r="A1058" s="192">
        <v>5831</v>
      </c>
      <c r="B1058" s="192">
        <v>99</v>
      </c>
      <c r="C1058" s="192">
        <v>0</v>
      </c>
      <c r="D1058" s="192" t="s">
        <v>1699</v>
      </c>
      <c r="E1058" s="192">
        <v>30346301</v>
      </c>
      <c r="F1058" s="192" t="s">
        <v>2066</v>
      </c>
      <c r="G1058" s="290">
        <v>0</v>
      </c>
      <c r="H1058" s="192">
        <v>0</v>
      </c>
      <c r="I1058" s="192">
        <v>0</v>
      </c>
      <c r="J1058" s="192">
        <v>0</v>
      </c>
      <c r="K1058" s="192">
        <v>0</v>
      </c>
      <c r="L1058" s="192">
        <v>0</v>
      </c>
      <c r="M1058" s="192">
        <v>0</v>
      </c>
      <c r="N1058" s="192">
        <v>0</v>
      </c>
      <c r="O1058" s="192">
        <v>0</v>
      </c>
      <c r="P1058" s="192">
        <v>0</v>
      </c>
      <c r="Q1058" s="192">
        <v>148.84</v>
      </c>
      <c r="R1058" s="192">
        <v>0</v>
      </c>
      <c r="S1058" s="285">
        <f t="shared" si="77"/>
        <v>0</v>
      </c>
      <c r="T1058" s="192">
        <v>0</v>
      </c>
      <c r="U1058" s="291">
        <v>148.84</v>
      </c>
      <c r="V1058" s="291">
        <v>148.84</v>
      </c>
      <c r="W1058" s="292">
        <v>22014.12</v>
      </c>
      <c r="X1058" s="292">
        <v>1786.08</v>
      </c>
      <c r="Y1058" s="292">
        <v>22014.12</v>
      </c>
      <c r="Z1058" s="292">
        <v>26206.43</v>
      </c>
      <c r="AA1058" s="290">
        <v>26809.177889999999</v>
      </c>
      <c r="AB1058" s="285">
        <v>26599.526449999998</v>
      </c>
      <c r="AC1058" s="290">
        <v>2600</v>
      </c>
      <c r="AD1058" s="192">
        <v>12</v>
      </c>
      <c r="AE1058" s="290">
        <v>148.84</v>
      </c>
      <c r="AF1058" s="194">
        <v>31348.84</v>
      </c>
      <c r="AG1058" s="215"/>
      <c r="AJ1058" s="388">
        <f t="shared" si="78"/>
        <v>0</v>
      </c>
    </row>
    <row r="1059" spans="1:36" x14ac:dyDescent="0.3">
      <c r="A1059" s="192">
        <v>5831</v>
      </c>
      <c r="B1059" s="192">
        <v>99</v>
      </c>
      <c r="C1059" s="192">
        <v>0</v>
      </c>
      <c r="D1059" s="192" t="s">
        <v>1699</v>
      </c>
      <c r="E1059" s="192">
        <v>30422475</v>
      </c>
      <c r="F1059" s="192" t="s">
        <v>2067</v>
      </c>
      <c r="G1059" s="290">
        <v>0.12</v>
      </c>
      <c r="H1059" s="192">
        <v>644.30999999999995</v>
      </c>
      <c r="I1059" s="192">
        <v>0</v>
      </c>
      <c r="J1059" s="192">
        <v>0</v>
      </c>
      <c r="K1059" s="192">
        <v>0</v>
      </c>
      <c r="L1059" s="192">
        <v>27.63</v>
      </c>
      <c r="M1059" s="192">
        <v>0</v>
      </c>
      <c r="N1059" s="192">
        <v>0</v>
      </c>
      <c r="O1059" s="192">
        <v>671.94</v>
      </c>
      <c r="P1059" s="192">
        <v>0</v>
      </c>
      <c r="Q1059" s="192">
        <v>0</v>
      </c>
      <c r="R1059" s="192">
        <v>0</v>
      </c>
      <c r="S1059" s="285">
        <f t="shared" si="77"/>
        <v>0.12</v>
      </c>
      <c r="T1059" s="192">
        <v>0</v>
      </c>
      <c r="U1059" s="291">
        <v>671.94</v>
      </c>
      <c r="V1059" s="291">
        <v>671.94</v>
      </c>
      <c r="W1059" s="292">
        <v>8063.2800000000007</v>
      </c>
      <c r="X1059" s="292">
        <v>8063.2800000000007</v>
      </c>
      <c r="Y1059" s="292">
        <v>8063.2799999999988</v>
      </c>
      <c r="Z1059" s="292">
        <v>8930.52</v>
      </c>
      <c r="AA1059" s="290">
        <v>9135.9219599999997</v>
      </c>
      <c r="AB1059" s="285">
        <v>9064.4777999999988</v>
      </c>
      <c r="AC1059" s="290">
        <v>2500</v>
      </c>
      <c r="AD1059" s="192">
        <v>12</v>
      </c>
      <c r="AE1059" s="290">
        <v>671.94</v>
      </c>
      <c r="AF1059" s="194">
        <v>30671.94</v>
      </c>
      <c r="AG1059" s="215"/>
      <c r="AJ1059" s="388">
        <f t="shared" si="78"/>
        <v>0</v>
      </c>
    </row>
    <row r="1060" spans="1:36" x14ac:dyDescent="0.3">
      <c r="A1060" s="192">
        <v>5831</v>
      </c>
      <c r="B1060" s="192">
        <v>99</v>
      </c>
      <c r="C1060" s="192">
        <v>0</v>
      </c>
      <c r="D1060" s="192" t="s">
        <v>1699</v>
      </c>
      <c r="E1060" s="192">
        <v>30433890</v>
      </c>
      <c r="F1060" s="192" t="s">
        <v>2068</v>
      </c>
      <c r="G1060" s="290">
        <v>0.16250000000000001</v>
      </c>
      <c r="H1060" s="192">
        <v>903.89</v>
      </c>
      <c r="I1060" s="192">
        <v>0</v>
      </c>
      <c r="J1060" s="192">
        <v>0</v>
      </c>
      <c r="K1060" s="192">
        <v>0</v>
      </c>
      <c r="L1060" s="192">
        <v>31.14</v>
      </c>
      <c r="M1060" s="192">
        <v>0</v>
      </c>
      <c r="N1060" s="192">
        <v>0</v>
      </c>
      <c r="O1060" s="192">
        <v>935.03</v>
      </c>
      <c r="P1060" s="192">
        <v>0</v>
      </c>
      <c r="Q1060" s="192">
        <v>81.38</v>
      </c>
      <c r="R1060" s="192">
        <v>0</v>
      </c>
      <c r="S1060" s="285">
        <f t="shared" si="77"/>
        <v>0.16250000000000001</v>
      </c>
      <c r="T1060" s="192">
        <v>0</v>
      </c>
      <c r="U1060" s="291">
        <v>1016.41</v>
      </c>
      <c r="V1060" s="291">
        <v>1016.41</v>
      </c>
      <c r="W1060" s="292">
        <v>12061.92</v>
      </c>
      <c r="X1060" s="292">
        <v>12196.92</v>
      </c>
      <c r="Y1060" s="292">
        <v>12106.92</v>
      </c>
      <c r="Z1060" s="292">
        <v>13620.09</v>
      </c>
      <c r="AA1060" s="290">
        <v>13933.352069999999</v>
      </c>
      <c r="AB1060" s="285">
        <v>13824.391349999998</v>
      </c>
      <c r="AC1060" s="290">
        <v>2000</v>
      </c>
      <c r="AD1060" s="192">
        <v>12</v>
      </c>
      <c r="AE1060" s="290">
        <v>1016.41</v>
      </c>
      <c r="AF1060" s="194">
        <v>25016.41</v>
      </c>
      <c r="AG1060" s="215"/>
      <c r="AJ1060" s="388">
        <f t="shared" si="78"/>
        <v>0</v>
      </c>
    </row>
    <row r="1061" spans="1:36" x14ac:dyDescent="0.3">
      <c r="A1061" s="192">
        <v>5831</v>
      </c>
      <c r="B1061" s="192">
        <v>99</v>
      </c>
      <c r="C1061" s="192">
        <v>0</v>
      </c>
      <c r="D1061" s="192" t="s">
        <v>1699</v>
      </c>
      <c r="E1061" s="192">
        <v>30453242</v>
      </c>
      <c r="F1061" s="192" t="s">
        <v>2069</v>
      </c>
      <c r="G1061" s="290">
        <v>0.44369999999999998</v>
      </c>
      <c r="H1061" s="192">
        <v>2966.79</v>
      </c>
      <c r="I1061" s="192">
        <v>0</v>
      </c>
      <c r="J1061" s="192">
        <v>0</v>
      </c>
      <c r="K1061" s="192">
        <v>0</v>
      </c>
      <c r="L1061" s="192">
        <v>112.99</v>
      </c>
      <c r="M1061" s="192">
        <v>0</v>
      </c>
      <c r="N1061" s="192">
        <v>0</v>
      </c>
      <c r="O1061" s="192">
        <v>3079.78</v>
      </c>
      <c r="P1061" s="192">
        <v>0</v>
      </c>
      <c r="Q1061" s="192">
        <v>242.23</v>
      </c>
      <c r="R1061" s="192">
        <v>0</v>
      </c>
      <c r="S1061" s="285">
        <f t="shared" si="77"/>
        <v>0.44369999999999998</v>
      </c>
      <c r="T1061" s="192">
        <v>0</v>
      </c>
      <c r="U1061" s="291">
        <v>3322.01</v>
      </c>
      <c r="V1061" s="291">
        <v>3322.01</v>
      </c>
      <c r="W1061" s="292">
        <v>39729.120000000003</v>
      </c>
      <c r="X1061" s="292">
        <v>39864.120000000003</v>
      </c>
      <c r="Y1061" s="292">
        <v>39774.120000000003</v>
      </c>
      <c r="Z1061" s="292">
        <v>43941.71</v>
      </c>
      <c r="AA1061" s="290">
        <v>44952.369329999994</v>
      </c>
      <c r="AB1061" s="285">
        <v>44600.835649999994</v>
      </c>
      <c r="AC1061" s="290">
        <v>4000</v>
      </c>
      <c r="AD1061" s="192">
        <v>12</v>
      </c>
      <c r="AE1061" s="290">
        <v>3322.01</v>
      </c>
      <c r="AF1061" s="194">
        <v>51322.01</v>
      </c>
      <c r="AG1061" s="215"/>
      <c r="AJ1061" s="388">
        <f t="shared" si="78"/>
        <v>0</v>
      </c>
    </row>
    <row r="1062" spans="1:36" x14ac:dyDescent="0.3">
      <c r="A1062" s="192">
        <v>5831</v>
      </c>
      <c r="B1062" s="192">
        <v>99</v>
      </c>
      <c r="C1062" s="192">
        <v>0</v>
      </c>
      <c r="D1062" s="192" t="s">
        <v>1699</v>
      </c>
      <c r="E1062" s="192">
        <v>30592464</v>
      </c>
      <c r="F1062" s="192" t="s">
        <v>2070</v>
      </c>
      <c r="G1062" s="290">
        <v>0.25840000000000002</v>
      </c>
      <c r="H1062" s="192">
        <v>1458.09</v>
      </c>
      <c r="I1062" s="192">
        <v>0</v>
      </c>
      <c r="J1062" s="192">
        <v>0</v>
      </c>
      <c r="K1062" s="192">
        <v>0</v>
      </c>
      <c r="L1062" s="192">
        <v>54.64</v>
      </c>
      <c r="M1062" s="192">
        <v>0</v>
      </c>
      <c r="N1062" s="192">
        <v>0</v>
      </c>
      <c r="O1062" s="192">
        <v>1512.73</v>
      </c>
      <c r="P1062" s="192">
        <v>0</v>
      </c>
      <c r="Q1062" s="192">
        <v>124.7</v>
      </c>
      <c r="R1062" s="192">
        <v>0</v>
      </c>
      <c r="S1062" s="285">
        <f t="shared" si="77"/>
        <v>0.25840000000000002</v>
      </c>
      <c r="T1062" s="192">
        <v>0</v>
      </c>
      <c r="U1062" s="291">
        <v>1637.43</v>
      </c>
      <c r="V1062" s="291">
        <v>1637.43</v>
      </c>
      <c r="W1062" s="292">
        <v>19514.16</v>
      </c>
      <c r="X1062" s="292">
        <v>19649.16</v>
      </c>
      <c r="Y1062" s="292">
        <v>19559.16</v>
      </c>
      <c r="Z1062" s="292">
        <v>21684.97</v>
      </c>
      <c r="AA1062" s="290">
        <v>22183.724309999994</v>
      </c>
      <c r="AB1062" s="285">
        <v>22010.244549999996</v>
      </c>
      <c r="AC1062" s="290">
        <v>1626.18</v>
      </c>
      <c r="AD1062" s="192">
        <v>12</v>
      </c>
      <c r="AE1062" s="290">
        <v>1637.43</v>
      </c>
      <c r="AF1062" s="194">
        <v>21151.59</v>
      </c>
      <c r="AG1062" s="215"/>
      <c r="AJ1062" s="388">
        <f t="shared" si="78"/>
        <v>0</v>
      </c>
    </row>
    <row r="1063" spans="1:36" x14ac:dyDescent="0.3">
      <c r="A1063" s="192">
        <v>5831</v>
      </c>
      <c r="B1063" s="192">
        <v>99</v>
      </c>
      <c r="C1063" s="192">
        <v>0</v>
      </c>
      <c r="D1063" s="192" t="s">
        <v>1699</v>
      </c>
      <c r="E1063" s="192">
        <v>30619971</v>
      </c>
      <c r="F1063" s="192" t="s">
        <v>2071</v>
      </c>
      <c r="G1063" s="290">
        <v>0.24049999999999999</v>
      </c>
      <c r="H1063" s="192">
        <v>1437.68</v>
      </c>
      <c r="I1063" s="192">
        <v>0</v>
      </c>
      <c r="J1063" s="192">
        <v>0</v>
      </c>
      <c r="K1063" s="192">
        <v>0</v>
      </c>
      <c r="L1063" s="192">
        <v>32.71</v>
      </c>
      <c r="M1063" s="192">
        <v>0</v>
      </c>
      <c r="N1063" s="192">
        <v>0</v>
      </c>
      <c r="O1063" s="192">
        <v>1470.39</v>
      </c>
      <c r="P1063" s="192">
        <v>0</v>
      </c>
      <c r="Q1063" s="192">
        <v>121.53</v>
      </c>
      <c r="R1063" s="192">
        <v>0</v>
      </c>
      <c r="S1063" s="285">
        <f t="shared" si="77"/>
        <v>0.24050000000000002</v>
      </c>
      <c r="T1063" s="192">
        <v>0</v>
      </c>
      <c r="U1063" s="291">
        <v>1591.92</v>
      </c>
      <c r="V1063" s="291">
        <v>1591.92</v>
      </c>
      <c r="W1063" s="292">
        <v>18968.04</v>
      </c>
      <c r="X1063" s="292">
        <v>19103.04</v>
      </c>
      <c r="Y1063" s="292">
        <v>19013.04</v>
      </c>
      <c r="Z1063" s="292">
        <v>20883.259999999998</v>
      </c>
      <c r="AA1063" s="290">
        <v>21363.574979999998</v>
      </c>
      <c r="AB1063" s="285">
        <v>21196.508899999997</v>
      </c>
      <c r="AC1063" s="290">
        <v>1580.67</v>
      </c>
      <c r="AD1063" s="192">
        <v>12</v>
      </c>
      <c r="AE1063" s="290">
        <v>1591.92</v>
      </c>
      <c r="AF1063" s="194">
        <v>20559.96</v>
      </c>
      <c r="AG1063" s="215"/>
      <c r="AJ1063" s="388">
        <f t="shared" si="78"/>
        <v>0</v>
      </c>
    </row>
    <row r="1064" spans="1:36" x14ac:dyDescent="0.3">
      <c r="A1064" s="192">
        <v>5831</v>
      </c>
      <c r="B1064" s="192">
        <v>99</v>
      </c>
      <c r="C1064" s="192">
        <v>0</v>
      </c>
      <c r="D1064" s="192" t="s">
        <v>1699</v>
      </c>
      <c r="E1064" s="192">
        <v>30677407</v>
      </c>
      <c r="F1064" s="192" t="s">
        <v>2072</v>
      </c>
      <c r="G1064" s="290">
        <v>0.16692000000000001</v>
      </c>
      <c r="H1064" s="192">
        <v>1019.85</v>
      </c>
      <c r="I1064" s="192">
        <v>0</v>
      </c>
      <c r="J1064" s="192">
        <v>0</v>
      </c>
      <c r="K1064" s="192">
        <v>0</v>
      </c>
      <c r="L1064" s="192">
        <v>27.68</v>
      </c>
      <c r="M1064" s="192">
        <v>0</v>
      </c>
      <c r="N1064" s="192">
        <v>0</v>
      </c>
      <c r="O1064" s="192">
        <v>1047.53</v>
      </c>
      <c r="P1064" s="192">
        <v>0</v>
      </c>
      <c r="Q1064" s="192">
        <v>89.81</v>
      </c>
      <c r="R1064" s="192">
        <v>0</v>
      </c>
      <c r="S1064" s="285">
        <f t="shared" si="77"/>
        <v>0.16692000000000004</v>
      </c>
      <c r="T1064" s="192">
        <v>0</v>
      </c>
      <c r="U1064" s="291">
        <v>1137.3399999999999</v>
      </c>
      <c r="V1064" s="291">
        <v>1137.3399999999999</v>
      </c>
      <c r="W1064" s="292">
        <v>13513.079999999998</v>
      </c>
      <c r="X1064" s="292">
        <v>13648.079999999998</v>
      </c>
      <c r="Y1064" s="292">
        <v>13558.079999999998</v>
      </c>
      <c r="Z1064" s="292">
        <v>15020.17</v>
      </c>
      <c r="AA1064" s="290">
        <v>15365.633909999999</v>
      </c>
      <c r="AB1064" s="285">
        <v>15245.472549999999</v>
      </c>
      <c r="AC1064" s="290">
        <v>2600</v>
      </c>
      <c r="AD1064" s="192">
        <v>12</v>
      </c>
      <c r="AE1064" s="290">
        <v>1137.3399999999999</v>
      </c>
      <c r="AF1064" s="194">
        <v>32337.34</v>
      </c>
      <c r="AG1064" s="215"/>
      <c r="AJ1064" s="388">
        <f t="shared" si="78"/>
        <v>0</v>
      </c>
    </row>
    <row r="1065" spans="1:36" x14ac:dyDescent="0.3">
      <c r="A1065" s="192">
        <v>5831</v>
      </c>
      <c r="B1065" s="192">
        <v>99</v>
      </c>
      <c r="C1065" s="192">
        <v>0</v>
      </c>
      <c r="D1065" s="192" t="s">
        <v>1699</v>
      </c>
      <c r="E1065" s="192">
        <v>30697637</v>
      </c>
      <c r="F1065" s="192" t="s">
        <v>2073</v>
      </c>
      <c r="G1065" s="290">
        <v>0.27750000000000002</v>
      </c>
      <c r="H1065" s="192">
        <v>1694.27</v>
      </c>
      <c r="I1065" s="192">
        <v>0</v>
      </c>
      <c r="J1065" s="192">
        <v>0</v>
      </c>
      <c r="K1065" s="192">
        <v>0</v>
      </c>
      <c r="L1065" s="192">
        <v>48.08</v>
      </c>
      <c r="M1065" s="192">
        <v>0</v>
      </c>
      <c r="N1065" s="192">
        <v>0</v>
      </c>
      <c r="O1065" s="192">
        <v>1742.35</v>
      </c>
      <c r="P1065" s="192">
        <v>0</v>
      </c>
      <c r="Q1065" s="192">
        <v>141.93</v>
      </c>
      <c r="R1065" s="192">
        <v>0</v>
      </c>
      <c r="S1065" s="285">
        <f t="shared" si="77"/>
        <v>0.27750000000000002</v>
      </c>
      <c r="T1065" s="192">
        <v>0</v>
      </c>
      <c r="U1065" s="291">
        <v>1884.28</v>
      </c>
      <c r="V1065" s="291">
        <v>1884.28</v>
      </c>
      <c r="W1065" s="292">
        <v>22476.36</v>
      </c>
      <c r="X1065" s="292">
        <v>22611.360000000001</v>
      </c>
      <c r="Y1065" s="292">
        <v>22521.360000000001</v>
      </c>
      <c r="Z1065" s="292">
        <v>24801.360000000001</v>
      </c>
      <c r="AA1065" s="290">
        <v>25371.791279999998</v>
      </c>
      <c r="AB1065" s="285">
        <v>25173.380399999998</v>
      </c>
      <c r="AC1065" s="290">
        <v>2500</v>
      </c>
      <c r="AD1065" s="192">
        <v>12</v>
      </c>
      <c r="AE1065" s="290">
        <v>1884.28</v>
      </c>
      <c r="AF1065" s="194">
        <v>31884.28</v>
      </c>
      <c r="AG1065" s="215"/>
      <c r="AJ1065" s="388">
        <f t="shared" si="78"/>
        <v>0</v>
      </c>
    </row>
    <row r="1066" spans="1:36" x14ac:dyDescent="0.3">
      <c r="A1066" s="192">
        <v>5831</v>
      </c>
      <c r="B1066" s="192">
        <v>99</v>
      </c>
      <c r="C1066" s="192">
        <v>0</v>
      </c>
      <c r="D1066" s="192" t="s">
        <v>1699</v>
      </c>
      <c r="E1066" s="192">
        <v>30710485</v>
      </c>
      <c r="F1066" s="192" t="s">
        <v>2074</v>
      </c>
      <c r="G1066" s="290">
        <v>0.36</v>
      </c>
      <c r="H1066" s="192">
        <v>817.33</v>
      </c>
      <c r="I1066" s="192">
        <v>0</v>
      </c>
      <c r="J1066" s="192">
        <v>0</v>
      </c>
      <c r="K1066" s="192">
        <v>0</v>
      </c>
      <c r="L1066" s="192">
        <v>20.93</v>
      </c>
      <c r="M1066" s="192">
        <v>0</v>
      </c>
      <c r="N1066" s="192">
        <v>0</v>
      </c>
      <c r="O1066" s="192">
        <v>838.26</v>
      </c>
      <c r="P1066" s="192">
        <v>0</v>
      </c>
      <c r="Q1066" s="192">
        <v>74.12</v>
      </c>
      <c r="R1066" s="192">
        <v>0</v>
      </c>
      <c r="S1066" s="285">
        <f t="shared" si="77"/>
        <v>0.36000000000000004</v>
      </c>
      <c r="T1066" s="192">
        <v>0</v>
      </c>
      <c r="U1066" s="291">
        <v>912.38</v>
      </c>
      <c r="V1066" s="291">
        <v>912.38</v>
      </c>
      <c r="W1066" s="292">
        <v>10813.56</v>
      </c>
      <c r="X1066" s="292">
        <v>10948.56</v>
      </c>
      <c r="Y1066" s="292">
        <v>10858.56</v>
      </c>
      <c r="Z1066" s="292">
        <v>12163.1</v>
      </c>
      <c r="AA1066" s="290">
        <v>12442.851299999998</v>
      </c>
      <c r="AB1066" s="285">
        <v>12345.546499999999</v>
      </c>
      <c r="AC1066" s="290">
        <v>901.13</v>
      </c>
      <c r="AD1066" s="192">
        <v>12</v>
      </c>
      <c r="AE1066" s="290">
        <v>912.38</v>
      </c>
      <c r="AF1066" s="194">
        <v>11725.939999999999</v>
      </c>
      <c r="AG1066" s="215"/>
      <c r="AJ1066" s="388">
        <f t="shared" si="78"/>
        <v>0</v>
      </c>
    </row>
    <row r="1067" spans="1:36" x14ac:dyDescent="0.3">
      <c r="A1067" s="192">
        <v>5831</v>
      </c>
      <c r="B1067" s="192">
        <v>99</v>
      </c>
      <c r="C1067" s="192">
        <v>0</v>
      </c>
      <c r="D1067" s="192" t="s">
        <v>1699</v>
      </c>
      <c r="E1067" s="192">
        <v>30715549</v>
      </c>
      <c r="F1067" s="192" t="s">
        <v>2075</v>
      </c>
      <c r="G1067" s="290">
        <v>0.55179999999999996</v>
      </c>
      <c r="H1067" s="192">
        <v>4351.12</v>
      </c>
      <c r="I1067" s="192">
        <v>210.36</v>
      </c>
      <c r="J1067" s="192">
        <v>0</v>
      </c>
      <c r="K1067" s="192">
        <v>0</v>
      </c>
      <c r="L1067" s="192">
        <v>318.94</v>
      </c>
      <c r="M1067" s="192">
        <v>0</v>
      </c>
      <c r="N1067" s="192">
        <v>0</v>
      </c>
      <c r="O1067" s="192">
        <v>4880.42</v>
      </c>
      <c r="P1067" s="192">
        <v>0</v>
      </c>
      <c r="Q1067" s="192">
        <v>377.28</v>
      </c>
      <c r="R1067" s="192">
        <v>0</v>
      </c>
      <c r="S1067" s="285">
        <f t="shared" si="77"/>
        <v>0.55179999999999996</v>
      </c>
      <c r="T1067" s="192">
        <v>0</v>
      </c>
      <c r="U1067" s="291">
        <v>5257.7</v>
      </c>
      <c r="V1067" s="291">
        <v>5257.7</v>
      </c>
      <c r="W1067" s="292">
        <v>190188.59999999998</v>
      </c>
      <c r="X1067" s="292">
        <v>63092.399999999994</v>
      </c>
      <c r="Y1067" s="292">
        <v>322382.28000000003</v>
      </c>
      <c r="Z1067" s="292">
        <v>170203.08</v>
      </c>
      <c r="AA1067" s="290">
        <v>172230.58182000002</v>
      </c>
      <c r="AB1067" s="285">
        <v>28480.619183333332</v>
      </c>
      <c r="AC1067" s="290">
        <v>5258</v>
      </c>
      <c r="AD1067" s="192">
        <v>12</v>
      </c>
      <c r="AE1067" s="305">
        <v>157000</v>
      </c>
      <c r="AF1067" s="194">
        <v>220096</v>
      </c>
      <c r="AG1067" s="215"/>
      <c r="AJ1067" s="388">
        <f t="shared" si="78"/>
        <v>0</v>
      </c>
    </row>
    <row r="1068" spans="1:36" x14ac:dyDescent="0.3">
      <c r="A1068" s="192">
        <v>5831</v>
      </c>
      <c r="B1068" s="192">
        <v>99</v>
      </c>
      <c r="C1068" s="192">
        <v>0</v>
      </c>
      <c r="D1068" s="192" t="s">
        <v>1699</v>
      </c>
      <c r="E1068" s="192">
        <v>30995515</v>
      </c>
      <c r="F1068" s="192" t="s">
        <v>2076</v>
      </c>
      <c r="G1068" s="290">
        <v>0.40699999999999997</v>
      </c>
      <c r="H1068" s="192">
        <v>2560.9</v>
      </c>
      <c r="I1068" s="192">
        <v>72.849999999999994</v>
      </c>
      <c r="J1068" s="192">
        <v>0</v>
      </c>
      <c r="K1068" s="192">
        <v>0</v>
      </c>
      <c r="L1068" s="192">
        <v>99.83</v>
      </c>
      <c r="M1068" s="192">
        <v>0</v>
      </c>
      <c r="N1068" s="192">
        <v>0</v>
      </c>
      <c r="O1068" s="192">
        <v>2733.58</v>
      </c>
      <c r="P1068" s="192">
        <v>0</v>
      </c>
      <c r="Q1068" s="192">
        <v>216.27</v>
      </c>
      <c r="R1068" s="192">
        <v>0</v>
      </c>
      <c r="S1068" s="285">
        <f t="shared" si="77"/>
        <v>0.40699999999999997</v>
      </c>
      <c r="T1068" s="192">
        <v>0</v>
      </c>
      <c r="U1068" s="291">
        <v>2949.85</v>
      </c>
      <c r="V1068" s="291">
        <v>2949.85</v>
      </c>
      <c r="W1068" s="292">
        <v>35263.199999999997</v>
      </c>
      <c r="X1068" s="292">
        <v>35398.199999999997</v>
      </c>
      <c r="Y1068" s="292">
        <v>35308.199999999997</v>
      </c>
      <c r="Z1068" s="292">
        <v>27347.56</v>
      </c>
      <c r="AA1068" s="290">
        <v>0</v>
      </c>
      <c r="AB1068" s="285">
        <v>0</v>
      </c>
      <c r="AC1068" s="290">
        <v>2938.6</v>
      </c>
      <c r="AD1068" s="192">
        <v>12</v>
      </c>
      <c r="AE1068" s="290">
        <v>2949.85</v>
      </c>
      <c r="AF1068" s="194">
        <v>38213.049999999996</v>
      </c>
      <c r="AG1068" s="215"/>
      <c r="AJ1068" s="388">
        <f t="shared" si="78"/>
        <v>0</v>
      </c>
    </row>
    <row r="1069" spans="1:36" x14ac:dyDescent="0.3">
      <c r="A1069" s="192">
        <v>5831</v>
      </c>
      <c r="B1069" s="192">
        <v>99</v>
      </c>
      <c r="C1069" s="192">
        <v>0</v>
      </c>
      <c r="D1069" s="192" t="s">
        <v>1699</v>
      </c>
      <c r="E1069" s="192">
        <v>31049977</v>
      </c>
      <c r="F1069" s="192" t="s">
        <v>2077</v>
      </c>
      <c r="G1069" s="290">
        <v>0.38700000000000001</v>
      </c>
      <c r="H1069" s="192">
        <v>2232.91</v>
      </c>
      <c r="I1069" s="192">
        <v>0</v>
      </c>
      <c r="J1069" s="192">
        <v>0</v>
      </c>
      <c r="K1069" s="192">
        <v>0</v>
      </c>
      <c r="L1069" s="192">
        <v>64.41</v>
      </c>
      <c r="M1069" s="192">
        <v>0</v>
      </c>
      <c r="N1069" s="192">
        <v>0</v>
      </c>
      <c r="O1069" s="192">
        <v>2297.3200000000002</v>
      </c>
      <c r="P1069" s="192">
        <v>0</v>
      </c>
      <c r="Q1069" s="192">
        <v>183.55</v>
      </c>
      <c r="R1069" s="192">
        <v>0</v>
      </c>
      <c r="S1069" s="285">
        <f t="shared" si="77"/>
        <v>0.38700000000000001</v>
      </c>
      <c r="T1069" s="192">
        <v>0</v>
      </c>
      <c r="U1069" s="291">
        <v>2480.87</v>
      </c>
      <c r="V1069" s="291">
        <v>2480.87</v>
      </c>
      <c r="W1069" s="292">
        <v>29635.439999999999</v>
      </c>
      <c r="X1069" s="292">
        <v>29770.44</v>
      </c>
      <c r="Y1069" s="292">
        <v>29680.44</v>
      </c>
      <c r="Z1069" s="292">
        <v>32676.17</v>
      </c>
      <c r="AA1069" s="290">
        <v>33427.72191</v>
      </c>
      <c r="AB1069" s="285">
        <v>33166.312549999995</v>
      </c>
      <c r="AC1069" s="290">
        <v>3600</v>
      </c>
      <c r="AD1069" s="192">
        <v>12</v>
      </c>
      <c r="AE1069" s="290">
        <v>2480.87</v>
      </c>
      <c r="AF1069" s="194">
        <v>45680.87</v>
      </c>
      <c r="AG1069" s="215"/>
      <c r="AJ1069" s="388">
        <f t="shared" si="78"/>
        <v>0</v>
      </c>
    </row>
    <row r="1070" spans="1:36" x14ac:dyDescent="0.3">
      <c r="A1070" s="192">
        <v>5831</v>
      </c>
      <c r="B1070" s="192">
        <v>99</v>
      </c>
      <c r="C1070" s="192">
        <v>0</v>
      </c>
      <c r="D1070" s="192" t="s">
        <v>1699</v>
      </c>
      <c r="E1070" s="192">
        <v>31264922</v>
      </c>
      <c r="F1070" s="192" t="s">
        <v>2078</v>
      </c>
      <c r="G1070" s="290">
        <v>0.62</v>
      </c>
      <c r="H1070" s="192">
        <v>1343.47</v>
      </c>
      <c r="I1070" s="192">
        <v>0</v>
      </c>
      <c r="J1070" s="192">
        <v>0</v>
      </c>
      <c r="K1070" s="192">
        <v>0</v>
      </c>
      <c r="L1070" s="192">
        <v>32.85</v>
      </c>
      <c r="M1070" s="192">
        <v>0</v>
      </c>
      <c r="N1070" s="192">
        <v>0</v>
      </c>
      <c r="O1070" s="192">
        <v>1376.32</v>
      </c>
      <c r="P1070" s="192">
        <v>0</v>
      </c>
      <c r="Q1070" s="192">
        <v>114.47</v>
      </c>
      <c r="R1070" s="192">
        <v>0</v>
      </c>
      <c r="S1070" s="285">
        <f t="shared" si="77"/>
        <v>0.62</v>
      </c>
      <c r="T1070" s="192">
        <v>0</v>
      </c>
      <c r="U1070" s="291">
        <v>1490.79</v>
      </c>
      <c r="V1070" s="291">
        <v>1490.79</v>
      </c>
      <c r="W1070" s="292">
        <v>17754.48</v>
      </c>
      <c r="X1070" s="292">
        <v>17889.48</v>
      </c>
      <c r="Y1070" s="292">
        <v>17799.48</v>
      </c>
      <c r="Z1070" s="292">
        <v>19741.62</v>
      </c>
      <c r="AA1070" s="290">
        <v>20195.677259999997</v>
      </c>
      <c r="AB1070" s="285">
        <v>20037.744299999998</v>
      </c>
      <c r="AC1070" s="290">
        <v>3000</v>
      </c>
      <c r="AD1070" s="192">
        <v>12</v>
      </c>
      <c r="AE1070" s="290">
        <v>1490.79</v>
      </c>
      <c r="AF1070" s="194">
        <v>37490.79</v>
      </c>
      <c r="AG1070" s="215"/>
      <c r="AJ1070" s="388">
        <f t="shared" si="78"/>
        <v>0</v>
      </c>
    </row>
    <row r="1071" spans="1:36" x14ac:dyDescent="0.3">
      <c r="A1071" s="192">
        <v>5831</v>
      </c>
      <c r="B1071" s="192">
        <v>99</v>
      </c>
      <c r="C1071" s="192">
        <v>0</v>
      </c>
      <c r="D1071" s="192" t="s">
        <v>1699</v>
      </c>
      <c r="E1071" s="192">
        <v>31437797</v>
      </c>
      <c r="F1071" s="192" t="s">
        <v>2079</v>
      </c>
      <c r="G1071" s="290">
        <v>0.26690000000000003</v>
      </c>
      <c r="H1071" s="192">
        <v>1512.27</v>
      </c>
      <c r="I1071" s="192">
        <v>0</v>
      </c>
      <c r="J1071" s="192">
        <v>0</v>
      </c>
      <c r="K1071" s="192">
        <v>0</v>
      </c>
      <c r="L1071" s="192">
        <v>56.21</v>
      </c>
      <c r="M1071" s="192">
        <v>0</v>
      </c>
      <c r="N1071" s="192">
        <v>0</v>
      </c>
      <c r="O1071" s="192">
        <v>1568.48</v>
      </c>
      <c r="P1071" s="192">
        <v>0</v>
      </c>
      <c r="Q1071" s="192">
        <v>128.88999999999999</v>
      </c>
      <c r="R1071" s="192">
        <v>0</v>
      </c>
      <c r="S1071" s="285">
        <f t="shared" si="77"/>
        <v>0.26690000000000003</v>
      </c>
      <c r="T1071" s="192">
        <v>0</v>
      </c>
      <c r="U1071" s="291">
        <v>1697.37</v>
      </c>
      <c r="V1071" s="291">
        <v>1697.37</v>
      </c>
      <c r="W1071" s="292">
        <v>20233.439999999999</v>
      </c>
      <c r="X1071" s="292">
        <v>20368.439999999999</v>
      </c>
      <c r="Y1071" s="292">
        <v>20278.439999999999</v>
      </c>
      <c r="Z1071" s="292">
        <v>22497.98</v>
      </c>
      <c r="AA1071" s="290">
        <v>23015.433539999998</v>
      </c>
      <c r="AB1071" s="285">
        <v>22835.449699999997</v>
      </c>
      <c r="AC1071" s="290">
        <v>3000</v>
      </c>
      <c r="AD1071" s="192">
        <v>12</v>
      </c>
      <c r="AE1071" s="290">
        <v>1697.37</v>
      </c>
      <c r="AF1071" s="194">
        <v>37697.370000000003</v>
      </c>
      <c r="AG1071" s="215"/>
      <c r="AJ1071" s="388">
        <f t="shared" si="78"/>
        <v>0</v>
      </c>
    </row>
    <row r="1072" spans="1:36" x14ac:dyDescent="0.3">
      <c r="A1072" s="192">
        <v>5831</v>
      </c>
      <c r="B1072" s="192">
        <v>99</v>
      </c>
      <c r="C1072" s="192">
        <v>0</v>
      </c>
      <c r="D1072" s="192" t="s">
        <v>1699</v>
      </c>
      <c r="E1072" s="192">
        <v>31748217</v>
      </c>
      <c r="F1072" s="192" t="s">
        <v>2080</v>
      </c>
      <c r="G1072" s="290">
        <v>0.2535</v>
      </c>
      <c r="H1072" s="192">
        <v>1394.99</v>
      </c>
      <c r="I1072" s="192">
        <v>0</v>
      </c>
      <c r="J1072" s="192">
        <v>0</v>
      </c>
      <c r="K1072" s="192">
        <v>0</v>
      </c>
      <c r="L1072" s="192">
        <v>46.23</v>
      </c>
      <c r="M1072" s="192">
        <v>0</v>
      </c>
      <c r="N1072" s="192">
        <v>0</v>
      </c>
      <c r="O1072" s="192">
        <v>1441.22</v>
      </c>
      <c r="P1072" s="192">
        <v>0</v>
      </c>
      <c r="Q1072" s="192">
        <v>119.34</v>
      </c>
      <c r="R1072" s="192">
        <v>0</v>
      </c>
      <c r="S1072" s="285">
        <f t="shared" si="77"/>
        <v>0.2535</v>
      </c>
      <c r="T1072" s="192">
        <v>0</v>
      </c>
      <c r="U1072" s="291">
        <v>1560.56</v>
      </c>
      <c r="V1072" s="291">
        <v>1560.56</v>
      </c>
      <c r="W1072" s="292">
        <v>18591.72</v>
      </c>
      <c r="X1072" s="292">
        <v>18726.72</v>
      </c>
      <c r="Y1072" s="292">
        <v>18636.72</v>
      </c>
      <c r="Z1072" s="292">
        <v>20556.650000000001</v>
      </c>
      <c r="AA1072" s="290">
        <v>21029.452949999999</v>
      </c>
      <c r="AB1072" s="285">
        <v>20864.999749999999</v>
      </c>
      <c r="AC1072" s="290">
        <v>3000</v>
      </c>
      <c r="AD1072" s="192">
        <v>12</v>
      </c>
      <c r="AE1072" s="290">
        <v>1560.56</v>
      </c>
      <c r="AF1072" s="194">
        <v>37560.559999999998</v>
      </c>
      <c r="AG1072" s="215"/>
      <c r="AJ1072" s="388">
        <f t="shared" si="78"/>
        <v>0</v>
      </c>
    </row>
    <row r="1073" spans="1:36" x14ac:dyDescent="0.3">
      <c r="A1073" s="192">
        <v>5831</v>
      </c>
      <c r="B1073" s="192">
        <v>99</v>
      </c>
      <c r="C1073" s="192">
        <v>0</v>
      </c>
      <c r="D1073" s="192" t="s">
        <v>1699</v>
      </c>
      <c r="E1073" s="192">
        <v>67280248</v>
      </c>
      <c r="F1073" s="192" t="s">
        <v>2081</v>
      </c>
      <c r="G1073" s="290">
        <v>0.19</v>
      </c>
      <c r="H1073" s="192">
        <v>855.4</v>
      </c>
      <c r="I1073" s="192">
        <v>37.97</v>
      </c>
      <c r="J1073" s="192">
        <v>0</v>
      </c>
      <c r="K1073" s="192">
        <v>0</v>
      </c>
      <c r="L1073" s="192">
        <v>34.130000000000003</v>
      </c>
      <c r="M1073" s="192">
        <v>0</v>
      </c>
      <c r="N1073" s="192">
        <v>0</v>
      </c>
      <c r="O1073" s="192">
        <v>927.5</v>
      </c>
      <c r="P1073" s="192">
        <v>0</v>
      </c>
      <c r="Q1073" s="192">
        <v>0</v>
      </c>
      <c r="R1073" s="192">
        <v>0</v>
      </c>
      <c r="S1073" s="285">
        <f t="shared" si="77"/>
        <v>0.19000000000000003</v>
      </c>
      <c r="T1073" s="192">
        <v>0</v>
      </c>
      <c r="U1073" s="291">
        <v>927.5</v>
      </c>
      <c r="V1073" s="291">
        <v>927.5</v>
      </c>
      <c r="W1073" s="292">
        <v>11130</v>
      </c>
      <c r="X1073" s="292">
        <v>11130</v>
      </c>
      <c r="Y1073" s="292">
        <v>11130</v>
      </c>
      <c r="Z1073" s="292">
        <v>9993.4500000000007</v>
      </c>
      <c r="AA1073" s="290">
        <v>10223.299349999999</v>
      </c>
      <c r="AB1073" s="285">
        <v>10143.35175</v>
      </c>
      <c r="AC1073" s="290">
        <v>10142</v>
      </c>
      <c r="AD1073" s="192">
        <v>12</v>
      </c>
      <c r="AE1073" s="290">
        <v>927.5</v>
      </c>
      <c r="AF1073" s="194">
        <v>122631.5</v>
      </c>
      <c r="AG1073" s="215"/>
      <c r="AJ1073" s="388">
        <f t="shared" si="78"/>
        <v>0</v>
      </c>
    </row>
    <row r="1074" spans="1:36" x14ac:dyDescent="0.3">
      <c r="A1074" s="192">
        <v>5831</v>
      </c>
      <c r="B1074" s="192">
        <v>99</v>
      </c>
      <c r="C1074" s="192">
        <v>9000</v>
      </c>
      <c r="D1074" s="192" t="s">
        <v>1699</v>
      </c>
      <c r="E1074" s="192">
        <v>539578</v>
      </c>
      <c r="F1074" s="192" t="s">
        <v>2082</v>
      </c>
      <c r="G1074" s="290">
        <v>0.56000000000000005</v>
      </c>
      <c r="H1074" s="192">
        <v>3401.77</v>
      </c>
      <c r="I1074" s="192">
        <v>0</v>
      </c>
      <c r="J1074" s="192">
        <v>0</v>
      </c>
      <c r="K1074" s="192">
        <v>0</v>
      </c>
      <c r="L1074" s="192">
        <v>597.42999999999995</v>
      </c>
      <c r="M1074" s="192">
        <v>0</v>
      </c>
      <c r="N1074" s="192">
        <v>0</v>
      </c>
      <c r="O1074" s="192">
        <v>3999.2</v>
      </c>
      <c r="P1074" s="192">
        <v>0</v>
      </c>
      <c r="Q1074" s="192">
        <v>311.19</v>
      </c>
      <c r="R1074" s="192">
        <v>0</v>
      </c>
      <c r="S1074" s="285">
        <f t="shared" si="77"/>
        <v>0.56000000000000005</v>
      </c>
      <c r="T1074" s="192">
        <v>0</v>
      </c>
      <c r="U1074" s="291">
        <v>4310.3900000000003</v>
      </c>
      <c r="V1074" s="291">
        <v>4310.3900000000003</v>
      </c>
      <c r="W1074" s="292">
        <v>51589.680000000008</v>
      </c>
      <c r="X1074" s="292">
        <v>51724.680000000008</v>
      </c>
      <c r="Y1074" s="292">
        <v>51634.680000000008</v>
      </c>
      <c r="Z1074" s="292">
        <v>58690.48</v>
      </c>
      <c r="AA1074" s="290">
        <v>60040.361039999996</v>
      </c>
      <c r="AB1074" s="285">
        <v>59570.837199999994</v>
      </c>
      <c r="AC1074" s="290">
        <v>4299.1400000000003</v>
      </c>
      <c r="AD1074" s="192">
        <v>12</v>
      </c>
      <c r="AE1074" s="290">
        <v>4310.3900000000003</v>
      </c>
      <c r="AF1074" s="194">
        <v>55900.070000000007</v>
      </c>
      <c r="AG1074" s="215"/>
      <c r="AJ1074" s="388">
        <f t="shared" si="78"/>
        <v>0</v>
      </c>
    </row>
    <row r="1075" spans="1:36" x14ac:dyDescent="0.3">
      <c r="A1075" s="192">
        <v>5831</v>
      </c>
      <c r="B1075" s="192">
        <v>99</v>
      </c>
      <c r="C1075" s="192">
        <v>9000</v>
      </c>
      <c r="D1075" s="192" t="s">
        <v>1699</v>
      </c>
      <c r="E1075" s="192">
        <v>1235144</v>
      </c>
      <c r="F1075" s="192" t="s">
        <v>2083</v>
      </c>
      <c r="G1075" s="290">
        <v>0.66</v>
      </c>
      <c r="H1075" s="192">
        <v>1704.41</v>
      </c>
      <c r="I1075" s="192">
        <v>0</v>
      </c>
      <c r="J1075" s="192">
        <v>0</v>
      </c>
      <c r="K1075" s="192">
        <v>0</v>
      </c>
      <c r="L1075" s="192">
        <v>300.67</v>
      </c>
      <c r="M1075" s="192">
        <v>0</v>
      </c>
      <c r="N1075" s="192">
        <v>0</v>
      </c>
      <c r="O1075" s="192">
        <v>2005.08</v>
      </c>
      <c r="P1075" s="192">
        <v>0</v>
      </c>
      <c r="Q1075" s="192">
        <v>161.63</v>
      </c>
      <c r="R1075" s="192">
        <v>0</v>
      </c>
      <c r="S1075" s="285">
        <f t="shared" si="77"/>
        <v>0.66</v>
      </c>
      <c r="T1075" s="192">
        <v>0</v>
      </c>
      <c r="U1075" s="291">
        <v>2166.71</v>
      </c>
      <c r="V1075" s="291">
        <v>2166.71</v>
      </c>
      <c r="W1075" s="292">
        <v>25865.52</v>
      </c>
      <c r="X1075" s="292">
        <v>26000.52</v>
      </c>
      <c r="Y1075" s="292">
        <v>25910.52</v>
      </c>
      <c r="Z1075" s="292">
        <v>28161.43</v>
      </c>
      <c r="AA1075" s="290">
        <v>28809.142889999999</v>
      </c>
      <c r="AB1075" s="285">
        <v>28583.851449999998</v>
      </c>
      <c r="AC1075" s="290">
        <v>2155.46</v>
      </c>
      <c r="AD1075" s="192">
        <v>12</v>
      </c>
      <c r="AE1075" s="290">
        <v>3000</v>
      </c>
      <c r="AF1075" s="194">
        <v>28865.52</v>
      </c>
      <c r="AG1075" s="215"/>
      <c r="AJ1075" s="388">
        <f t="shared" si="78"/>
        <v>0</v>
      </c>
    </row>
    <row r="1076" spans="1:36" x14ac:dyDescent="0.3">
      <c r="A1076" s="192">
        <v>5832</v>
      </c>
      <c r="B1076" s="192">
        <v>99</v>
      </c>
      <c r="C1076" s="192">
        <v>1000</v>
      </c>
      <c r="D1076" s="192" t="s">
        <v>1699</v>
      </c>
      <c r="E1076" s="192">
        <v>6268148</v>
      </c>
      <c r="F1076" s="192" t="s">
        <v>2084</v>
      </c>
      <c r="G1076" s="290">
        <v>0</v>
      </c>
      <c r="H1076" s="192">
        <v>7079.48</v>
      </c>
      <c r="I1076" s="192">
        <v>0</v>
      </c>
      <c r="J1076" s="192">
        <v>0</v>
      </c>
      <c r="K1076" s="192">
        <v>0</v>
      </c>
      <c r="L1076" s="192">
        <v>0</v>
      </c>
      <c r="M1076" s="192">
        <v>0</v>
      </c>
      <c r="N1076" s="192">
        <v>0</v>
      </c>
      <c r="O1076" s="192">
        <v>7079.48</v>
      </c>
      <c r="P1076" s="192">
        <v>0</v>
      </c>
      <c r="Q1076" s="192">
        <v>0</v>
      </c>
      <c r="R1076" s="192">
        <v>0</v>
      </c>
      <c r="S1076" s="285">
        <f t="shared" si="77"/>
        <v>0</v>
      </c>
      <c r="T1076" s="192">
        <v>0</v>
      </c>
      <c r="U1076" s="291">
        <v>7079.48</v>
      </c>
      <c r="V1076" s="291">
        <v>7079.48</v>
      </c>
      <c r="W1076" s="292">
        <v>152962.44</v>
      </c>
      <c r="X1076" s="292">
        <v>84953.76</v>
      </c>
      <c r="Y1076" s="292">
        <v>79305.399999999994</v>
      </c>
      <c r="Z1076" s="292">
        <v>62737.74</v>
      </c>
      <c r="AA1076" s="290">
        <v>63989.683229999988</v>
      </c>
      <c r="AB1076" s="285">
        <v>0</v>
      </c>
      <c r="AC1076" s="290">
        <v>8700</v>
      </c>
      <c r="AD1076" s="192">
        <v>12</v>
      </c>
      <c r="AE1076" s="290">
        <v>8700</v>
      </c>
      <c r="AF1076" s="194">
        <v>113100</v>
      </c>
      <c r="AJ1076" s="388">
        <f t="shared" si="78"/>
        <v>0</v>
      </c>
    </row>
    <row r="1077" spans="1:36" x14ac:dyDescent="0.3">
      <c r="A1077" s="192">
        <v>5831</v>
      </c>
      <c r="B1077" s="192">
        <v>99</v>
      </c>
      <c r="C1077" s="192">
        <v>9000</v>
      </c>
      <c r="D1077" s="192" t="s">
        <v>1699</v>
      </c>
      <c r="E1077" s="192">
        <v>2672757</v>
      </c>
      <c r="F1077" s="192" t="s">
        <v>2085</v>
      </c>
      <c r="G1077" s="290">
        <v>0.68</v>
      </c>
      <c r="H1077" s="192">
        <v>0</v>
      </c>
      <c r="I1077" s="192">
        <v>0</v>
      </c>
      <c r="J1077" s="192">
        <v>0</v>
      </c>
      <c r="K1077" s="192">
        <v>0</v>
      </c>
      <c r="L1077" s="192">
        <v>0</v>
      </c>
      <c r="M1077" s="192">
        <v>0</v>
      </c>
      <c r="N1077" s="192">
        <v>0</v>
      </c>
      <c r="O1077" s="192">
        <v>0</v>
      </c>
      <c r="P1077" s="192">
        <v>0</v>
      </c>
      <c r="Q1077" s="192">
        <v>11.25</v>
      </c>
      <c r="R1077" s="192">
        <v>0</v>
      </c>
      <c r="S1077" s="285">
        <f t="shared" si="77"/>
        <v>0.68</v>
      </c>
      <c r="T1077" s="192">
        <v>0</v>
      </c>
      <c r="U1077" s="291">
        <v>11.25</v>
      </c>
      <c r="V1077" s="291">
        <v>11.25</v>
      </c>
      <c r="W1077" s="292">
        <v>0</v>
      </c>
      <c r="X1077" s="292">
        <v>135</v>
      </c>
      <c r="Y1077" s="292">
        <v>45</v>
      </c>
      <c r="Z1077" s="292">
        <v>0</v>
      </c>
      <c r="AA1077" s="290">
        <v>0</v>
      </c>
      <c r="AB1077" s="285"/>
      <c r="AC1077" s="290">
        <v>2000</v>
      </c>
      <c r="AD1077" s="192">
        <v>12</v>
      </c>
      <c r="AE1077" s="290">
        <v>2000</v>
      </c>
      <c r="AF1077" s="194">
        <v>26000</v>
      </c>
      <c r="AJ1077" s="388">
        <f t="shared" si="78"/>
        <v>0</v>
      </c>
    </row>
    <row r="1078" spans="1:36" s="207" customFormat="1" x14ac:dyDescent="0.3">
      <c r="A1078" s="207">
        <v>5830</v>
      </c>
      <c r="B1078" s="207">
        <v>72</v>
      </c>
      <c r="C1078" s="207">
        <v>3000</v>
      </c>
      <c r="D1078" s="192" t="s">
        <v>1699</v>
      </c>
      <c r="E1078" s="207">
        <v>5569577</v>
      </c>
      <c r="F1078" s="207" t="s">
        <v>1172</v>
      </c>
      <c r="G1078" s="305">
        <v>1</v>
      </c>
      <c r="H1078" s="207">
        <v>6819.22</v>
      </c>
      <c r="I1078" s="207">
        <v>387.99</v>
      </c>
      <c r="J1078" s="207">
        <v>197.6</v>
      </c>
      <c r="K1078" s="207">
        <v>0</v>
      </c>
      <c r="L1078" s="207">
        <v>0</v>
      </c>
      <c r="M1078" s="207">
        <v>0</v>
      </c>
      <c r="N1078" s="207">
        <v>124</v>
      </c>
      <c r="O1078" s="207">
        <v>7528.81</v>
      </c>
      <c r="P1078" s="207">
        <v>317</v>
      </c>
      <c r="Q1078" s="207">
        <v>565.76</v>
      </c>
      <c r="R1078" s="207">
        <v>0</v>
      </c>
      <c r="S1078" s="285">
        <f t="shared" si="77"/>
        <v>0.66666666666666663</v>
      </c>
      <c r="T1078" s="207">
        <v>702.94</v>
      </c>
      <c r="U1078" s="306">
        <v>9114.51</v>
      </c>
      <c r="V1078" s="306">
        <v>9114.51</v>
      </c>
      <c r="W1078" s="307">
        <v>107683.44</v>
      </c>
      <c r="X1078" s="307">
        <v>72916.08</v>
      </c>
      <c r="Y1078" s="307">
        <v>108611.23999999999</v>
      </c>
      <c r="Z1078" s="307">
        <v>124178.22</v>
      </c>
      <c r="AA1078" s="305">
        <v>127232.69921999999</v>
      </c>
      <c r="AB1078" s="305">
        <v>126237.72209999998</v>
      </c>
      <c r="AC1078" s="305">
        <v>9000</v>
      </c>
      <c r="AD1078" s="207">
        <v>8</v>
      </c>
      <c r="AE1078" s="305"/>
      <c r="AF1078" s="208">
        <v>72000</v>
      </c>
      <c r="AG1078" s="207" t="s">
        <v>1173</v>
      </c>
      <c r="AJ1078" s="388">
        <f t="shared" si="78"/>
        <v>0.33333333333333337</v>
      </c>
    </row>
    <row r="1079" spans="1:36" s="207" customFormat="1" x14ac:dyDescent="0.3">
      <c r="A1079" s="207">
        <v>5832</v>
      </c>
      <c r="B1079" s="207">
        <v>81</v>
      </c>
      <c r="C1079" s="207">
        <v>1000</v>
      </c>
      <c r="D1079" s="192" t="s">
        <v>1699</v>
      </c>
      <c r="E1079" s="207">
        <v>5593761</v>
      </c>
      <c r="F1079" s="207" t="s">
        <v>1257</v>
      </c>
      <c r="G1079" s="305">
        <v>1</v>
      </c>
      <c r="H1079" s="207">
        <v>5686.71</v>
      </c>
      <c r="I1079" s="207">
        <v>329.05</v>
      </c>
      <c r="J1079" s="207">
        <v>190.31</v>
      </c>
      <c r="K1079" s="207">
        <v>0</v>
      </c>
      <c r="L1079" s="207">
        <v>0</v>
      </c>
      <c r="M1079" s="207">
        <v>0</v>
      </c>
      <c r="N1079" s="207">
        <v>274.5</v>
      </c>
      <c r="O1079" s="207">
        <v>6480.57</v>
      </c>
      <c r="P1079" s="207">
        <v>237</v>
      </c>
      <c r="Q1079" s="207">
        <v>486.82</v>
      </c>
      <c r="R1079" s="207">
        <v>0</v>
      </c>
      <c r="S1079" s="285">
        <f t="shared" si="77"/>
        <v>0.58333333333333337</v>
      </c>
      <c r="T1079" s="207">
        <v>613.5</v>
      </c>
      <c r="U1079" s="306">
        <v>7817.89</v>
      </c>
      <c r="V1079" s="306">
        <v>7817.89</v>
      </c>
      <c r="W1079" s="307">
        <v>92387.28</v>
      </c>
      <c r="X1079" s="307">
        <v>54725.23</v>
      </c>
      <c r="Y1079" s="307">
        <v>93167.88</v>
      </c>
      <c r="Z1079" s="307">
        <v>102546.13</v>
      </c>
      <c r="AA1079" s="305">
        <v>104904.69098999997</v>
      </c>
      <c r="AB1079" s="305">
        <v>104084.32194999998</v>
      </c>
      <c r="AC1079" s="305">
        <v>7698.94</v>
      </c>
      <c r="AD1079" s="207">
        <v>7</v>
      </c>
      <c r="AE1079" s="305"/>
      <c r="AF1079" s="208">
        <v>53892.579999999994</v>
      </c>
      <c r="AG1079" s="207" t="s">
        <v>1258</v>
      </c>
      <c r="AJ1079" s="388">
        <f t="shared" si="78"/>
        <v>0.41666666666666663</v>
      </c>
    </row>
    <row r="1080" spans="1:36" s="207" customFormat="1" x14ac:dyDescent="0.3">
      <c r="A1080" s="207">
        <v>5832</v>
      </c>
      <c r="B1080" s="207">
        <v>81</v>
      </c>
      <c r="C1080" s="207">
        <v>2200</v>
      </c>
      <c r="D1080" s="192" t="s">
        <v>1699</v>
      </c>
      <c r="E1080" s="207">
        <v>6184327</v>
      </c>
      <c r="F1080" s="207" t="s">
        <v>1314</v>
      </c>
      <c r="G1080" s="305">
        <v>1</v>
      </c>
      <c r="H1080" s="207">
        <v>7945.01</v>
      </c>
      <c r="I1080" s="207">
        <v>411.77</v>
      </c>
      <c r="J1080" s="207">
        <v>197.6</v>
      </c>
      <c r="K1080" s="207">
        <v>0</v>
      </c>
      <c r="L1080" s="207">
        <v>0</v>
      </c>
      <c r="M1080" s="207">
        <v>0</v>
      </c>
      <c r="N1080" s="207">
        <v>36.5</v>
      </c>
      <c r="O1080" s="207">
        <v>8590.8799999999992</v>
      </c>
      <c r="P1080" s="207">
        <v>78</v>
      </c>
      <c r="Q1080" s="207">
        <v>644.32000000000005</v>
      </c>
      <c r="R1080" s="207">
        <v>0</v>
      </c>
      <c r="S1080" s="285">
        <f t="shared" si="77"/>
        <v>0.58333333333333337</v>
      </c>
      <c r="T1080" s="207">
        <v>1672.35</v>
      </c>
      <c r="U1080" s="306">
        <v>10985.55</v>
      </c>
      <c r="V1080" s="306">
        <v>10985.55</v>
      </c>
      <c r="W1080" s="307">
        <v>129965.28</v>
      </c>
      <c r="X1080" s="307">
        <v>76898.849999999991</v>
      </c>
      <c r="Y1080" s="307">
        <v>130987</v>
      </c>
      <c r="Z1080" s="307">
        <v>139747.06</v>
      </c>
      <c r="AA1080" s="305">
        <v>142961.24237999998</v>
      </c>
      <c r="AB1080" s="305">
        <v>141843.2659</v>
      </c>
      <c r="AC1080" s="305">
        <v>10830.44</v>
      </c>
      <c r="AD1080" s="207">
        <v>7</v>
      </c>
      <c r="AE1080" s="305"/>
      <c r="AF1080" s="208">
        <v>75813.08</v>
      </c>
      <c r="AG1080" s="207" t="s">
        <v>1315</v>
      </c>
      <c r="AJ1080" s="388">
        <f t="shared" si="78"/>
        <v>0.41666666666666663</v>
      </c>
    </row>
    <row r="1081" spans="1:36" s="207" customFormat="1" x14ac:dyDescent="0.3">
      <c r="A1081" s="207">
        <v>5832</v>
      </c>
      <c r="B1081" s="207">
        <v>81</v>
      </c>
      <c r="C1081" s="207">
        <v>2200</v>
      </c>
      <c r="D1081" s="192" t="s">
        <v>1699</v>
      </c>
      <c r="E1081" s="207">
        <v>6833171</v>
      </c>
      <c r="F1081" s="207" t="s">
        <v>1317</v>
      </c>
      <c r="G1081" s="305">
        <v>1</v>
      </c>
      <c r="H1081" s="207">
        <v>7299.16</v>
      </c>
      <c r="I1081" s="207">
        <v>390.72</v>
      </c>
      <c r="J1081" s="207">
        <v>197.6</v>
      </c>
      <c r="K1081" s="207">
        <v>0</v>
      </c>
      <c r="L1081" s="207">
        <v>0</v>
      </c>
      <c r="M1081" s="207">
        <v>0</v>
      </c>
      <c r="N1081" s="207">
        <v>36.5</v>
      </c>
      <c r="O1081" s="207">
        <v>7923.98</v>
      </c>
      <c r="P1081" s="207">
        <v>317</v>
      </c>
      <c r="Q1081" s="207">
        <v>594.29999999999995</v>
      </c>
      <c r="R1081" s="207">
        <v>0</v>
      </c>
      <c r="S1081" s="285">
        <f t="shared" si="77"/>
        <v>0.5</v>
      </c>
      <c r="T1081" s="207">
        <v>1529.67</v>
      </c>
      <c r="U1081" s="306">
        <v>10364.950000000001</v>
      </c>
      <c r="V1081" s="306">
        <v>10364.950000000001</v>
      </c>
      <c r="W1081" s="307">
        <v>120704.88</v>
      </c>
      <c r="X1081" s="307">
        <v>62189.700000000004</v>
      </c>
      <c r="Y1081" s="307">
        <v>122935.28</v>
      </c>
      <c r="Z1081" s="307">
        <v>128731.16</v>
      </c>
      <c r="AA1081" s="305">
        <v>129008.52491999998</v>
      </c>
      <c r="AB1081" s="305">
        <v>127999.66059999999</v>
      </c>
      <c r="AC1081" s="305">
        <v>10058.74</v>
      </c>
      <c r="AD1081" s="207">
        <v>6</v>
      </c>
      <c r="AE1081" s="305"/>
      <c r="AF1081" s="208">
        <v>60352.44</v>
      </c>
      <c r="AG1081" s="207" t="s">
        <v>1318</v>
      </c>
      <c r="AJ1081" s="388">
        <f t="shared" si="78"/>
        <v>0.5</v>
      </c>
    </row>
    <row r="1082" spans="1:36" s="207" customFormat="1" x14ac:dyDescent="0.3">
      <c r="A1082" s="207">
        <v>5832</v>
      </c>
      <c r="B1082" s="207">
        <v>81</v>
      </c>
      <c r="C1082" s="207">
        <v>2300</v>
      </c>
      <c r="D1082" s="192" t="s">
        <v>1699</v>
      </c>
      <c r="E1082" s="207">
        <v>6830954</v>
      </c>
      <c r="F1082" s="207" t="s">
        <v>1350</v>
      </c>
      <c r="G1082" s="305">
        <v>1</v>
      </c>
      <c r="H1082" s="207">
        <v>7938.02</v>
      </c>
      <c r="I1082" s="207">
        <v>1150.3</v>
      </c>
      <c r="J1082" s="207">
        <v>48.6</v>
      </c>
      <c r="K1082" s="207">
        <v>0</v>
      </c>
      <c r="L1082" s="207">
        <v>0</v>
      </c>
      <c r="M1082" s="207">
        <v>0</v>
      </c>
      <c r="N1082" s="207">
        <v>36.5</v>
      </c>
      <c r="O1082" s="207">
        <v>9173.42</v>
      </c>
      <c r="P1082" s="207">
        <v>91</v>
      </c>
      <c r="Q1082" s="207">
        <v>688.01</v>
      </c>
      <c r="R1082" s="207">
        <v>0</v>
      </c>
      <c r="S1082" s="285">
        <f t="shared" si="77"/>
        <v>0.5</v>
      </c>
      <c r="T1082" s="207">
        <v>1766.04</v>
      </c>
      <c r="U1082" s="306">
        <v>11718.47</v>
      </c>
      <c r="V1082" s="306">
        <v>11718.47</v>
      </c>
      <c r="W1082" s="307">
        <v>134911.08000000002</v>
      </c>
      <c r="X1082" s="307">
        <v>70310.819999999992</v>
      </c>
      <c r="Y1082" s="307">
        <v>138379.96</v>
      </c>
      <c r="Z1082" s="307">
        <v>92728.67</v>
      </c>
      <c r="AA1082" s="305">
        <v>0</v>
      </c>
      <c r="AB1082" s="305">
        <v>94119.600049999994</v>
      </c>
      <c r="AC1082" s="305">
        <v>11242.59</v>
      </c>
      <c r="AD1082" s="207">
        <v>6</v>
      </c>
      <c r="AE1082" s="305"/>
      <c r="AF1082" s="208">
        <v>67455.540000000008</v>
      </c>
      <c r="AG1082" s="207" t="s">
        <v>1136</v>
      </c>
      <c r="AJ1082" s="388">
        <f t="shared" si="78"/>
        <v>0.5</v>
      </c>
    </row>
    <row r="1083" spans="1:36" s="207" customFormat="1" x14ac:dyDescent="0.3">
      <c r="A1083" s="207">
        <v>5832</v>
      </c>
      <c r="B1083" s="207">
        <v>81</v>
      </c>
      <c r="C1083" s="207">
        <v>3240</v>
      </c>
      <c r="D1083" s="192" t="s">
        <v>1699</v>
      </c>
      <c r="E1083" s="207">
        <v>6332895</v>
      </c>
      <c r="F1083" s="207" t="s">
        <v>1413</v>
      </c>
      <c r="G1083" s="305">
        <v>1</v>
      </c>
      <c r="H1083" s="207">
        <v>3526.43</v>
      </c>
      <c r="I1083" s="207">
        <v>194.21</v>
      </c>
      <c r="J1083" s="207">
        <v>173.3</v>
      </c>
      <c r="K1083" s="207">
        <v>0</v>
      </c>
      <c r="L1083" s="207">
        <v>0</v>
      </c>
      <c r="M1083" s="207">
        <v>0</v>
      </c>
      <c r="N1083" s="207">
        <v>176.5</v>
      </c>
      <c r="O1083" s="207">
        <v>4070.44</v>
      </c>
      <c r="P1083" s="207">
        <v>20</v>
      </c>
      <c r="Q1083" s="207">
        <v>306</v>
      </c>
      <c r="R1083" s="207">
        <v>0</v>
      </c>
      <c r="S1083" s="285">
        <f t="shared" si="77"/>
        <v>0.75</v>
      </c>
      <c r="T1083" s="207">
        <v>394.73</v>
      </c>
      <c r="U1083" s="306">
        <v>4791.17</v>
      </c>
      <c r="V1083" s="306">
        <v>4791.17</v>
      </c>
      <c r="W1083" s="307">
        <v>56687.16</v>
      </c>
      <c r="X1083" s="307">
        <v>43120.53</v>
      </c>
      <c r="Y1083" s="307">
        <v>56404.959999999992</v>
      </c>
      <c r="Z1083" s="307">
        <v>62578.22</v>
      </c>
      <c r="AA1083" s="305">
        <v>64017.519059999999</v>
      </c>
      <c r="AB1083" s="305">
        <v>31758.446649999998</v>
      </c>
      <c r="AC1083" s="305">
        <v>4723.93</v>
      </c>
      <c r="AD1083" s="207">
        <v>9</v>
      </c>
      <c r="AE1083" s="305"/>
      <c r="AF1083" s="208">
        <v>42515.37</v>
      </c>
      <c r="AG1083" s="207" t="s">
        <v>1414</v>
      </c>
      <c r="AH1083" s="207" t="s">
        <v>1111</v>
      </c>
      <c r="AJ1083" s="388">
        <f t="shared" si="78"/>
        <v>0.25</v>
      </c>
    </row>
    <row r="1084" spans="1:36" s="207" customFormat="1" x14ac:dyDescent="0.3">
      <c r="A1084" s="207">
        <v>5832</v>
      </c>
      <c r="B1084" s="207">
        <v>81</v>
      </c>
      <c r="C1084" s="207">
        <v>3270</v>
      </c>
      <c r="D1084" s="192" t="s">
        <v>1699</v>
      </c>
      <c r="E1084" s="207">
        <v>5080476</v>
      </c>
      <c r="F1084" s="207" t="s">
        <v>1435</v>
      </c>
      <c r="G1084" s="305">
        <v>1</v>
      </c>
      <c r="H1084" s="207">
        <v>3472.2</v>
      </c>
      <c r="I1084" s="207">
        <v>191.81</v>
      </c>
      <c r="J1084" s="207">
        <v>173.3</v>
      </c>
      <c r="K1084" s="207">
        <v>0</v>
      </c>
      <c r="L1084" s="207">
        <v>0</v>
      </c>
      <c r="M1084" s="207">
        <v>0</v>
      </c>
      <c r="N1084" s="207">
        <v>176.5</v>
      </c>
      <c r="O1084" s="207">
        <v>4013.81</v>
      </c>
      <c r="P1084" s="207">
        <v>19.05</v>
      </c>
      <c r="Q1084" s="207">
        <v>301.76</v>
      </c>
      <c r="R1084" s="207">
        <v>0</v>
      </c>
      <c r="S1084" s="285">
        <f t="shared" si="77"/>
        <v>0.5</v>
      </c>
      <c r="T1084" s="207">
        <v>390.87</v>
      </c>
      <c r="U1084" s="306">
        <v>4725.49</v>
      </c>
      <c r="V1084" s="306">
        <v>4725.49</v>
      </c>
      <c r="W1084" s="307">
        <v>55899.479999999996</v>
      </c>
      <c r="X1084" s="307">
        <v>28352.94</v>
      </c>
      <c r="Y1084" s="307">
        <v>61815.44</v>
      </c>
      <c r="Z1084" s="307">
        <v>68514.98</v>
      </c>
      <c r="AA1084" s="305">
        <v>69717.490919999997</v>
      </c>
      <c r="AB1084" s="305">
        <v>34586.145300000004</v>
      </c>
      <c r="AC1084" s="305">
        <v>4658.29</v>
      </c>
      <c r="AD1084" s="207">
        <v>6</v>
      </c>
      <c r="AE1084" s="305"/>
      <c r="AF1084" s="208">
        <v>27949.739999999998</v>
      </c>
      <c r="AG1084" s="207" t="s">
        <v>1372</v>
      </c>
      <c r="AH1084" s="207" t="s">
        <v>1111</v>
      </c>
      <c r="AJ1084" s="388">
        <f t="shared" si="78"/>
        <v>0.5</v>
      </c>
    </row>
    <row r="1085" spans="1:36" s="207" customFormat="1" x14ac:dyDescent="0.3">
      <c r="A1085" s="207">
        <v>5832</v>
      </c>
      <c r="B1085" s="207">
        <v>81</v>
      </c>
      <c r="C1085" s="207">
        <v>3300</v>
      </c>
      <c r="D1085" s="192" t="s">
        <v>1699</v>
      </c>
      <c r="E1085" s="207">
        <v>3955533</v>
      </c>
      <c r="F1085" s="207" t="s">
        <v>1471</v>
      </c>
      <c r="G1085" s="305">
        <v>0</v>
      </c>
      <c r="H1085" s="207">
        <v>-5138.42</v>
      </c>
      <c r="I1085" s="207">
        <v>-287.91000000000003</v>
      </c>
      <c r="J1085" s="207">
        <v>-187.27</v>
      </c>
      <c r="K1085" s="207">
        <v>0</v>
      </c>
      <c r="L1085" s="207">
        <v>0</v>
      </c>
      <c r="M1085" s="207">
        <v>580.98</v>
      </c>
      <c r="N1085" s="207">
        <v>0</v>
      </c>
      <c r="O1085" s="207">
        <v>-5032.62</v>
      </c>
      <c r="P1085" s="207">
        <v>-179</v>
      </c>
      <c r="Q1085" s="207">
        <v>-377.44</v>
      </c>
      <c r="R1085" s="207">
        <v>0</v>
      </c>
      <c r="S1085" s="285">
        <f t="shared" si="77"/>
        <v>0</v>
      </c>
      <c r="T1085" s="207">
        <v>-760.22</v>
      </c>
      <c r="U1085" s="306">
        <v>-6349.28</v>
      </c>
      <c r="V1085" s="306">
        <v>-6349.28</v>
      </c>
      <c r="W1085" s="307">
        <v>81995.759999999995</v>
      </c>
      <c r="X1085" s="307">
        <v>-63492.799999999996</v>
      </c>
      <c r="Y1085" s="307">
        <v>29910.16</v>
      </c>
      <c r="Z1085" s="307">
        <v>25335.89</v>
      </c>
      <c r="AA1085" s="305">
        <v>22628.084819999996</v>
      </c>
      <c r="AB1085" s="305">
        <v>22451.130099999998</v>
      </c>
      <c r="AC1085" s="305">
        <v>6832.98</v>
      </c>
      <c r="AD1085" s="207">
        <v>10</v>
      </c>
      <c r="AE1085" s="305"/>
      <c r="AF1085" s="208">
        <v>68329.799999999988</v>
      </c>
      <c r="AG1085" s="207" t="s">
        <v>1472</v>
      </c>
      <c r="AJ1085" s="388">
        <f t="shared" si="78"/>
        <v>0</v>
      </c>
    </row>
    <row r="1086" spans="1:36" s="207" customFormat="1" x14ac:dyDescent="0.3">
      <c r="A1086" s="207">
        <v>5832</v>
      </c>
      <c r="B1086" s="207">
        <v>81</v>
      </c>
      <c r="C1086" s="207">
        <v>3300</v>
      </c>
      <c r="D1086" s="192" t="s">
        <v>1699</v>
      </c>
      <c r="E1086" s="207">
        <v>5873801</v>
      </c>
      <c r="F1086" s="207" t="s">
        <v>1479</v>
      </c>
      <c r="G1086" s="305">
        <v>1</v>
      </c>
      <c r="H1086" s="207">
        <v>6759</v>
      </c>
      <c r="I1086" s="207">
        <v>384.23</v>
      </c>
      <c r="J1086" s="207">
        <v>192.74</v>
      </c>
      <c r="K1086" s="207">
        <v>0</v>
      </c>
      <c r="L1086" s="207">
        <v>0</v>
      </c>
      <c r="M1086" s="207">
        <v>0</v>
      </c>
      <c r="N1086" s="207">
        <v>288.5</v>
      </c>
      <c r="O1086" s="207">
        <v>7624.47</v>
      </c>
      <c r="P1086" s="207">
        <v>324</v>
      </c>
      <c r="Q1086" s="207">
        <v>572.62</v>
      </c>
      <c r="R1086" s="207">
        <v>0</v>
      </c>
      <c r="S1086" s="285">
        <f t="shared" si="77"/>
        <v>0.75</v>
      </c>
      <c r="T1086" s="207">
        <v>716.06</v>
      </c>
      <c r="U1086" s="306">
        <v>9237.15</v>
      </c>
      <c r="V1086" s="306">
        <v>9237.15</v>
      </c>
      <c r="W1086" s="307">
        <v>157648.08000000002</v>
      </c>
      <c r="X1086" s="307">
        <v>83134.349999999991</v>
      </c>
      <c r="Y1086" s="307">
        <v>128655.67999999999</v>
      </c>
      <c r="Z1086" s="307">
        <v>36077.68</v>
      </c>
      <c r="AA1086" s="305">
        <v>0</v>
      </c>
      <c r="AB1086" s="305">
        <v>0</v>
      </c>
      <c r="AC1086" s="305">
        <v>9000</v>
      </c>
      <c r="AD1086" s="207">
        <v>9</v>
      </c>
      <c r="AE1086" s="305"/>
      <c r="AF1086" s="208">
        <v>81000</v>
      </c>
      <c r="AG1086" s="207" t="s">
        <v>1480</v>
      </c>
      <c r="AJ1086" s="388">
        <f t="shared" si="78"/>
        <v>0.25</v>
      </c>
    </row>
    <row r="1087" spans="1:36" s="207" customFormat="1" x14ac:dyDescent="0.3">
      <c r="A1087" s="207">
        <v>5832</v>
      </c>
      <c r="B1087" s="207">
        <v>81</v>
      </c>
      <c r="C1087" s="207">
        <v>5700</v>
      </c>
      <c r="D1087" s="192" t="s">
        <v>1699</v>
      </c>
      <c r="E1087" s="207">
        <v>31953753</v>
      </c>
      <c r="F1087" s="207" t="s">
        <v>1505</v>
      </c>
      <c r="G1087" s="305">
        <v>1</v>
      </c>
      <c r="H1087" s="207">
        <v>6664.36</v>
      </c>
      <c r="I1087" s="207">
        <v>396.22</v>
      </c>
      <c r="J1087" s="207">
        <v>197.6</v>
      </c>
      <c r="K1087" s="207">
        <v>0</v>
      </c>
      <c r="L1087" s="207">
        <v>0</v>
      </c>
      <c r="M1087" s="207">
        <v>0</v>
      </c>
      <c r="N1087" s="207">
        <v>36.5</v>
      </c>
      <c r="O1087" s="207">
        <v>7294.68</v>
      </c>
      <c r="P1087" s="207">
        <v>51</v>
      </c>
      <c r="Q1087" s="207">
        <v>547.91</v>
      </c>
      <c r="R1087" s="207">
        <v>0</v>
      </c>
      <c r="S1087" s="285">
        <f t="shared" si="77"/>
        <v>0.5</v>
      </c>
      <c r="T1087" s="207">
        <v>608.33000000000004</v>
      </c>
      <c r="U1087" s="306">
        <v>8501.92</v>
      </c>
      <c r="V1087" s="306">
        <v>8501.92</v>
      </c>
      <c r="W1087" s="307">
        <v>100457.63999999998</v>
      </c>
      <c r="X1087" s="307">
        <v>51011.520000000004</v>
      </c>
      <c r="Y1087" s="307">
        <v>100076.28</v>
      </c>
      <c r="Z1087" s="307">
        <v>108751.51</v>
      </c>
      <c r="AA1087" s="305">
        <v>112627.15431</v>
      </c>
      <c r="AB1087" s="305">
        <v>111746.39455</v>
      </c>
      <c r="AC1087" s="305">
        <v>9000</v>
      </c>
      <c r="AD1087" s="207">
        <v>6</v>
      </c>
      <c r="AE1087" s="305"/>
      <c r="AF1087" s="208">
        <v>54000</v>
      </c>
      <c r="AG1087" s="207" t="s">
        <v>1372</v>
      </c>
      <c r="AH1087" s="207" t="s">
        <v>1506</v>
      </c>
      <c r="AJ1087" s="388">
        <f t="shared" si="78"/>
        <v>0.5</v>
      </c>
    </row>
    <row r="1088" spans="1:36" s="207" customFormat="1" x14ac:dyDescent="0.3">
      <c r="A1088" s="207">
        <v>5832</v>
      </c>
      <c r="B1088" s="207">
        <v>81</v>
      </c>
      <c r="C1088" s="207">
        <v>3210</v>
      </c>
      <c r="D1088" s="192" t="s">
        <v>1699</v>
      </c>
      <c r="E1088" s="207">
        <v>6850406</v>
      </c>
      <c r="F1088" s="207" t="s">
        <v>1370</v>
      </c>
      <c r="G1088" s="305">
        <v>1</v>
      </c>
      <c r="H1088" s="207">
        <v>7148.59</v>
      </c>
      <c r="I1088" s="207">
        <v>2091.77</v>
      </c>
      <c r="J1088" s="207">
        <v>197.6</v>
      </c>
      <c r="K1088" s="207">
        <v>255.68</v>
      </c>
      <c r="L1088" s="207">
        <v>0</v>
      </c>
      <c r="M1088" s="207">
        <v>0</v>
      </c>
      <c r="N1088" s="207">
        <v>316.5</v>
      </c>
      <c r="O1088" s="207">
        <v>10010.14</v>
      </c>
      <c r="P1088" s="207">
        <v>506</v>
      </c>
      <c r="Q1088" s="207">
        <v>752.72</v>
      </c>
      <c r="R1088" s="207">
        <v>0</v>
      </c>
      <c r="S1088" s="285">
        <f t="shared" si="77"/>
        <v>0.33333333333333331</v>
      </c>
      <c r="T1088" s="207">
        <v>986.1</v>
      </c>
      <c r="U1088" s="306">
        <v>12254.96</v>
      </c>
      <c r="V1088" s="306">
        <v>12254.96</v>
      </c>
      <c r="W1088" s="307">
        <v>145788.84</v>
      </c>
      <c r="X1088" s="307">
        <v>49019.839999999997</v>
      </c>
      <c r="Y1088" s="307">
        <v>144813.28</v>
      </c>
      <c r="Z1088" s="307">
        <v>159247.65</v>
      </c>
      <c r="AA1088" s="305">
        <v>162900.59675999999</v>
      </c>
      <c r="AB1088" s="305">
        <v>161626.69179999997</v>
      </c>
      <c r="AC1088" s="305">
        <v>8400</v>
      </c>
      <c r="AD1088" s="207">
        <v>4</v>
      </c>
      <c r="AE1088" s="305"/>
      <c r="AF1088" s="208">
        <v>33600</v>
      </c>
      <c r="AG1088" s="207" t="s">
        <v>1366</v>
      </c>
      <c r="AJ1088" s="388">
        <f t="shared" si="78"/>
        <v>0.66666666666666674</v>
      </c>
    </row>
    <row r="1089" spans="1:36" s="293" customFormat="1" x14ac:dyDescent="0.3">
      <c r="A1089" s="293">
        <v>5830</v>
      </c>
      <c r="B1089" s="293">
        <v>61</v>
      </c>
      <c r="C1089" s="293">
        <v>3000</v>
      </c>
      <c r="D1089" s="293" t="s">
        <v>1095</v>
      </c>
      <c r="E1089" s="293">
        <v>5429149</v>
      </c>
      <c r="F1089" s="293" t="s">
        <v>1100</v>
      </c>
      <c r="G1089" s="294">
        <v>1</v>
      </c>
      <c r="H1089" s="293">
        <v>6027.42</v>
      </c>
      <c r="I1089" s="293">
        <v>2485.06</v>
      </c>
      <c r="J1089" s="293">
        <v>197.6</v>
      </c>
      <c r="K1089" s="293">
        <v>1417.92</v>
      </c>
      <c r="L1089" s="293">
        <v>0</v>
      </c>
      <c r="M1089" s="293">
        <v>0</v>
      </c>
      <c r="N1089" s="293">
        <v>36.5</v>
      </c>
      <c r="O1089" s="293">
        <v>10164.5</v>
      </c>
      <c r="P1089" s="293">
        <v>477</v>
      </c>
      <c r="Q1089" s="293">
        <v>767.13</v>
      </c>
      <c r="R1089" s="293">
        <v>0</v>
      </c>
      <c r="S1089" s="285">
        <f t="shared" si="77"/>
        <v>0.5</v>
      </c>
      <c r="T1089" s="293">
        <v>973.39</v>
      </c>
      <c r="U1089" s="295">
        <v>12382.02</v>
      </c>
      <c r="V1089" s="295">
        <v>12382.02</v>
      </c>
      <c r="W1089" s="296">
        <v>147802.44</v>
      </c>
      <c r="X1089" s="296">
        <v>74292.12</v>
      </c>
      <c r="Y1089" s="296">
        <v>146770.32</v>
      </c>
      <c r="Z1089" s="296">
        <v>146081.98000000001</v>
      </c>
      <c r="AA1089" s="294">
        <v>210600</v>
      </c>
      <c r="AB1089" s="294">
        <v>67745.104175</v>
      </c>
      <c r="AC1089" s="294">
        <v>7800</v>
      </c>
      <c r="AD1089" s="293">
        <v>6</v>
      </c>
      <c r="AE1089" s="294"/>
      <c r="AF1089" s="297">
        <v>46800</v>
      </c>
      <c r="AG1089" s="293" t="s">
        <v>2193</v>
      </c>
      <c r="AJ1089" s="388">
        <f t="shared" si="78"/>
        <v>0.5</v>
      </c>
    </row>
    <row r="1090" spans="1:36" s="207" customFormat="1" x14ac:dyDescent="0.3">
      <c r="G1090" s="305"/>
      <c r="S1090" s="285">
        <f t="shared" si="77"/>
        <v>0</v>
      </c>
      <c r="U1090" s="306"/>
      <c r="V1090" s="306"/>
      <c r="W1090" s="307"/>
      <c r="X1090" s="307"/>
      <c r="Y1090" s="307"/>
      <c r="Z1090" s="307"/>
      <c r="AA1090" s="305"/>
      <c r="AB1090" s="305"/>
      <c r="AC1090" s="305"/>
      <c r="AE1090" s="305"/>
      <c r="AF1090" s="208"/>
      <c r="AJ1090" s="388">
        <f t="shared" si="78"/>
        <v>0</v>
      </c>
    </row>
    <row r="1091" spans="1:36" s="207" customFormat="1" x14ac:dyDescent="0.3">
      <c r="G1091" s="305"/>
      <c r="S1091" s="285">
        <f t="shared" si="77"/>
        <v>0</v>
      </c>
      <c r="U1091" s="306"/>
      <c r="V1091" s="306"/>
      <c r="W1091" s="307"/>
      <c r="X1091" s="307"/>
      <c r="Y1091" s="307"/>
      <c r="Z1091" s="307"/>
      <c r="AA1091" s="305"/>
      <c r="AB1091" s="305"/>
      <c r="AC1091" s="305"/>
      <c r="AE1091" s="305"/>
      <c r="AF1091" s="208"/>
      <c r="AJ1091" s="388">
        <f t="shared" si="78"/>
        <v>0</v>
      </c>
    </row>
    <row r="1092" spans="1:36" s="196" customFormat="1" ht="17.25" customHeight="1" x14ac:dyDescent="0.3">
      <c r="G1092" s="288">
        <f>SUM(G669:G1091)</f>
        <v>207.26540000000006</v>
      </c>
      <c r="H1092" s="288">
        <f t="shared" ref="H1092:AF1092" si="79">SUM(H669:H1091)</f>
        <v>1577618.0199999998</v>
      </c>
      <c r="I1092" s="288">
        <f t="shared" si="79"/>
        <v>116211.51000000004</v>
      </c>
      <c r="J1092" s="288">
        <f t="shared" si="79"/>
        <v>27773.599999999984</v>
      </c>
      <c r="K1092" s="288">
        <f t="shared" si="79"/>
        <v>305122.50999999995</v>
      </c>
      <c r="L1092" s="288">
        <f t="shared" si="79"/>
        <v>370265.53000000009</v>
      </c>
      <c r="M1092" s="288">
        <f t="shared" si="79"/>
        <v>314491.61</v>
      </c>
      <c r="N1092" s="288">
        <f t="shared" si="79"/>
        <v>324204.01</v>
      </c>
      <c r="O1092" s="288">
        <f t="shared" si="79"/>
        <v>1777277.37</v>
      </c>
      <c r="P1092" s="288">
        <f t="shared" si="79"/>
        <v>5402.22</v>
      </c>
      <c r="Q1092" s="288">
        <f t="shared" si="79"/>
        <v>140697.36000000004</v>
      </c>
      <c r="R1092" s="288">
        <f t="shared" si="79"/>
        <v>328850.56</v>
      </c>
      <c r="S1092" s="288">
        <f>SUM(S669:S1091)</f>
        <v>200.09873333333337</v>
      </c>
      <c r="T1092" s="288">
        <f t="shared" si="79"/>
        <v>14904.380000000003</v>
      </c>
      <c r="U1092" s="288">
        <f t="shared" si="79"/>
        <v>1912945.3800000013</v>
      </c>
      <c r="V1092" s="288">
        <f t="shared" si="79"/>
        <v>1912945.3800000013</v>
      </c>
      <c r="W1092" s="288">
        <f t="shared" si="79"/>
        <v>23127182.519999973</v>
      </c>
      <c r="X1092" s="288">
        <f t="shared" si="79"/>
        <v>22041061.599999972</v>
      </c>
      <c r="Y1092" s="288">
        <f t="shared" si="79"/>
        <v>23054276.719999973</v>
      </c>
      <c r="Z1092" s="288">
        <f t="shared" si="79"/>
        <v>26705284.160000004</v>
      </c>
      <c r="AA1092" s="288">
        <f t="shared" si="79"/>
        <v>26857615.254750013</v>
      </c>
      <c r="AB1092" s="288">
        <f t="shared" si="79"/>
        <v>24538901.306383353</v>
      </c>
      <c r="AC1092" s="288">
        <f t="shared" si="79"/>
        <v>1956312.6000000003</v>
      </c>
      <c r="AD1092" s="288">
        <f t="shared" si="79"/>
        <v>4964</v>
      </c>
      <c r="AE1092" s="288">
        <f t="shared" si="79"/>
        <v>2873674.3900000006</v>
      </c>
      <c r="AF1092" s="288">
        <f t="shared" si="79"/>
        <v>25568135.540000029</v>
      </c>
      <c r="AG1092" s="288">
        <v>0</v>
      </c>
      <c r="AH1092" s="288"/>
    </row>
    <row r="1093" spans="1:36" x14ac:dyDescent="0.3">
      <c r="W1093" s="292"/>
      <c r="X1093" s="292"/>
      <c r="Y1093" s="292"/>
      <c r="Z1093" s="292"/>
      <c r="AA1093" s="290"/>
      <c r="AB1093" s="290"/>
      <c r="AC1093" s="290"/>
      <c r="AE1093" s="290"/>
      <c r="AF1093" s="194"/>
    </row>
    <row r="1094" spans="1:36" x14ac:dyDescent="0.3">
      <c r="W1094" s="292"/>
      <c r="X1094" s="292"/>
      <c r="Y1094" s="292"/>
      <c r="Z1094" s="292"/>
      <c r="AA1094" s="290"/>
      <c r="AB1094" s="290"/>
      <c r="AC1094" s="290"/>
      <c r="AE1094" s="290" t="s">
        <v>2086</v>
      </c>
      <c r="AF1094" s="194">
        <v>1213608</v>
      </c>
    </row>
    <row r="1096" spans="1:36" x14ac:dyDescent="0.3">
      <c r="AE1096" s="192" t="s">
        <v>2087</v>
      </c>
      <c r="AF1096" s="194">
        <f>AF1092-AF1094</f>
        <v>24354527.540000029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72"/>
  <sheetViews>
    <sheetView rightToLeft="1" topLeftCell="B91" workbookViewId="0">
      <selection activeCell="V114" sqref="V114"/>
    </sheetView>
  </sheetViews>
  <sheetFormatPr defaultColWidth="9" defaultRowHeight="14" outlineLevelRow="2" x14ac:dyDescent="0.3"/>
  <cols>
    <col min="1" max="1" width="0" style="382" hidden="1" customWidth="1"/>
    <col min="2" max="2" width="9" style="382"/>
    <col min="3" max="3" width="14.5" style="382" customWidth="1"/>
    <col min="4" max="6" width="9" style="382" customWidth="1"/>
    <col min="7" max="7" width="12.5" style="382" customWidth="1"/>
    <col min="8" max="21" width="9" style="382" customWidth="1"/>
    <col min="22" max="22" width="13.5" style="386" bestFit="1" customWidth="1"/>
    <col min="23" max="23" width="10.83203125" style="387" hidden="1" customWidth="1"/>
    <col min="24" max="27" width="0" style="382" hidden="1" customWidth="1"/>
    <col min="28" max="28" width="9" style="386"/>
    <col min="29" max="29" width="13.5" style="382" bestFit="1" customWidth="1"/>
    <col min="30" max="31" width="9.08203125" style="382" bestFit="1" customWidth="1"/>
    <col min="32" max="16384" width="9" style="382"/>
  </cols>
  <sheetData>
    <row r="1" spans="1:31" x14ac:dyDescent="0.3">
      <c r="A1" s="379" t="s">
        <v>2255</v>
      </c>
      <c r="B1" s="379" t="s">
        <v>2256</v>
      </c>
      <c r="C1" s="379" t="s">
        <v>2257</v>
      </c>
      <c r="D1" s="379" t="s">
        <v>2258</v>
      </c>
      <c r="E1" s="379" t="s">
        <v>2259</v>
      </c>
      <c r="F1" s="379" t="s">
        <v>2260</v>
      </c>
      <c r="G1" s="379" t="s">
        <v>2261</v>
      </c>
      <c r="H1" s="379" t="s">
        <v>1066</v>
      </c>
      <c r="I1" s="379" t="s">
        <v>1067</v>
      </c>
      <c r="J1" s="379" t="s">
        <v>2262</v>
      </c>
      <c r="K1" s="379" t="s">
        <v>1068</v>
      </c>
      <c r="L1" s="379" t="s">
        <v>1069</v>
      </c>
      <c r="M1" s="379" t="s">
        <v>2263</v>
      </c>
      <c r="N1" s="379" t="s">
        <v>2264</v>
      </c>
      <c r="O1" s="379" t="s">
        <v>2265</v>
      </c>
      <c r="P1" s="379" t="s">
        <v>2266</v>
      </c>
      <c r="Q1" s="379" t="s">
        <v>2267</v>
      </c>
      <c r="R1" s="379" t="s">
        <v>2268</v>
      </c>
      <c r="S1" s="379" t="s">
        <v>2269</v>
      </c>
      <c r="T1" s="379" t="s">
        <v>2270</v>
      </c>
      <c r="U1" s="379" t="s">
        <v>2271</v>
      </c>
      <c r="V1" s="380" t="s">
        <v>2272</v>
      </c>
      <c r="W1" s="381" t="s">
        <v>2273</v>
      </c>
      <c r="X1" s="379" t="s">
        <v>2274</v>
      </c>
      <c r="Y1" s="379" t="s">
        <v>2275</v>
      </c>
      <c r="Z1" s="379" t="s">
        <v>2276</v>
      </c>
      <c r="AA1" s="379" t="s">
        <v>2277</v>
      </c>
      <c r="AB1" s="380" t="s">
        <v>2278</v>
      </c>
    </row>
    <row r="2" spans="1:31" outlineLevel="2" x14ac:dyDescent="0.3">
      <c r="A2" s="379">
        <v>431</v>
      </c>
      <c r="B2" s="379">
        <v>611000</v>
      </c>
      <c r="C2" s="379" t="s">
        <v>2279</v>
      </c>
      <c r="D2" s="379">
        <v>5429149</v>
      </c>
      <c r="E2" s="379" t="s">
        <v>2280</v>
      </c>
      <c r="F2" s="379" t="s">
        <v>2281</v>
      </c>
      <c r="G2" s="383">
        <v>34304</v>
      </c>
      <c r="H2" s="379">
        <v>119290.4</v>
      </c>
      <c r="I2" s="379">
        <v>6352.4</v>
      </c>
      <c r="J2" s="379">
        <v>11090.98</v>
      </c>
      <c r="K2" s="379">
        <v>8983.9</v>
      </c>
      <c r="L2" s="379"/>
      <c r="M2" s="379">
        <v>364.3</v>
      </c>
      <c r="N2" s="379"/>
      <c r="O2" s="379">
        <v>70840.639999999999</v>
      </c>
      <c r="P2" s="379">
        <v>16228.13</v>
      </c>
      <c r="Q2" s="379">
        <v>2575.1</v>
      </c>
      <c r="R2" s="379">
        <v>17869.61</v>
      </c>
      <c r="S2" s="379"/>
      <c r="T2" s="379">
        <v>11776.92</v>
      </c>
      <c r="U2" s="379"/>
      <c r="V2" s="380">
        <v>146081.98000000001</v>
      </c>
      <c r="W2" s="381">
        <v>11</v>
      </c>
      <c r="X2" s="379">
        <v>66</v>
      </c>
      <c r="Y2" s="379" t="s">
        <v>2282</v>
      </c>
      <c r="Z2" s="379">
        <v>3202008</v>
      </c>
      <c r="AA2" s="379" t="s">
        <v>2283</v>
      </c>
      <c r="AB2" s="380">
        <f>W2/12</f>
        <v>0.91666666666666663</v>
      </c>
    </row>
    <row r="3" spans="1:31" outlineLevel="2" x14ac:dyDescent="0.3">
      <c r="A3" s="379">
        <v>431</v>
      </c>
      <c r="B3" s="379">
        <v>611000</v>
      </c>
      <c r="C3" s="379" t="s">
        <v>2279</v>
      </c>
      <c r="D3" s="379">
        <v>5767089</v>
      </c>
      <c r="E3" s="379" t="s">
        <v>2284</v>
      </c>
      <c r="F3" s="379" t="s">
        <v>2285</v>
      </c>
      <c r="G3" s="383">
        <v>36770</v>
      </c>
      <c r="H3" s="379">
        <v>20462.509999999998</v>
      </c>
      <c r="I3" s="379">
        <v>1048.53</v>
      </c>
      <c r="J3" s="379">
        <v>1872.2</v>
      </c>
      <c r="K3" s="379">
        <v>1534.7</v>
      </c>
      <c r="L3" s="379"/>
      <c r="M3" s="379">
        <v>78</v>
      </c>
      <c r="N3" s="379"/>
      <c r="O3" s="379">
        <v>13953.78</v>
      </c>
      <c r="P3" s="379">
        <v>3609</v>
      </c>
      <c r="Q3" s="379">
        <v>468.2</v>
      </c>
      <c r="R3" s="379">
        <v>1933.53</v>
      </c>
      <c r="S3" s="379"/>
      <c r="T3" s="379"/>
      <c r="U3" s="379">
        <v>498</v>
      </c>
      <c r="V3" s="380">
        <v>24995.94</v>
      </c>
      <c r="W3" s="381">
        <v>2</v>
      </c>
      <c r="X3" s="379"/>
      <c r="Y3" s="379"/>
      <c r="Z3" s="379">
        <v>8811001</v>
      </c>
      <c r="AA3" s="379" t="s">
        <v>2286</v>
      </c>
      <c r="AB3" s="380">
        <f t="shared" ref="AB3:AB75" si="0">W3/12</f>
        <v>0.16666666666666666</v>
      </c>
    </row>
    <row r="4" spans="1:31" outlineLevel="2" x14ac:dyDescent="0.3">
      <c r="A4" s="379">
        <v>431</v>
      </c>
      <c r="B4" s="379">
        <v>611000</v>
      </c>
      <c r="C4" s="379" t="s">
        <v>2279</v>
      </c>
      <c r="D4" s="379">
        <v>6816892</v>
      </c>
      <c r="E4" s="379" t="s">
        <v>2287</v>
      </c>
      <c r="F4" s="379" t="s">
        <v>2288</v>
      </c>
      <c r="G4" s="383">
        <v>32021</v>
      </c>
      <c r="H4" s="379">
        <v>8817.74</v>
      </c>
      <c r="I4" s="379">
        <v>385.03</v>
      </c>
      <c r="J4" s="379">
        <v>757.27</v>
      </c>
      <c r="K4" s="379">
        <v>661.35</v>
      </c>
      <c r="L4" s="379"/>
      <c r="M4" s="379">
        <v>30.75</v>
      </c>
      <c r="N4" s="379"/>
      <c r="O4" s="379">
        <v>7689.7</v>
      </c>
      <c r="P4" s="379"/>
      <c r="Q4" s="379">
        <v>85.1</v>
      </c>
      <c r="R4" s="379">
        <v>1042.94</v>
      </c>
      <c r="S4" s="379"/>
      <c r="T4" s="379"/>
      <c r="U4" s="379"/>
      <c r="V4" s="380">
        <v>10652.14</v>
      </c>
      <c r="W4" s="381">
        <v>1</v>
      </c>
      <c r="X4" s="379">
        <v>74</v>
      </c>
      <c r="Y4" s="379" t="s">
        <v>2289</v>
      </c>
      <c r="Z4" s="379">
        <v>3202002</v>
      </c>
      <c r="AA4" s="379" t="s">
        <v>2290</v>
      </c>
      <c r="AB4" s="380">
        <f t="shared" si="0"/>
        <v>8.3333333333333329E-2</v>
      </c>
    </row>
    <row r="5" spans="1:31" outlineLevel="2" x14ac:dyDescent="0.3">
      <c r="A5" s="379">
        <v>431</v>
      </c>
      <c r="B5" s="379">
        <v>611000</v>
      </c>
      <c r="C5" s="379" t="s">
        <v>2279</v>
      </c>
      <c r="D5" s="379">
        <v>30116908</v>
      </c>
      <c r="E5" s="379" t="s">
        <v>2291</v>
      </c>
      <c r="F5" s="379" t="s">
        <v>2292</v>
      </c>
      <c r="G5" s="383">
        <v>42461</v>
      </c>
      <c r="H5" s="379">
        <v>4028.35</v>
      </c>
      <c r="I5" s="379">
        <v>143.01</v>
      </c>
      <c r="J5" s="379">
        <v>845.94</v>
      </c>
      <c r="K5" s="379">
        <v>302.10000000000002</v>
      </c>
      <c r="L5" s="379"/>
      <c r="M5" s="379"/>
      <c r="N5" s="379"/>
      <c r="O5" s="379">
        <v>1</v>
      </c>
      <c r="P5" s="379"/>
      <c r="Q5" s="379"/>
      <c r="R5" s="379"/>
      <c r="S5" s="379"/>
      <c r="T5" s="379">
        <v>4027.35</v>
      </c>
      <c r="U5" s="379"/>
      <c r="V5" s="380">
        <v>5319.4</v>
      </c>
      <c r="W5" s="381"/>
      <c r="X5" s="379"/>
      <c r="Y5" s="379"/>
      <c r="Z5" s="379">
        <v>1007</v>
      </c>
      <c r="AA5" s="379" t="s">
        <v>2293</v>
      </c>
      <c r="AB5" s="380">
        <f t="shared" si="0"/>
        <v>0</v>
      </c>
    </row>
    <row r="6" spans="1:31" outlineLevel="1" x14ac:dyDescent="0.3">
      <c r="A6" s="379"/>
      <c r="B6" s="384" t="s">
        <v>2294</v>
      </c>
      <c r="C6" s="379"/>
      <c r="D6" s="379"/>
      <c r="E6" s="379"/>
      <c r="F6" s="379"/>
      <c r="G6" s="383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80">
        <f>SUBTOTAL(9,V2:V5)</f>
        <v>187049.46</v>
      </c>
      <c r="W6" s="381">
        <f>SUBTOTAL(9,W2:W5)</f>
        <v>14</v>
      </c>
      <c r="X6" s="379"/>
      <c r="Y6" s="379"/>
      <c r="Z6" s="379"/>
      <c r="AA6" s="379"/>
      <c r="AB6" s="380">
        <f>SUBTOTAL(9,AB2:AB5)</f>
        <v>1.1666666666666665</v>
      </c>
    </row>
    <row r="7" spans="1:31" outlineLevel="2" x14ac:dyDescent="0.3">
      <c r="A7" s="379">
        <v>431</v>
      </c>
      <c r="B7" s="379">
        <v>611100</v>
      </c>
      <c r="C7" s="379" t="s">
        <v>1081</v>
      </c>
      <c r="D7" s="379">
        <v>2459772</v>
      </c>
      <c r="E7" s="379" t="s">
        <v>2295</v>
      </c>
      <c r="F7" s="379" t="s">
        <v>2296</v>
      </c>
      <c r="G7" s="383">
        <v>41609</v>
      </c>
      <c r="H7" s="379">
        <v>-39639.65</v>
      </c>
      <c r="I7" s="379">
        <v>-2965.81</v>
      </c>
      <c r="J7" s="379"/>
      <c r="K7" s="379">
        <v>-2972.9</v>
      </c>
      <c r="L7" s="379"/>
      <c r="M7" s="379"/>
      <c r="N7" s="379"/>
      <c r="O7" s="379"/>
      <c r="P7" s="379"/>
      <c r="Q7" s="379"/>
      <c r="R7" s="379">
        <v>-39639.65</v>
      </c>
      <c r="S7" s="379"/>
      <c r="T7" s="379"/>
      <c r="U7" s="379"/>
      <c r="V7" s="380">
        <v>-45578.36</v>
      </c>
      <c r="W7" s="381"/>
      <c r="X7" s="379"/>
      <c r="Y7" s="379"/>
      <c r="Z7" s="379">
        <v>2012001</v>
      </c>
      <c r="AA7" s="379" t="s">
        <v>2297</v>
      </c>
      <c r="AB7" s="380">
        <f t="shared" si="0"/>
        <v>0</v>
      </c>
    </row>
    <row r="8" spans="1:31" outlineLevel="2" x14ac:dyDescent="0.3">
      <c r="A8" s="379">
        <v>431</v>
      </c>
      <c r="B8" s="379">
        <v>611100</v>
      </c>
      <c r="C8" s="379" t="s">
        <v>1081</v>
      </c>
      <c r="D8" s="379">
        <v>3467604</v>
      </c>
      <c r="E8" s="379" t="s">
        <v>2298</v>
      </c>
      <c r="F8" s="379" t="s">
        <v>2299</v>
      </c>
      <c r="G8" s="383">
        <v>43435</v>
      </c>
      <c r="H8" s="379">
        <v>523850.4</v>
      </c>
      <c r="I8" s="379">
        <v>37032</v>
      </c>
      <c r="J8" s="379">
        <v>116824</v>
      </c>
      <c r="K8" s="379">
        <v>45847.6</v>
      </c>
      <c r="L8" s="379"/>
      <c r="M8" s="379"/>
      <c r="N8" s="379"/>
      <c r="O8" s="379">
        <v>507890.4</v>
      </c>
      <c r="P8" s="379"/>
      <c r="Q8" s="379"/>
      <c r="R8" s="379"/>
      <c r="S8" s="379"/>
      <c r="T8" s="379"/>
      <c r="U8" s="379">
        <v>15960</v>
      </c>
      <c r="V8" s="380">
        <v>723554</v>
      </c>
      <c r="W8" s="381">
        <v>12</v>
      </c>
      <c r="X8" s="379"/>
      <c r="Y8" s="379"/>
      <c r="Z8" s="379">
        <v>2011001</v>
      </c>
      <c r="AA8" s="379" t="s">
        <v>2300</v>
      </c>
      <c r="AB8" s="380">
        <f t="shared" si="0"/>
        <v>1</v>
      </c>
    </row>
    <row r="9" spans="1:31" outlineLevel="2" x14ac:dyDescent="0.3">
      <c r="A9" s="379">
        <v>431</v>
      </c>
      <c r="B9" s="379">
        <v>611100</v>
      </c>
      <c r="C9" s="379" t="s">
        <v>1081</v>
      </c>
      <c r="D9" s="379">
        <v>3634376</v>
      </c>
      <c r="E9" s="379" t="s">
        <v>2301</v>
      </c>
      <c r="F9" s="379" t="s">
        <v>2302</v>
      </c>
      <c r="G9" s="383">
        <v>42186</v>
      </c>
      <c r="H9" s="379">
        <v>243110.79</v>
      </c>
      <c r="I9" s="379">
        <v>15587.32</v>
      </c>
      <c r="J9" s="379">
        <v>43522.080000000002</v>
      </c>
      <c r="K9" s="379">
        <v>18338.55</v>
      </c>
      <c r="L9" s="379"/>
      <c r="M9" s="379"/>
      <c r="N9" s="379"/>
      <c r="O9" s="379">
        <v>207247.2</v>
      </c>
      <c r="P9" s="379"/>
      <c r="Q9" s="379"/>
      <c r="R9" s="379">
        <v>27883.59</v>
      </c>
      <c r="S9" s="379"/>
      <c r="T9" s="379"/>
      <c r="U9" s="379">
        <v>7980</v>
      </c>
      <c r="V9" s="380">
        <v>320558.74</v>
      </c>
      <c r="W9" s="381">
        <v>12</v>
      </c>
      <c r="X9" s="379"/>
      <c r="Y9" s="379"/>
      <c r="Z9" s="379">
        <v>2012001</v>
      </c>
      <c r="AA9" s="379" t="s">
        <v>2297</v>
      </c>
      <c r="AB9" s="380">
        <f t="shared" si="0"/>
        <v>1</v>
      </c>
    </row>
    <row r="10" spans="1:31" outlineLevel="2" x14ac:dyDescent="0.3">
      <c r="A10" s="379">
        <v>431</v>
      </c>
      <c r="B10" s="379">
        <v>611100</v>
      </c>
      <c r="C10" s="379" t="s">
        <v>1081</v>
      </c>
      <c r="D10" s="379">
        <v>6798057</v>
      </c>
      <c r="E10" s="379" t="s">
        <v>2303</v>
      </c>
      <c r="F10" s="379" t="s">
        <v>2304</v>
      </c>
      <c r="G10" s="383">
        <v>39783</v>
      </c>
      <c r="H10" s="379">
        <v>118507.91</v>
      </c>
      <c r="I10" s="379">
        <v>-0.51</v>
      </c>
      <c r="J10" s="379"/>
      <c r="K10" s="379">
        <v>8887.5499999999993</v>
      </c>
      <c r="L10" s="379"/>
      <c r="M10" s="379"/>
      <c r="N10" s="379"/>
      <c r="O10" s="379">
        <v>118507.91</v>
      </c>
      <c r="P10" s="379"/>
      <c r="Q10" s="379"/>
      <c r="R10" s="379"/>
      <c r="S10" s="379"/>
      <c r="T10" s="379"/>
      <c r="U10" s="379"/>
      <c r="V10" s="380">
        <v>127394.95</v>
      </c>
      <c r="W10" s="381"/>
      <c r="X10" s="379"/>
      <c r="Y10" s="379"/>
      <c r="Z10" s="379">
        <v>2011001</v>
      </c>
      <c r="AA10" s="379" t="s">
        <v>2300</v>
      </c>
      <c r="AB10" s="380">
        <f t="shared" si="0"/>
        <v>0</v>
      </c>
    </row>
    <row r="11" spans="1:31" outlineLevel="2" x14ac:dyDescent="0.3">
      <c r="A11" s="379">
        <v>431</v>
      </c>
      <c r="B11" s="379">
        <v>611100</v>
      </c>
      <c r="C11" s="379" t="s">
        <v>1081</v>
      </c>
      <c r="D11" s="379">
        <v>31079323</v>
      </c>
      <c r="E11" s="379" t="s">
        <v>2305</v>
      </c>
      <c r="F11" s="379" t="s">
        <v>2306</v>
      </c>
      <c r="G11" s="383">
        <v>41609</v>
      </c>
      <c r="H11" s="379">
        <v>-39574.9</v>
      </c>
      <c r="I11" s="379">
        <v>-2961.04</v>
      </c>
      <c r="J11" s="379">
        <v>635.35</v>
      </c>
      <c r="K11" s="379">
        <v>-2968.28</v>
      </c>
      <c r="L11" s="379"/>
      <c r="M11" s="379"/>
      <c r="N11" s="379"/>
      <c r="O11" s="379"/>
      <c r="P11" s="379"/>
      <c r="Q11" s="379"/>
      <c r="R11" s="379">
        <v>-39574.9</v>
      </c>
      <c r="S11" s="379"/>
      <c r="T11" s="379"/>
      <c r="U11" s="379"/>
      <c r="V11" s="380">
        <v>-44868.87</v>
      </c>
      <c r="W11" s="381"/>
      <c r="X11" s="379"/>
      <c r="Y11" s="379"/>
      <c r="Z11" s="379">
        <v>2012001</v>
      </c>
      <c r="AA11" s="379" t="s">
        <v>2297</v>
      </c>
      <c r="AB11" s="380">
        <f t="shared" si="0"/>
        <v>0</v>
      </c>
    </row>
    <row r="12" spans="1:31" outlineLevel="2" x14ac:dyDescent="0.3">
      <c r="A12" s="379">
        <v>431</v>
      </c>
      <c r="B12" s="379">
        <v>611100</v>
      </c>
      <c r="C12" s="379" t="s">
        <v>1081</v>
      </c>
      <c r="D12" s="379">
        <v>2304341</v>
      </c>
      <c r="E12" s="379" t="s">
        <v>2307</v>
      </c>
      <c r="F12" s="379" t="s">
        <v>2308</v>
      </c>
      <c r="G12" s="383">
        <v>43466</v>
      </c>
      <c r="H12" s="379">
        <v>244420.29</v>
      </c>
      <c r="I12" s="379">
        <v>15686.81</v>
      </c>
      <c r="J12" s="379">
        <v>43522.080000000002</v>
      </c>
      <c r="K12" s="379">
        <v>18436.8</v>
      </c>
      <c r="L12" s="379"/>
      <c r="M12" s="379"/>
      <c r="N12" s="379"/>
      <c r="O12" s="379">
        <v>207247.2</v>
      </c>
      <c r="P12" s="379"/>
      <c r="Q12" s="379"/>
      <c r="R12" s="379">
        <v>29193.09</v>
      </c>
      <c r="S12" s="379"/>
      <c r="T12" s="379"/>
      <c r="U12" s="379">
        <v>7980</v>
      </c>
      <c r="V12" s="380">
        <v>322065.98</v>
      </c>
      <c r="W12" s="381">
        <v>12</v>
      </c>
      <c r="X12" s="379"/>
      <c r="Y12" s="379"/>
      <c r="Z12" s="379">
        <v>2012001</v>
      </c>
      <c r="AA12" s="379" t="s">
        <v>2297</v>
      </c>
      <c r="AB12" s="380">
        <f t="shared" si="0"/>
        <v>1</v>
      </c>
    </row>
    <row r="13" spans="1:31" outlineLevel="1" x14ac:dyDescent="0.3">
      <c r="A13" s="379"/>
      <c r="B13" s="384" t="s">
        <v>2309</v>
      </c>
      <c r="C13" s="379"/>
      <c r="D13" s="379"/>
      <c r="E13" s="379"/>
      <c r="F13" s="379"/>
      <c r="G13" s="383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80">
        <f>SUBTOTAL(9,V7:V12)</f>
        <v>1403126.44</v>
      </c>
      <c r="W13" s="381">
        <f>SUBTOTAL(9,W7:W12)</f>
        <v>36</v>
      </c>
      <c r="X13" s="379"/>
      <c r="Y13" s="379"/>
      <c r="Z13" s="379"/>
      <c r="AA13" s="379"/>
      <c r="AB13" s="380">
        <f>SUBTOTAL(9,AB7:AB12)</f>
        <v>3</v>
      </c>
      <c r="AC13" s="385">
        <f>V13</f>
        <v>1403126.44</v>
      </c>
      <c r="AD13" s="385">
        <f>W13</f>
        <v>36</v>
      </c>
      <c r="AE13" s="386">
        <f>AB13</f>
        <v>3</v>
      </c>
    </row>
    <row r="14" spans="1:31" outlineLevel="2" x14ac:dyDescent="0.3">
      <c r="A14" s="379">
        <v>431</v>
      </c>
      <c r="B14" s="379">
        <v>612000</v>
      </c>
      <c r="C14" s="379" t="s">
        <v>1085</v>
      </c>
      <c r="D14" s="379">
        <v>2459715</v>
      </c>
      <c r="E14" s="379" t="s">
        <v>2303</v>
      </c>
      <c r="F14" s="379" t="s">
        <v>2310</v>
      </c>
      <c r="G14" s="383">
        <v>34121</v>
      </c>
      <c r="H14" s="379">
        <v>125018.36</v>
      </c>
      <c r="I14" s="379">
        <v>6538.23</v>
      </c>
      <c r="J14" s="379">
        <v>10950.9</v>
      </c>
      <c r="K14" s="379">
        <v>9413.6</v>
      </c>
      <c r="L14" s="379"/>
      <c r="M14" s="379">
        <v>382.95</v>
      </c>
      <c r="N14" s="379"/>
      <c r="O14" s="379">
        <v>83654.61</v>
      </c>
      <c r="P14" s="379">
        <v>7848</v>
      </c>
      <c r="Q14" s="379">
        <v>2521.1999999999998</v>
      </c>
      <c r="R14" s="379">
        <v>18971.93</v>
      </c>
      <c r="S14" s="379"/>
      <c r="T14" s="379">
        <v>12022.62</v>
      </c>
      <c r="U14" s="379"/>
      <c r="V14" s="380">
        <v>152304.04</v>
      </c>
      <c r="W14" s="381">
        <v>12</v>
      </c>
      <c r="X14" s="379">
        <v>64</v>
      </c>
      <c r="Y14" s="379" t="s">
        <v>2311</v>
      </c>
      <c r="Z14" s="379">
        <v>3202007</v>
      </c>
      <c r="AA14" s="379" t="s">
        <v>2312</v>
      </c>
      <c r="AB14" s="380">
        <f t="shared" si="0"/>
        <v>1</v>
      </c>
    </row>
    <row r="15" spans="1:31" outlineLevel="2" x14ac:dyDescent="0.3">
      <c r="A15" s="379">
        <v>431</v>
      </c>
      <c r="B15" s="379">
        <v>612000</v>
      </c>
      <c r="C15" s="379" t="s">
        <v>1085</v>
      </c>
      <c r="D15" s="379">
        <v>3311994</v>
      </c>
      <c r="E15" s="379" t="s">
        <v>2313</v>
      </c>
      <c r="F15" s="379" t="s">
        <v>969</v>
      </c>
      <c r="G15" s="383">
        <v>41913</v>
      </c>
      <c r="H15" s="379">
        <v>292910</v>
      </c>
      <c r="I15" s="379">
        <v>22696.05</v>
      </c>
      <c r="J15" s="379">
        <v>65428.800000000003</v>
      </c>
      <c r="K15" s="379">
        <v>25356.15</v>
      </c>
      <c r="L15" s="379"/>
      <c r="M15" s="379">
        <v>1106.4000000000001</v>
      </c>
      <c r="N15" s="379"/>
      <c r="O15" s="379">
        <v>276561</v>
      </c>
      <c r="P15" s="379"/>
      <c r="Q15" s="379">
        <v>1212</v>
      </c>
      <c r="R15" s="379"/>
      <c r="S15" s="379"/>
      <c r="T15" s="379">
        <v>6038</v>
      </c>
      <c r="U15" s="379">
        <v>9099</v>
      </c>
      <c r="V15" s="380">
        <v>407497.4</v>
      </c>
      <c r="W15" s="381">
        <v>12</v>
      </c>
      <c r="X15" s="379"/>
      <c r="Y15" s="379"/>
      <c r="Z15" s="379">
        <v>1105001</v>
      </c>
      <c r="AA15" s="379" t="s">
        <v>247</v>
      </c>
      <c r="AB15" s="380">
        <f t="shared" si="0"/>
        <v>1</v>
      </c>
    </row>
    <row r="16" spans="1:31" outlineLevel="1" x14ac:dyDescent="0.3">
      <c r="A16" s="379"/>
      <c r="B16" s="384" t="s">
        <v>2314</v>
      </c>
      <c r="C16" s="379"/>
      <c r="D16" s="379"/>
      <c r="E16" s="379"/>
      <c r="F16" s="379"/>
      <c r="G16" s="383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80">
        <f>SUBTOTAL(9,V14:V15)</f>
        <v>559801.44000000006</v>
      </c>
      <c r="W16" s="381">
        <f>SUBTOTAL(9,W14:W15)</f>
        <v>24</v>
      </c>
      <c r="X16" s="379"/>
      <c r="Y16" s="379"/>
      <c r="Z16" s="379"/>
      <c r="AA16" s="379"/>
      <c r="AB16" s="380">
        <f>SUBTOTAL(9,AB14:AB15)</f>
        <v>2</v>
      </c>
    </row>
    <row r="17" spans="1:28" outlineLevel="2" x14ac:dyDescent="0.3">
      <c r="A17" s="379">
        <v>431</v>
      </c>
      <c r="B17" s="379">
        <v>613000</v>
      </c>
      <c r="C17" s="379" t="s">
        <v>1095</v>
      </c>
      <c r="D17" s="379">
        <v>2155137</v>
      </c>
      <c r="E17" s="379" t="s">
        <v>2315</v>
      </c>
      <c r="F17" s="379" t="s">
        <v>2316</v>
      </c>
      <c r="G17" s="383">
        <v>39692</v>
      </c>
      <c r="H17" s="379">
        <v>18840.87</v>
      </c>
      <c r="I17" s="379">
        <v>696.78</v>
      </c>
      <c r="J17" s="379">
        <v>3616.66</v>
      </c>
      <c r="K17" s="379">
        <v>1413.05</v>
      </c>
      <c r="L17" s="379"/>
      <c r="M17" s="379">
        <v>66.900000000000006</v>
      </c>
      <c r="N17" s="379"/>
      <c r="O17" s="379">
        <v>16730.919999999998</v>
      </c>
      <c r="P17" s="379"/>
      <c r="Q17" s="379">
        <v>687.72</v>
      </c>
      <c r="R17" s="379">
        <v>571.73</v>
      </c>
      <c r="S17" s="379"/>
      <c r="T17" s="379"/>
      <c r="U17" s="379">
        <v>850.5</v>
      </c>
      <c r="V17" s="380">
        <v>24634.26</v>
      </c>
      <c r="W17" s="381">
        <v>2.7</v>
      </c>
      <c r="X17" s="379"/>
      <c r="Y17" s="379"/>
      <c r="Z17" s="379">
        <v>3202003</v>
      </c>
      <c r="AA17" s="379" t="s">
        <v>2317</v>
      </c>
      <c r="AB17" s="380">
        <f t="shared" si="0"/>
        <v>0.22500000000000001</v>
      </c>
    </row>
    <row r="18" spans="1:28" outlineLevel="2" x14ac:dyDescent="0.3">
      <c r="A18" s="379">
        <v>431</v>
      </c>
      <c r="B18" s="379">
        <v>613000</v>
      </c>
      <c r="C18" s="379" t="s">
        <v>1095</v>
      </c>
      <c r="D18" s="379">
        <v>2244315</v>
      </c>
      <c r="E18" s="379" t="s">
        <v>2318</v>
      </c>
      <c r="F18" s="379" t="s">
        <v>2319</v>
      </c>
      <c r="G18" s="383">
        <v>42278</v>
      </c>
      <c r="H18" s="379">
        <v>4366</v>
      </c>
      <c r="I18" s="379">
        <v>159.16</v>
      </c>
      <c r="J18" s="379">
        <v>846.01</v>
      </c>
      <c r="K18" s="379">
        <v>327.43</v>
      </c>
      <c r="L18" s="379"/>
      <c r="M18" s="379">
        <v>13.67</v>
      </c>
      <c r="N18" s="379"/>
      <c r="O18" s="379"/>
      <c r="P18" s="379">
        <v>4366</v>
      </c>
      <c r="Q18" s="379"/>
      <c r="R18" s="379"/>
      <c r="S18" s="379"/>
      <c r="T18" s="379"/>
      <c r="U18" s="379"/>
      <c r="V18" s="380">
        <v>5712.27</v>
      </c>
      <c r="W18" s="381"/>
      <c r="X18" s="379"/>
      <c r="Y18" s="379"/>
      <c r="Z18" s="379">
        <v>5931001</v>
      </c>
      <c r="AA18" s="379" t="s">
        <v>2320</v>
      </c>
      <c r="AB18" s="380">
        <f t="shared" si="0"/>
        <v>0</v>
      </c>
    </row>
    <row r="19" spans="1:28" outlineLevel="2" x14ac:dyDescent="0.3">
      <c r="A19" s="379">
        <v>431</v>
      </c>
      <c r="B19" s="379">
        <v>613000</v>
      </c>
      <c r="C19" s="379" t="s">
        <v>1095</v>
      </c>
      <c r="D19" s="379">
        <v>2458579</v>
      </c>
      <c r="E19" s="379" t="s">
        <v>2321</v>
      </c>
      <c r="F19" s="379" t="s">
        <v>2322</v>
      </c>
      <c r="G19" s="383">
        <v>42795</v>
      </c>
      <c r="H19" s="379">
        <v>6690.6</v>
      </c>
      <c r="I19" s="379">
        <v>241.12</v>
      </c>
      <c r="J19" s="379">
        <v>903.23</v>
      </c>
      <c r="K19" s="379">
        <v>501.85</v>
      </c>
      <c r="L19" s="379"/>
      <c r="M19" s="379"/>
      <c r="N19" s="379"/>
      <c r="O19" s="379"/>
      <c r="P19" s="379">
        <v>6690.6</v>
      </c>
      <c r="Q19" s="379"/>
      <c r="R19" s="379"/>
      <c r="S19" s="379"/>
      <c r="T19" s="379"/>
      <c r="U19" s="379"/>
      <c r="V19" s="380">
        <v>8336.7999999999993</v>
      </c>
      <c r="W19" s="381"/>
      <c r="X19" s="379"/>
      <c r="Y19" s="379"/>
      <c r="Z19" s="379">
        <v>5931001</v>
      </c>
      <c r="AA19" s="379" t="s">
        <v>2320</v>
      </c>
      <c r="AB19" s="380">
        <f t="shared" si="0"/>
        <v>0</v>
      </c>
    </row>
    <row r="20" spans="1:28" outlineLevel="2" x14ac:dyDescent="0.3">
      <c r="A20" s="379">
        <v>431</v>
      </c>
      <c r="B20" s="379">
        <v>613000</v>
      </c>
      <c r="C20" s="379" t="s">
        <v>1095</v>
      </c>
      <c r="D20" s="379">
        <v>2887561</v>
      </c>
      <c r="E20" s="379" t="s">
        <v>2323</v>
      </c>
      <c r="F20" s="379" t="s">
        <v>2324</v>
      </c>
      <c r="G20" s="383">
        <v>42522</v>
      </c>
      <c r="H20" s="379">
        <v>-331.37</v>
      </c>
      <c r="I20" s="379">
        <v>-24.36</v>
      </c>
      <c r="J20" s="379"/>
      <c r="K20" s="379">
        <v>-24.84</v>
      </c>
      <c r="L20" s="379"/>
      <c r="M20" s="379"/>
      <c r="N20" s="379"/>
      <c r="O20" s="379">
        <v>-354.93</v>
      </c>
      <c r="P20" s="379"/>
      <c r="Q20" s="379"/>
      <c r="R20" s="379">
        <v>23.56</v>
      </c>
      <c r="S20" s="379"/>
      <c r="T20" s="379"/>
      <c r="U20" s="379"/>
      <c r="V20" s="380">
        <v>-380.57</v>
      </c>
      <c r="W20" s="381"/>
      <c r="X20" s="379"/>
      <c r="Y20" s="379"/>
      <c r="Z20" s="379">
        <v>3202006</v>
      </c>
      <c r="AA20" s="379" t="s">
        <v>2325</v>
      </c>
      <c r="AB20" s="380">
        <f t="shared" si="0"/>
        <v>0</v>
      </c>
    </row>
    <row r="21" spans="1:28" outlineLevel="2" x14ac:dyDescent="0.3">
      <c r="A21" s="379">
        <v>431</v>
      </c>
      <c r="B21" s="379">
        <v>613000</v>
      </c>
      <c r="C21" s="379" t="s">
        <v>1095</v>
      </c>
      <c r="D21" s="379">
        <v>3196478</v>
      </c>
      <c r="E21" s="379" t="s">
        <v>2326</v>
      </c>
      <c r="F21" s="379" t="s">
        <v>2327</v>
      </c>
      <c r="G21" s="383">
        <v>43435</v>
      </c>
      <c r="H21" s="379">
        <v>600</v>
      </c>
      <c r="I21" s="379">
        <v>21.3</v>
      </c>
      <c r="J21" s="379">
        <v>81</v>
      </c>
      <c r="K21" s="379">
        <v>45</v>
      </c>
      <c r="L21" s="379"/>
      <c r="M21" s="379"/>
      <c r="N21" s="379"/>
      <c r="O21" s="379"/>
      <c r="P21" s="379">
        <v>600</v>
      </c>
      <c r="Q21" s="379"/>
      <c r="R21" s="379"/>
      <c r="S21" s="379"/>
      <c r="T21" s="379"/>
      <c r="U21" s="379"/>
      <c r="V21" s="380">
        <v>747.3</v>
      </c>
      <c r="W21" s="381"/>
      <c r="X21" s="379"/>
      <c r="Y21" s="379"/>
      <c r="Z21" s="379">
        <v>1031001</v>
      </c>
      <c r="AA21" s="379" t="s">
        <v>2328</v>
      </c>
      <c r="AB21" s="380">
        <f t="shared" si="0"/>
        <v>0</v>
      </c>
    </row>
    <row r="22" spans="1:28" outlineLevel="2" x14ac:dyDescent="0.3">
      <c r="A22" s="379">
        <v>431</v>
      </c>
      <c r="B22" s="379">
        <v>613000</v>
      </c>
      <c r="C22" s="379" t="s">
        <v>1095</v>
      </c>
      <c r="D22" s="379">
        <v>3466966</v>
      </c>
      <c r="E22" s="379" t="s">
        <v>2329</v>
      </c>
      <c r="F22" s="379" t="s">
        <v>2330</v>
      </c>
      <c r="G22" s="383">
        <v>43435</v>
      </c>
      <c r="H22" s="379">
        <v>184273.05</v>
      </c>
      <c r="I22" s="379">
        <v>13632.48</v>
      </c>
      <c r="J22" s="379">
        <v>39126.980000000003</v>
      </c>
      <c r="K22" s="379">
        <v>16659.25</v>
      </c>
      <c r="L22" s="379"/>
      <c r="M22" s="379">
        <v>663.6</v>
      </c>
      <c r="N22" s="379"/>
      <c r="O22" s="379">
        <v>177884.2</v>
      </c>
      <c r="P22" s="379"/>
      <c r="Q22" s="379">
        <v>474.5</v>
      </c>
      <c r="R22" s="379"/>
      <c r="S22" s="379"/>
      <c r="T22" s="379"/>
      <c r="U22" s="379">
        <v>5914.35</v>
      </c>
      <c r="V22" s="380">
        <v>254355.36</v>
      </c>
      <c r="W22" s="381">
        <v>12</v>
      </c>
      <c r="X22" s="379"/>
      <c r="Y22" s="379"/>
      <c r="Z22" s="379">
        <v>1011</v>
      </c>
      <c r="AA22" s="379" t="s">
        <v>2331</v>
      </c>
      <c r="AB22" s="380">
        <f t="shared" si="0"/>
        <v>1</v>
      </c>
    </row>
    <row r="23" spans="1:28" outlineLevel="2" x14ac:dyDescent="0.3">
      <c r="A23" s="379">
        <v>431</v>
      </c>
      <c r="B23" s="379">
        <v>613000</v>
      </c>
      <c r="C23" s="379" t="s">
        <v>1095</v>
      </c>
      <c r="D23" s="379">
        <v>3615546</v>
      </c>
      <c r="E23" s="379" t="s">
        <v>2332</v>
      </c>
      <c r="F23" s="379" t="s">
        <v>2333</v>
      </c>
      <c r="G23" s="383">
        <v>39995</v>
      </c>
      <c r="H23" s="379">
        <v>91972.02</v>
      </c>
      <c r="I23" s="379">
        <v>4027.67</v>
      </c>
      <c r="J23" s="379">
        <v>18331.189999999999</v>
      </c>
      <c r="K23" s="379">
        <v>6935.1</v>
      </c>
      <c r="L23" s="379"/>
      <c r="M23" s="379">
        <v>305.14999999999998</v>
      </c>
      <c r="N23" s="379"/>
      <c r="O23" s="379">
        <v>76175.08</v>
      </c>
      <c r="P23" s="379">
        <v>106.74</v>
      </c>
      <c r="Q23" s="379">
        <v>2809.2</v>
      </c>
      <c r="R23" s="379"/>
      <c r="S23" s="379"/>
      <c r="T23" s="379">
        <v>6470</v>
      </c>
      <c r="U23" s="379">
        <v>6411</v>
      </c>
      <c r="V23" s="380">
        <v>121571.13</v>
      </c>
      <c r="W23" s="381">
        <v>12</v>
      </c>
      <c r="X23" s="379"/>
      <c r="Y23" s="379"/>
      <c r="Z23" s="379">
        <v>3202006</v>
      </c>
      <c r="AA23" s="379" t="s">
        <v>2325</v>
      </c>
      <c r="AB23" s="380">
        <f t="shared" si="0"/>
        <v>1</v>
      </c>
    </row>
    <row r="24" spans="1:28" outlineLevel="2" x14ac:dyDescent="0.3">
      <c r="A24" s="379">
        <v>431</v>
      </c>
      <c r="B24" s="379">
        <v>613000</v>
      </c>
      <c r="C24" s="379" t="s">
        <v>1095</v>
      </c>
      <c r="D24" s="379">
        <v>3634370</v>
      </c>
      <c r="E24" s="379" t="s">
        <v>2334</v>
      </c>
      <c r="F24" s="379" t="s">
        <v>2335</v>
      </c>
      <c r="G24" s="383">
        <v>41944</v>
      </c>
      <c r="H24" s="379">
        <v>85810.74</v>
      </c>
      <c r="I24" s="379">
        <v>4128.8900000000003</v>
      </c>
      <c r="J24" s="379">
        <v>15202.01</v>
      </c>
      <c r="K24" s="379">
        <v>6473</v>
      </c>
      <c r="L24" s="379"/>
      <c r="M24" s="379">
        <v>261.45</v>
      </c>
      <c r="N24" s="379"/>
      <c r="O24" s="379">
        <v>65066.96</v>
      </c>
      <c r="P24" s="379">
        <v>5450.63</v>
      </c>
      <c r="Q24" s="379">
        <v>2341</v>
      </c>
      <c r="R24" s="379">
        <v>6001.44</v>
      </c>
      <c r="S24" s="379"/>
      <c r="T24" s="379">
        <v>6038</v>
      </c>
      <c r="U24" s="379">
        <v>912.71</v>
      </c>
      <c r="V24" s="380">
        <v>111876.09</v>
      </c>
      <c r="W24" s="381">
        <v>10</v>
      </c>
      <c r="X24" s="379"/>
      <c r="Y24" s="379"/>
      <c r="Z24" s="379">
        <v>3311007</v>
      </c>
      <c r="AA24" s="379" t="s">
        <v>2336</v>
      </c>
      <c r="AB24" s="380">
        <f t="shared" si="0"/>
        <v>0.83333333333333337</v>
      </c>
    </row>
    <row r="25" spans="1:28" outlineLevel="2" x14ac:dyDescent="0.3">
      <c r="A25" s="379">
        <v>431</v>
      </c>
      <c r="B25" s="379">
        <v>613000</v>
      </c>
      <c r="C25" s="379" t="s">
        <v>1095</v>
      </c>
      <c r="D25" s="379">
        <v>3827808</v>
      </c>
      <c r="E25" s="379" t="s">
        <v>2337</v>
      </c>
      <c r="F25" s="379" t="s">
        <v>2338</v>
      </c>
      <c r="G25" s="383">
        <v>37012</v>
      </c>
      <c r="H25" s="379">
        <v>59702.74</v>
      </c>
      <c r="I25" s="379">
        <v>-10856.54</v>
      </c>
      <c r="J25" s="379">
        <v>11986.75</v>
      </c>
      <c r="K25" s="379">
        <v>4514.88</v>
      </c>
      <c r="L25" s="379"/>
      <c r="M25" s="379">
        <v>198.37</v>
      </c>
      <c r="N25" s="379"/>
      <c r="O25" s="379">
        <v>52472.160000000003</v>
      </c>
      <c r="P25" s="379">
        <v>139.19999999999999</v>
      </c>
      <c r="Q25" s="379">
        <v>2605.08</v>
      </c>
      <c r="R25" s="379"/>
      <c r="S25" s="379"/>
      <c r="T25" s="379">
        <v>4486.3</v>
      </c>
      <c r="U25" s="379"/>
      <c r="V25" s="380">
        <v>65546.2</v>
      </c>
      <c r="W25" s="381">
        <v>7.8</v>
      </c>
      <c r="X25" s="379"/>
      <c r="Y25" s="379"/>
      <c r="Z25" s="379">
        <v>3403005</v>
      </c>
      <c r="AA25" s="379" t="s">
        <v>2339</v>
      </c>
      <c r="AB25" s="380">
        <f t="shared" si="0"/>
        <v>0.65</v>
      </c>
    </row>
    <row r="26" spans="1:28" outlineLevel="2" x14ac:dyDescent="0.3">
      <c r="A26" s="379">
        <v>431</v>
      </c>
      <c r="B26" s="379">
        <v>613000</v>
      </c>
      <c r="C26" s="379" t="s">
        <v>1095</v>
      </c>
      <c r="D26" s="379">
        <v>5429149</v>
      </c>
      <c r="E26" s="379" t="s">
        <v>2280</v>
      </c>
      <c r="F26" s="379" t="s">
        <v>2281</v>
      </c>
      <c r="G26" s="383">
        <v>34304</v>
      </c>
      <c r="H26" s="379">
        <v>9075.18</v>
      </c>
      <c r="I26" s="379">
        <v>440.07</v>
      </c>
      <c r="J26" s="379">
        <v>844.9</v>
      </c>
      <c r="K26" s="379">
        <v>680.65</v>
      </c>
      <c r="L26" s="379"/>
      <c r="M26" s="379">
        <v>29.6</v>
      </c>
      <c r="N26" s="379"/>
      <c r="O26" s="379">
        <v>5685.21</v>
      </c>
      <c r="P26" s="379">
        <v>1715.06</v>
      </c>
      <c r="Q26" s="379">
        <v>234.1</v>
      </c>
      <c r="R26" s="379">
        <v>1440.81</v>
      </c>
      <c r="S26" s="379"/>
      <c r="T26" s="379"/>
      <c r="U26" s="379"/>
      <c r="V26" s="380">
        <v>11070.4</v>
      </c>
      <c r="W26" s="381">
        <v>1</v>
      </c>
      <c r="X26" s="379">
        <v>66</v>
      </c>
      <c r="Y26" s="379" t="s">
        <v>2282</v>
      </c>
      <c r="Z26" s="379">
        <v>3202003</v>
      </c>
      <c r="AA26" s="379" t="s">
        <v>2317</v>
      </c>
      <c r="AB26" s="380">
        <f t="shared" si="0"/>
        <v>8.3333333333333329E-2</v>
      </c>
    </row>
    <row r="27" spans="1:28" outlineLevel="2" x14ac:dyDescent="0.3">
      <c r="A27" s="379">
        <v>431</v>
      </c>
      <c r="B27" s="379">
        <v>613000</v>
      </c>
      <c r="C27" s="379" t="s">
        <v>1095</v>
      </c>
      <c r="D27" s="379">
        <v>5542393</v>
      </c>
      <c r="E27" s="379" t="s">
        <v>2340</v>
      </c>
      <c r="F27" s="379" t="s">
        <v>2341</v>
      </c>
      <c r="G27" s="383">
        <v>28185</v>
      </c>
      <c r="H27" s="379">
        <v>190152.14</v>
      </c>
      <c r="I27" s="379">
        <v>11488.92</v>
      </c>
      <c r="J27" s="379">
        <v>18505</v>
      </c>
      <c r="K27" s="379">
        <v>14298.45</v>
      </c>
      <c r="L27" s="379"/>
      <c r="M27" s="379">
        <v>683.95</v>
      </c>
      <c r="N27" s="379"/>
      <c r="O27" s="379">
        <v>129699.44</v>
      </c>
      <c r="P27" s="379">
        <v>36010.04</v>
      </c>
      <c r="Q27" s="379">
        <v>11389.2</v>
      </c>
      <c r="R27" s="379"/>
      <c r="S27" s="379"/>
      <c r="T27" s="379">
        <v>13053.46</v>
      </c>
      <c r="U27" s="379"/>
      <c r="V27" s="380">
        <v>235128.46</v>
      </c>
      <c r="W27" s="381">
        <v>12</v>
      </c>
      <c r="X27" s="379">
        <v>125</v>
      </c>
      <c r="Y27" s="379" t="s">
        <v>2342</v>
      </c>
      <c r="Z27" s="379">
        <v>3402001</v>
      </c>
      <c r="AA27" s="379" t="s">
        <v>2343</v>
      </c>
      <c r="AB27" s="380">
        <f t="shared" si="0"/>
        <v>1</v>
      </c>
    </row>
    <row r="28" spans="1:28" outlineLevel="2" x14ac:dyDescent="0.3">
      <c r="A28" s="379">
        <v>431</v>
      </c>
      <c r="B28" s="379">
        <v>613000</v>
      </c>
      <c r="C28" s="379" t="s">
        <v>1095</v>
      </c>
      <c r="D28" s="379">
        <v>5569720</v>
      </c>
      <c r="E28" s="379" t="s">
        <v>2323</v>
      </c>
      <c r="F28" s="379" t="s">
        <v>2308</v>
      </c>
      <c r="G28" s="383">
        <v>43466</v>
      </c>
      <c r="H28" s="379">
        <v>336815.03</v>
      </c>
      <c r="I28" s="379">
        <v>26707.599999999999</v>
      </c>
      <c r="J28" s="379">
        <v>74016.820000000007</v>
      </c>
      <c r="K28" s="379">
        <v>29312.45</v>
      </c>
      <c r="L28" s="379"/>
      <c r="M28" s="379">
        <v>1293.5999999999999</v>
      </c>
      <c r="N28" s="379"/>
      <c r="O28" s="379">
        <v>322119.24</v>
      </c>
      <c r="P28" s="379"/>
      <c r="Q28" s="379">
        <v>461.51</v>
      </c>
      <c r="R28" s="379">
        <v>3820.88</v>
      </c>
      <c r="S28" s="379"/>
      <c r="T28" s="379"/>
      <c r="U28" s="379">
        <v>10413.4</v>
      </c>
      <c r="V28" s="380">
        <v>468145.5</v>
      </c>
      <c r="W28" s="381">
        <v>12</v>
      </c>
      <c r="X28" s="379"/>
      <c r="Y28" s="379"/>
      <c r="Z28" s="379">
        <v>1141001</v>
      </c>
      <c r="AA28" s="379" t="s">
        <v>2344</v>
      </c>
      <c r="AB28" s="380">
        <f t="shared" si="0"/>
        <v>1</v>
      </c>
    </row>
    <row r="29" spans="1:28" outlineLevel="2" x14ac:dyDescent="0.3">
      <c r="A29" s="379">
        <v>431</v>
      </c>
      <c r="B29" s="379">
        <v>613000</v>
      </c>
      <c r="C29" s="379" t="s">
        <v>1095</v>
      </c>
      <c r="D29" s="379">
        <v>5593594</v>
      </c>
      <c r="E29" s="379" t="s">
        <v>2345</v>
      </c>
      <c r="F29" s="379" t="s">
        <v>2346</v>
      </c>
      <c r="G29" s="383">
        <v>30133</v>
      </c>
      <c r="H29" s="379">
        <v>137094.48000000001</v>
      </c>
      <c r="I29" s="379">
        <v>7524.69</v>
      </c>
      <c r="J29" s="379">
        <v>12634.54</v>
      </c>
      <c r="K29" s="379">
        <v>10386.700000000001</v>
      </c>
      <c r="L29" s="379"/>
      <c r="M29" s="379">
        <v>437.35</v>
      </c>
      <c r="N29" s="379"/>
      <c r="O29" s="379">
        <v>84634.35</v>
      </c>
      <c r="P29" s="379">
        <v>20390.240000000002</v>
      </c>
      <c r="Q29" s="379">
        <v>2809.2</v>
      </c>
      <c r="R29" s="379">
        <v>17179.11</v>
      </c>
      <c r="S29" s="379"/>
      <c r="T29" s="379">
        <v>12081.58</v>
      </c>
      <c r="U29" s="379"/>
      <c r="V29" s="380">
        <v>168077.76</v>
      </c>
      <c r="W29" s="381">
        <v>12</v>
      </c>
      <c r="X29" s="379"/>
      <c r="Y29" s="379"/>
      <c r="Z29" s="379">
        <v>3202005</v>
      </c>
      <c r="AA29" s="379" t="s">
        <v>2347</v>
      </c>
      <c r="AB29" s="380">
        <f t="shared" si="0"/>
        <v>1</v>
      </c>
    </row>
    <row r="30" spans="1:28" outlineLevel="2" x14ac:dyDescent="0.3">
      <c r="A30" s="379">
        <v>431</v>
      </c>
      <c r="B30" s="379">
        <v>613000</v>
      </c>
      <c r="C30" s="379" t="s">
        <v>1095</v>
      </c>
      <c r="D30" s="379">
        <v>5663872</v>
      </c>
      <c r="E30" s="379" t="s">
        <v>2348</v>
      </c>
      <c r="F30" s="379" t="s">
        <v>2349</v>
      </c>
      <c r="G30" s="383">
        <v>28856</v>
      </c>
      <c r="H30" s="379">
        <v>110939.92</v>
      </c>
      <c r="I30" s="379">
        <v>5469.03</v>
      </c>
      <c r="J30" s="379">
        <v>10519.22</v>
      </c>
      <c r="K30" s="379">
        <v>8357.7000000000007</v>
      </c>
      <c r="L30" s="379"/>
      <c r="M30" s="379">
        <v>401.45</v>
      </c>
      <c r="N30" s="379"/>
      <c r="O30" s="379">
        <v>88080.79</v>
      </c>
      <c r="P30" s="379">
        <v>7893</v>
      </c>
      <c r="Q30" s="379">
        <v>2809.2</v>
      </c>
      <c r="R30" s="379"/>
      <c r="S30" s="379"/>
      <c r="T30" s="379">
        <v>12156.93</v>
      </c>
      <c r="U30" s="379"/>
      <c r="V30" s="380">
        <v>135687.32</v>
      </c>
      <c r="W30" s="381">
        <v>12</v>
      </c>
      <c r="X30" s="379">
        <v>28</v>
      </c>
      <c r="Y30" s="379" t="s">
        <v>2350</v>
      </c>
      <c r="Z30" s="379">
        <v>3202002</v>
      </c>
      <c r="AA30" s="379" t="s">
        <v>2290</v>
      </c>
      <c r="AB30" s="380">
        <f t="shared" si="0"/>
        <v>1</v>
      </c>
    </row>
    <row r="31" spans="1:28" outlineLevel="2" x14ac:dyDescent="0.3">
      <c r="A31" s="379">
        <v>431</v>
      </c>
      <c r="B31" s="379">
        <v>613000</v>
      </c>
      <c r="C31" s="379" t="s">
        <v>1095</v>
      </c>
      <c r="D31" s="379">
        <v>5663918</v>
      </c>
      <c r="E31" s="379" t="s">
        <v>2351</v>
      </c>
      <c r="F31" s="379" t="s">
        <v>2352</v>
      </c>
      <c r="G31" s="383">
        <v>32933</v>
      </c>
      <c r="H31" s="379">
        <v>97472.02</v>
      </c>
      <c r="I31" s="379">
        <v>4445.7299999999996</v>
      </c>
      <c r="J31" s="379">
        <v>8916.1200000000008</v>
      </c>
      <c r="K31" s="379">
        <v>7347.55</v>
      </c>
      <c r="L31" s="379"/>
      <c r="M31" s="379">
        <v>350</v>
      </c>
      <c r="N31" s="379"/>
      <c r="O31" s="379">
        <v>83194.149999999994</v>
      </c>
      <c r="P31" s="379"/>
      <c r="Q31" s="379">
        <v>2809.2</v>
      </c>
      <c r="R31" s="379">
        <v>93.18</v>
      </c>
      <c r="S31" s="379"/>
      <c r="T31" s="379">
        <v>11375.49</v>
      </c>
      <c r="U31" s="379"/>
      <c r="V31" s="380">
        <v>118531.42</v>
      </c>
      <c r="W31" s="381">
        <v>12</v>
      </c>
      <c r="X31" s="379">
        <v>1</v>
      </c>
      <c r="Y31" s="379" t="s">
        <v>2353</v>
      </c>
      <c r="Z31" s="379">
        <v>5923001</v>
      </c>
      <c r="AA31" s="379" t="s">
        <v>2354</v>
      </c>
      <c r="AB31" s="380">
        <f t="shared" si="0"/>
        <v>1</v>
      </c>
    </row>
    <row r="32" spans="1:28" outlineLevel="2" x14ac:dyDescent="0.3">
      <c r="A32" s="379">
        <v>431</v>
      </c>
      <c r="B32" s="379">
        <v>613000</v>
      </c>
      <c r="C32" s="379" t="s">
        <v>1095</v>
      </c>
      <c r="D32" s="379">
        <v>5789222</v>
      </c>
      <c r="E32" s="379" t="s">
        <v>2355</v>
      </c>
      <c r="F32" s="379" t="s">
        <v>2356</v>
      </c>
      <c r="G32" s="383">
        <v>35004</v>
      </c>
      <c r="H32" s="379">
        <v>163078.39000000001</v>
      </c>
      <c r="I32" s="379">
        <v>9430.5</v>
      </c>
      <c r="J32" s="379">
        <v>14965.73</v>
      </c>
      <c r="K32" s="379">
        <v>12268.1</v>
      </c>
      <c r="L32" s="379"/>
      <c r="M32" s="379">
        <v>498.4</v>
      </c>
      <c r="N32" s="379"/>
      <c r="O32" s="379">
        <v>96400.34</v>
      </c>
      <c r="P32" s="379">
        <v>23658.76</v>
      </c>
      <c r="Q32" s="379">
        <v>2809.2</v>
      </c>
      <c r="R32" s="379">
        <v>27890.45</v>
      </c>
      <c r="S32" s="379"/>
      <c r="T32" s="379">
        <v>12319.64</v>
      </c>
      <c r="U32" s="379"/>
      <c r="V32" s="380">
        <v>200241.12</v>
      </c>
      <c r="W32" s="381">
        <v>12</v>
      </c>
      <c r="X32" s="379"/>
      <c r="Y32" s="379"/>
      <c r="Z32" s="379">
        <v>611002</v>
      </c>
      <c r="AA32" s="379" t="s">
        <v>2357</v>
      </c>
      <c r="AB32" s="380">
        <f t="shared" si="0"/>
        <v>1</v>
      </c>
    </row>
    <row r="33" spans="1:28" outlineLevel="2" x14ac:dyDescent="0.3">
      <c r="A33" s="379">
        <v>431</v>
      </c>
      <c r="B33" s="379">
        <v>613000</v>
      </c>
      <c r="C33" s="379" t="s">
        <v>1095</v>
      </c>
      <c r="D33" s="379">
        <v>5873801</v>
      </c>
      <c r="E33" s="379" t="s">
        <v>2318</v>
      </c>
      <c r="F33" s="379" t="s">
        <v>2358</v>
      </c>
      <c r="G33" s="383">
        <v>35096</v>
      </c>
      <c r="H33" s="379">
        <v>29255.06</v>
      </c>
      <c r="I33" s="379">
        <v>1262.51</v>
      </c>
      <c r="J33" s="379">
        <v>3215.56</v>
      </c>
      <c r="K33" s="379">
        <v>2231.35</v>
      </c>
      <c r="L33" s="379"/>
      <c r="M33" s="379">
        <v>113.2</v>
      </c>
      <c r="N33" s="379"/>
      <c r="O33" s="379">
        <v>26795.38</v>
      </c>
      <c r="P33" s="379"/>
      <c r="Q33" s="379">
        <v>1924.96</v>
      </c>
      <c r="R33" s="379">
        <v>534.72</v>
      </c>
      <c r="S33" s="379"/>
      <c r="T33" s="379"/>
      <c r="U33" s="379"/>
      <c r="V33" s="380">
        <v>36077.68</v>
      </c>
      <c r="W33" s="381">
        <v>3.6</v>
      </c>
      <c r="X33" s="379"/>
      <c r="Y33" s="379"/>
      <c r="Z33" s="379">
        <v>3111001</v>
      </c>
      <c r="AA33" s="379" t="s">
        <v>2359</v>
      </c>
      <c r="AB33" s="380">
        <f t="shared" si="0"/>
        <v>0.3</v>
      </c>
    </row>
    <row r="34" spans="1:28" outlineLevel="2" x14ac:dyDescent="0.3">
      <c r="A34" s="379">
        <v>431</v>
      </c>
      <c r="B34" s="379">
        <v>613000</v>
      </c>
      <c r="C34" s="379" t="s">
        <v>1095</v>
      </c>
      <c r="D34" s="379">
        <v>5873801</v>
      </c>
      <c r="E34" s="379" t="s">
        <v>2318</v>
      </c>
      <c r="F34" s="379" t="s">
        <v>2358</v>
      </c>
      <c r="G34" s="383">
        <v>35096</v>
      </c>
      <c r="H34" s="379">
        <v>39846.89</v>
      </c>
      <c r="I34" s="379">
        <v>1780.14</v>
      </c>
      <c r="J34" s="379">
        <v>3651.24</v>
      </c>
      <c r="K34" s="379">
        <v>2988.5</v>
      </c>
      <c r="L34" s="379"/>
      <c r="M34" s="379">
        <v>146.05000000000001</v>
      </c>
      <c r="N34" s="379"/>
      <c r="O34" s="379">
        <v>32824.839999999997</v>
      </c>
      <c r="P34" s="379"/>
      <c r="Q34" s="379">
        <v>2406.1999999999998</v>
      </c>
      <c r="R34" s="379">
        <v>2415.65</v>
      </c>
      <c r="S34" s="379"/>
      <c r="T34" s="379">
        <v>2200.1999999999998</v>
      </c>
      <c r="U34" s="379"/>
      <c r="V34" s="380">
        <v>48412.82</v>
      </c>
      <c r="W34" s="381">
        <v>4.5</v>
      </c>
      <c r="X34" s="379"/>
      <c r="Y34" s="379"/>
      <c r="Z34" s="379">
        <v>3202002</v>
      </c>
      <c r="AA34" s="379" t="s">
        <v>2290</v>
      </c>
      <c r="AB34" s="380">
        <f t="shared" si="0"/>
        <v>0.375</v>
      </c>
    </row>
    <row r="35" spans="1:28" outlineLevel="2" x14ac:dyDescent="0.3">
      <c r="A35" s="379">
        <v>431</v>
      </c>
      <c r="B35" s="379">
        <v>613000</v>
      </c>
      <c r="C35" s="379" t="s">
        <v>1095</v>
      </c>
      <c r="D35" s="379">
        <v>5918907</v>
      </c>
      <c r="E35" s="379" t="s">
        <v>2360</v>
      </c>
      <c r="F35" s="379" t="s">
        <v>2361</v>
      </c>
      <c r="G35" s="383">
        <v>35400</v>
      </c>
      <c r="H35" s="379">
        <v>142350.64000000001</v>
      </c>
      <c r="I35" s="379">
        <v>7856.41</v>
      </c>
      <c r="J35" s="379">
        <v>12890.94</v>
      </c>
      <c r="K35" s="379">
        <v>10713.45</v>
      </c>
      <c r="L35" s="379"/>
      <c r="M35" s="379">
        <v>434.3</v>
      </c>
      <c r="N35" s="379"/>
      <c r="O35" s="379">
        <v>95540.3</v>
      </c>
      <c r="P35" s="379">
        <v>297.07</v>
      </c>
      <c r="Q35" s="379">
        <v>5811.8</v>
      </c>
      <c r="R35" s="379">
        <v>32652.69</v>
      </c>
      <c r="S35" s="379"/>
      <c r="T35" s="379">
        <v>7334</v>
      </c>
      <c r="U35" s="379">
        <v>714.78</v>
      </c>
      <c r="V35" s="380">
        <v>174245.74</v>
      </c>
      <c r="W35" s="381">
        <v>12</v>
      </c>
      <c r="X35" s="379"/>
      <c r="Y35" s="379"/>
      <c r="Z35" s="379">
        <v>3202003</v>
      </c>
      <c r="AA35" s="379" t="s">
        <v>2317</v>
      </c>
      <c r="AB35" s="380">
        <f t="shared" si="0"/>
        <v>1</v>
      </c>
    </row>
    <row r="36" spans="1:28" outlineLevel="2" x14ac:dyDescent="0.3">
      <c r="A36" s="379">
        <v>431</v>
      </c>
      <c r="B36" s="379">
        <v>613000</v>
      </c>
      <c r="C36" s="379" t="s">
        <v>1095</v>
      </c>
      <c r="D36" s="379">
        <v>6340233</v>
      </c>
      <c r="E36" s="379" t="s">
        <v>2362</v>
      </c>
      <c r="F36" s="379" t="s">
        <v>2363</v>
      </c>
      <c r="G36" s="383">
        <v>29099</v>
      </c>
      <c r="H36" s="379">
        <v>53642.400000000001</v>
      </c>
      <c r="I36" s="379">
        <v>2115.23</v>
      </c>
      <c r="J36" s="379">
        <v>5078.6000000000004</v>
      </c>
      <c r="K36" s="379">
        <v>4060.4</v>
      </c>
      <c r="L36" s="379"/>
      <c r="M36" s="379">
        <v>187.9</v>
      </c>
      <c r="N36" s="379"/>
      <c r="O36" s="379">
        <v>46984.1</v>
      </c>
      <c r="P36" s="379"/>
      <c r="Q36" s="379">
        <v>1610.4</v>
      </c>
      <c r="R36" s="379"/>
      <c r="S36" s="379"/>
      <c r="T36" s="379">
        <v>5047.8999999999996</v>
      </c>
      <c r="U36" s="379"/>
      <c r="V36" s="380">
        <v>65084.53</v>
      </c>
      <c r="W36" s="381">
        <v>5.2</v>
      </c>
      <c r="X36" s="379"/>
      <c r="Y36" s="379"/>
      <c r="Z36" s="379">
        <v>951001</v>
      </c>
      <c r="AA36" s="379" t="s">
        <v>2364</v>
      </c>
      <c r="AB36" s="380">
        <f t="shared" si="0"/>
        <v>0.43333333333333335</v>
      </c>
    </row>
    <row r="37" spans="1:28" outlineLevel="2" x14ac:dyDescent="0.3">
      <c r="A37" s="379">
        <v>431</v>
      </c>
      <c r="B37" s="379">
        <v>613000</v>
      </c>
      <c r="C37" s="379" t="s">
        <v>1095</v>
      </c>
      <c r="D37" s="379">
        <v>6845108</v>
      </c>
      <c r="E37" s="379" t="s">
        <v>2365</v>
      </c>
      <c r="F37" s="379" t="s">
        <v>2366</v>
      </c>
      <c r="G37" s="383">
        <v>36161</v>
      </c>
      <c r="H37" s="379">
        <v>105609.61</v>
      </c>
      <c r="I37" s="379">
        <v>1033.32</v>
      </c>
      <c r="J37" s="379">
        <v>10729.4</v>
      </c>
      <c r="K37" s="379">
        <v>7957.85</v>
      </c>
      <c r="L37" s="379"/>
      <c r="M37" s="379">
        <v>381.85</v>
      </c>
      <c r="N37" s="379"/>
      <c r="O37" s="379">
        <v>79681.460000000006</v>
      </c>
      <c r="P37" s="379"/>
      <c r="Q37" s="379">
        <v>2809.2</v>
      </c>
      <c r="R37" s="379">
        <v>15784.95</v>
      </c>
      <c r="S37" s="379"/>
      <c r="T37" s="379">
        <v>7334</v>
      </c>
      <c r="U37" s="379"/>
      <c r="V37" s="380">
        <v>125712.03</v>
      </c>
      <c r="W37" s="381">
        <v>12</v>
      </c>
      <c r="X37" s="379"/>
      <c r="Y37" s="379"/>
      <c r="Z37" s="379">
        <v>5302001</v>
      </c>
      <c r="AA37" s="379" t="s">
        <v>2367</v>
      </c>
      <c r="AB37" s="380">
        <f t="shared" si="0"/>
        <v>1</v>
      </c>
    </row>
    <row r="38" spans="1:28" outlineLevel="2" x14ac:dyDescent="0.3">
      <c r="A38" s="379">
        <v>431</v>
      </c>
      <c r="B38" s="379">
        <v>613000</v>
      </c>
      <c r="C38" s="379" t="s">
        <v>1095</v>
      </c>
      <c r="D38" s="379">
        <v>7369394</v>
      </c>
      <c r="E38" s="379" t="s">
        <v>2340</v>
      </c>
      <c r="F38" s="379" t="s">
        <v>2368</v>
      </c>
      <c r="G38" s="383">
        <v>35582</v>
      </c>
      <c r="H38" s="379">
        <v>88236.87</v>
      </c>
      <c r="I38" s="379">
        <v>665.21</v>
      </c>
      <c r="J38" s="379">
        <v>8459.98</v>
      </c>
      <c r="K38" s="379">
        <v>6654.95</v>
      </c>
      <c r="L38" s="379"/>
      <c r="M38" s="379">
        <v>314.95</v>
      </c>
      <c r="N38" s="379"/>
      <c r="O38" s="379">
        <v>78688.509999999995</v>
      </c>
      <c r="P38" s="379"/>
      <c r="Q38" s="379">
        <v>2736.36</v>
      </c>
      <c r="R38" s="379">
        <v>88</v>
      </c>
      <c r="S38" s="379"/>
      <c r="T38" s="379">
        <v>6724</v>
      </c>
      <c r="U38" s="379"/>
      <c r="V38" s="380">
        <v>104331.96</v>
      </c>
      <c r="W38" s="381">
        <v>12</v>
      </c>
      <c r="X38" s="379">
        <v>1</v>
      </c>
      <c r="Y38" s="379" t="s">
        <v>2353</v>
      </c>
      <c r="Z38" s="379">
        <v>5931001</v>
      </c>
      <c r="AA38" s="379" t="s">
        <v>2320</v>
      </c>
      <c r="AB38" s="380">
        <f t="shared" si="0"/>
        <v>1</v>
      </c>
    </row>
    <row r="39" spans="1:28" outlineLevel="2" x14ac:dyDescent="0.3">
      <c r="A39" s="379">
        <v>431</v>
      </c>
      <c r="B39" s="379">
        <v>613000</v>
      </c>
      <c r="C39" s="379" t="s">
        <v>1095</v>
      </c>
      <c r="D39" s="379">
        <v>32155408</v>
      </c>
      <c r="E39" s="379" t="s">
        <v>2369</v>
      </c>
      <c r="F39" s="379" t="s">
        <v>2370</v>
      </c>
      <c r="G39" s="383">
        <v>42675</v>
      </c>
      <c r="H39" s="379">
        <v>50053.06</v>
      </c>
      <c r="I39" s="379">
        <v>2796.06</v>
      </c>
      <c r="J39" s="379">
        <v>9657.7999999999993</v>
      </c>
      <c r="K39" s="379">
        <v>3747.6</v>
      </c>
      <c r="L39" s="379"/>
      <c r="M39" s="379">
        <v>166.4</v>
      </c>
      <c r="N39" s="379"/>
      <c r="O39" s="379">
        <v>37288.97</v>
      </c>
      <c r="P39" s="379"/>
      <c r="Q39" s="379">
        <v>936.4</v>
      </c>
      <c r="R39" s="379">
        <v>11568.09</v>
      </c>
      <c r="S39" s="379"/>
      <c r="T39" s="379"/>
      <c r="U39" s="379">
        <v>259.60000000000002</v>
      </c>
      <c r="V39" s="380">
        <v>66420.92</v>
      </c>
      <c r="W39" s="381">
        <v>4</v>
      </c>
      <c r="X39" s="379"/>
      <c r="Y39" s="379"/>
      <c r="Z39" s="379">
        <v>971001</v>
      </c>
      <c r="AA39" s="379" t="s">
        <v>2371</v>
      </c>
      <c r="AB39" s="380">
        <f t="shared" si="0"/>
        <v>0.33333333333333331</v>
      </c>
    </row>
    <row r="40" spans="1:28" outlineLevel="2" x14ac:dyDescent="0.3">
      <c r="A40" s="379">
        <v>654</v>
      </c>
      <c r="B40" s="379">
        <v>613000</v>
      </c>
      <c r="C40" s="379" t="s">
        <v>1095</v>
      </c>
      <c r="D40" s="379">
        <v>3195918</v>
      </c>
      <c r="E40" s="379" t="s">
        <v>2372</v>
      </c>
      <c r="F40" s="379" t="s">
        <v>2373</v>
      </c>
      <c r="G40" s="383">
        <v>42186</v>
      </c>
      <c r="H40" s="379">
        <v>1445.5</v>
      </c>
      <c r="I40" s="379">
        <v>51.3</v>
      </c>
      <c r="J40" s="379">
        <v>195.14</v>
      </c>
      <c r="K40" s="379">
        <v>108.39</v>
      </c>
      <c r="L40" s="379"/>
      <c r="M40" s="379"/>
      <c r="N40" s="379"/>
      <c r="O40" s="379"/>
      <c r="P40" s="379">
        <v>1445.5</v>
      </c>
      <c r="Q40" s="379"/>
      <c r="R40" s="379"/>
      <c r="S40" s="379"/>
      <c r="T40" s="379"/>
      <c r="U40" s="379"/>
      <c r="V40" s="380">
        <v>1800.33</v>
      </c>
      <c r="W40" s="381"/>
      <c r="X40" s="379"/>
      <c r="Y40" s="379"/>
      <c r="Z40" s="379">
        <v>5921001</v>
      </c>
      <c r="AA40" s="379" t="s">
        <v>2374</v>
      </c>
      <c r="AB40" s="380">
        <f t="shared" si="0"/>
        <v>0</v>
      </c>
    </row>
    <row r="41" spans="1:28" outlineLevel="2" x14ac:dyDescent="0.3">
      <c r="A41" s="379">
        <v>654</v>
      </c>
      <c r="B41" s="379">
        <v>613000</v>
      </c>
      <c r="C41" s="379" t="s">
        <v>1095</v>
      </c>
      <c r="D41" s="379">
        <v>5586165</v>
      </c>
      <c r="E41" s="379" t="s">
        <v>2375</v>
      </c>
      <c r="F41" s="379" t="s">
        <v>2376</v>
      </c>
      <c r="G41" s="383">
        <v>40878</v>
      </c>
      <c r="H41" s="379">
        <v>236</v>
      </c>
      <c r="I41" s="379">
        <v>9.25</v>
      </c>
      <c r="J41" s="379">
        <v>31.86</v>
      </c>
      <c r="K41" s="379">
        <v>17.7</v>
      </c>
      <c r="L41" s="379"/>
      <c r="M41" s="379"/>
      <c r="N41" s="379"/>
      <c r="O41" s="379"/>
      <c r="P41" s="379">
        <v>236</v>
      </c>
      <c r="Q41" s="379"/>
      <c r="R41" s="379"/>
      <c r="S41" s="379"/>
      <c r="T41" s="379"/>
      <c r="U41" s="379"/>
      <c r="V41" s="380">
        <v>294.81</v>
      </c>
      <c r="W41" s="381"/>
      <c r="X41" s="379"/>
      <c r="Y41" s="379"/>
      <c r="Z41" s="379">
        <v>5923001</v>
      </c>
      <c r="AA41" s="379" t="s">
        <v>2354</v>
      </c>
      <c r="AB41" s="380">
        <f t="shared" si="0"/>
        <v>0</v>
      </c>
    </row>
    <row r="42" spans="1:28" outlineLevel="2" x14ac:dyDescent="0.3">
      <c r="A42" s="379">
        <v>654</v>
      </c>
      <c r="B42" s="379">
        <v>613000</v>
      </c>
      <c r="C42" s="379" t="s">
        <v>1095</v>
      </c>
      <c r="D42" s="379">
        <v>5728552</v>
      </c>
      <c r="E42" s="379" t="s">
        <v>2377</v>
      </c>
      <c r="F42" s="379" t="s">
        <v>2378</v>
      </c>
      <c r="G42" s="383">
        <v>35278</v>
      </c>
      <c r="H42" s="379">
        <v>16648.53</v>
      </c>
      <c r="I42" s="379">
        <v>719.26</v>
      </c>
      <c r="J42" s="379">
        <v>1517.09</v>
      </c>
      <c r="K42" s="379">
        <v>1247.81</v>
      </c>
      <c r="L42" s="379"/>
      <c r="M42" s="379">
        <v>60.4</v>
      </c>
      <c r="N42" s="379"/>
      <c r="O42" s="379">
        <v>15260.21</v>
      </c>
      <c r="P42" s="379"/>
      <c r="Q42" s="379">
        <v>110.76</v>
      </c>
      <c r="R42" s="379"/>
      <c r="S42" s="379"/>
      <c r="T42" s="379">
        <v>1277.56</v>
      </c>
      <c r="U42" s="379"/>
      <c r="V42" s="380">
        <v>20193.09</v>
      </c>
      <c r="W42" s="381">
        <v>2.2799999999999998</v>
      </c>
      <c r="X42" s="379"/>
      <c r="Y42" s="379"/>
      <c r="Z42" s="379">
        <v>5923001</v>
      </c>
      <c r="AA42" s="379" t="s">
        <v>2354</v>
      </c>
      <c r="AB42" s="380">
        <f t="shared" si="0"/>
        <v>0.18999999999999997</v>
      </c>
    </row>
    <row r="43" spans="1:28" outlineLevel="2" x14ac:dyDescent="0.3">
      <c r="A43" s="379">
        <v>654</v>
      </c>
      <c r="B43" s="379">
        <v>613000</v>
      </c>
      <c r="C43" s="379" t="s">
        <v>1095</v>
      </c>
      <c r="D43" s="379">
        <v>5746004</v>
      </c>
      <c r="E43" s="379" t="s">
        <v>2340</v>
      </c>
      <c r="F43" s="379" t="s">
        <v>2379</v>
      </c>
      <c r="G43" s="383">
        <v>41487</v>
      </c>
      <c r="H43" s="379">
        <v>531</v>
      </c>
      <c r="I43" s="379">
        <v>18.850000000000001</v>
      </c>
      <c r="J43" s="379">
        <v>26.54</v>
      </c>
      <c r="K43" s="379">
        <v>39.82</v>
      </c>
      <c r="L43" s="379"/>
      <c r="M43" s="379"/>
      <c r="N43" s="379"/>
      <c r="O43" s="379"/>
      <c r="P43" s="379">
        <v>531</v>
      </c>
      <c r="Q43" s="379"/>
      <c r="R43" s="379"/>
      <c r="S43" s="379"/>
      <c r="T43" s="379"/>
      <c r="U43" s="379"/>
      <c r="V43" s="380">
        <v>616.21</v>
      </c>
      <c r="W43" s="381"/>
      <c r="X43" s="379"/>
      <c r="Y43" s="379"/>
      <c r="Z43" s="379">
        <v>1401202</v>
      </c>
      <c r="AA43" s="379" t="s">
        <v>2380</v>
      </c>
      <c r="AB43" s="380">
        <f t="shared" si="0"/>
        <v>0</v>
      </c>
    </row>
    <row r="44" spans="1:28" outlineLevel="2" x14ac:dyDescent="0.3">
      <c r="A44" s="379">
        <v>654</v>
      </c>
      <c r="B44" s="379">
        <v>613000</v>
      </c>
      <c r="C44" s="379" t="s">
        <v>1095</v>
      </c>
      <c r="D44" s="379">
        <v>5829023</v>
      </c>
      <c r="E44" s="379" t="s">
        <v>2381</v>
      </c>
      <c r="F44" s="379" t="s">
        <v>2382</v>
      </c>
      <c r="G44" s="383">
        <v>41760</v>
      </c>
      <c r="H44" s="379">
        <v>39619.79</v>
      </c>
      <c r="I44" s="379">
        <v>1632.16</v>
      </c>
      <c r="J44" s="379">
        <v>8272.02</v>
      </c>
      <c r="K44" s="379">
        <v>3008.01</v>
      </c>
      <c r="L44" s="379"/>
      <c r="M44" s="379">
        <v>145.58000000000001</v>
      </c>
      <c r="N44" s="379"/>
      <c r="O44" s="379">
        <v>36614.19</v>
      </c>
      <c r="P44" s="379"/>
      <c r="Q44" s="379">
        <v>291.60000000000002</v>
      </c>
      <c r="R44" s="379"/>
      <c r="S44" s="379"/>
      <c r="T44" s="379">
        <v>2714</v>
      </c>
      <c r="U44" s="379"/>
      <c r="V44" s="380">
        <v>52677.56</v>
      </c>
      <c r="W44" s="381">
        <v>6</v>
      </c>
      <c r="X44" s="379"/>
      <c r="Y44" s="379"/>
      <c r="Z44" s="379">
        <v>5931001</v>
      </c>
      <c r="AA44" s="379" t="s">
        <v>2320</v>
      </c>
      <c r="AB44" s="380">
        <f t="shared" si="0"/>
        <v>0.5</v>
      </c>
    </row>
    <row r="45" spans="1:28" outlineLevel="2" x14ac:dyDescent="0.3">
      <c r="A45" s="379">
        <v>654</v>
      </c>
      <c r="B45" s="379">
        <v>613000</v>
      </c>
      <c r="C45" s="379" t="s">
        <v>1095</v>
      </c>
      <c r="D45" s="379">
        <v>5873801</v>
      </c>
      <c r="E45" s="379" t="s">
        <v>2318</v>
      </c>
      <c r="F45" s="379" t="s">
        <v>2358</v>
      </c>
      <c r="G45" s="383">
        <v>35096</v>
      </c>
      <c r="H45" s="379">
        <v>7100.07</v>
      </c>
      <c r="I45" s="379">
        <v>289.95999999999998</v>
      </c>
      <c r="J45" s="379">
        <v>640.14</v>
      </c>
      <c r="K45" s="379">
        <v>532.5</v>
      </c>
      <c r="L45" s="379"/>
      <c r="M45" s="379">
        <v>27.5</v>
      </c>
      <c r="N45" s="379"/>
      <c r="O45" s="379">
        <v>6618.83</v>
      </c>
      <c r="P45" s="379"/>
      <c r="Q45" s="379">
        <v>481.24</v>
      </c>
      <c r="R45" s="379"/>
      <c r="S45" s="379"/>
      <c r="T45" s="379"/>
      <c r="U45" s="379"/>
      <c r="V45" s="380">
        <v>8590.17</v>
      </c>
      <c r="W45" s="381">
        <v>0.9</v>
      </c>
      <c r="X45" s="379">
        <v>8</v>
      </c>
      <c r="Y45" s="379" t="s">
        <v>2383</v>
      </c>
      <c r="Z45" s="379">
        <v>3111001</v>
      </c>
      <c r="AA45" s="379" t="s">
        <v>2359</v>
      </c>
      <c r="AB45" s="380">
        <f t="shared" si="0"/>
        <v>7.4999999999999997E-2</v>
      </c>
    </row>
    <row r="46" spans="1:28" outlineLevel="2" x14ac:dyDescent="0.3">
      <c r="A46" s="379">
        <v>654</v>
      </c>
      <c r="B46" s="379">
        <v>613000</v>
      </c>
      <c r="C46" s="379" t="s">
        <v>1095</v>
      </c>
      <c r="D46" s="379">
        <v>6777597</v>
      </c>
      <c r="E46" s="379" t="s">
        <v>2384</v>
      </c>
      <c r="F46" s="379" t="s">
        <v>2385</v>
      </c>
      <c r="G46" s="383">
        <v>42278</v>
      </c>
      <c r="H46" s="379">
        <v>1239</v>
      </c>
      <c r="I46" s="379">
        <v>43.96</v>
      </c>
      <c r="J46" s="379">
        <v>167.28</v>
      </c>
      <c r="K46" s="379">
        <v>92.9</v>
      </c>
      <c r="L46" s="379"/>
      <c r="M46" s="379"/>
      <c r="N46" s="379"/>
      <c r="O46" s="379"/>
      <c r="P46" s="379">
        <v>1239</v>
      </c>
      <c r="Q46" s="379"/>
      <c r="R46" s="379"/>
      <c r="S46" s="379"/>
      <c r="T46" s="379"/>
      <c r="U46" s="379"/>
      <c r="V46" s="380">
        <v>1543.14</v>
      </c>
      <c r="W46" s="381"/>
      <c r="X46" s="379">
        <v>1</v>
      </c>
      <c r="Y46" s="379" t="s">
        <v>2353</v>
      </c>
      <c r="Z46" s="379">
        <v>5923001</v>
      </c>
      <c r="AA46" s="379" t="s">
        <v>2354</v>
      </c>
      <c r="AB46" s="380">
        <f t="shared" si="0"/>
        <v>0</v>
      </c>
    </row>
    <row r="47" spans="1:28" outlineLevel="1" x14ac:dyDescent="0.3">
      <c r="A47" s="379"/>
      <c r="B47" s="384" t="s">
        <v>2386</v>
      </c>
      <c r="C47" s="379"/>
      <c r="D47" s="379"/>
      <c r="E47" s="379"/>
      <c r="F47" s="379"/>
      <c r="G47" s="383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80">
        <f>SUBTOTAL(9,V17:V46)</f>
        <v>2635281.8099999991</v>
      </c>
      <c r="W47" s="381">
        <f>SUBTOTAL(9,W17:W46)</f>
        <v>179.98</v>
      </c>
      <c r="X47" s="379"/>
      <c r="Y47" s="379"/>
      <c r="Z47" s="379"/>
      <c r="AA47" s="379"/>
      <c r="AB47" s="380">
        <f>SUBTOTAL(9,AB17:AB46)</f>
        <v>14.998333333333335</v>
      </c>
    </row>
    <row r="48" spans="1:28" outlineLevel="2" x14ac:dyDescent="0.3">
      <c r="A48" s="379">
        <v>431</v>
      </c>
      <c r="B48" s="379">
        <v>614000</v>
      </c>
      <c r="C48" s="379" t="s">
        <v>1112</v>
      </c>
      <c r="D48" s="379">
        <v>2391440</v>
      </c>
      <c r="E48" s="379" t="s">
        <v>2387</v>
      </c>
      <c r="F48" s="379" t="s">
        <v>2388</v>
      </c>
      <c r="G48" s="383">
        <v>32540</v>
      </c>
      <c r="H48" s="379">
        <v>137270.93</v>
      </c>
      <c r="I48" s="379">
        <v>7469.28</v>
      </c>
      <c r="J48" s="379">
        <v>12606.3</v>
      </c>
      <c r="K48" s="379">
        <v>10332.549999999999</v>
      </c>
      <c r="L48" s="379"/>
      <c r="M48" s="379">
        <v>425.55</v>
      </c>
      <c r="N48" s="379"/>
      <c r="O48" s="379">
        <v>80377.94</v>
      </c>
      <c r="P48" s="379">
        <v>21878</v>
      </c>
      <c r="Q48" s="379">
        <v>2809.2</v>
      </c>
      <c r="R48" s="379">
        <v>20288.009999999998</v>
      </c>
      <c r="S48" s="379"/>
      <c r="T48" s="379">
        <v>11917.78</v>
      </c>
      <c r="U48" s="379"/>
      <c r="V48" s="380">
        <v>168104.61</v>
      </c>
      <c r="W48" s="381">
        <v>12</v>
      </c>
      <c r="X48" s="379">
        <v>64</v>
      </c>
      <c r="Y48" s="379" t="s">
        <v>2311</v>
      </c>
      <c r="Z48" s="379">
        <v>3202007</v>
      </c>
      <c r="AA48" s="379" t="s">
        <v>2312</v>
      </c>
      <c r="AB48" s="380">
        <f t="shared" si="0"/>
        <v>1</v>
      </c>
    </row>
    <row r="49" spans="1:33" outlineLevel="2" x14ac:dyDescent="0.3">
      <c r="A49" s="379">
        <v>431</v>
      </c>
      <c r="B49" s="379">
        <v>614000</v>
      </c>
      <c r="C49" s="379" t="s">
        <v>1112</v>
      </c>
      <c r="D49" s="379">
        <v>2889320</v>
      </c>
      <c r="E49" s="379" t="s">
        <v>2389</v>
      </c>
      <c r="F49" s="379" t="s">
        <v>2390</v>
      </c>
      <c r="G49" s="383">
        <v>34243</v>
      </c>
      <c r="H49" s="379">
        <v>209077.14</v>
      </c>
      <c r="I49" s="379">
        <v>12978.33</v>
      </c>
      <c r="J49" s="379">
        <v>20349.64</v>
      </c>
      <c r="K49" s="379">
        <v>15781</v>
      </c>
      <c r="L49" s="379"/>
      <c r="M49" s="379">
        <v>664.75</v>
      </c>
      <c r="N49" s="379"/>
      <c r="O49" s="379">
        <v>107748.61</v>
      </c>
      <c r="P49" s="379">
        <v>3500.3</v>
      </c>
      <c r="Q49" s="379">
        <v>2809.2</v>
      </c>
      <c r="R49" s="379">
        <v>77879.520000000004</v>
      </c>
      <c r="S49" s="379"/>
      <c r="T49" s="379">
        <v>13325.13</v>
      </c>
      <c r="U49" s="379">
        <v>3814.38</v>
      </c>
      <c r="V49" s="380">
        <v>258850.86</v>
      </c>
      <c r="W49" s="381">
        <v>12</v>
      </c>
      <c r="X49" s="379"/>
      <c r="Y49" s="379"/>
      <c r="Z49" s="379">
        <v>1301001</v>
      </c>
      <c r="AA49" s="379" t="s">
        <v>2391</v>
      </c>
      <c r="AB49" s="380">
        <f t="shared" si="0"/>
        <v>1</v>
      </c>
    </row>
    <row r="50" spans="1:33" outlineLevel="1" x14ac:dyDescent="0.3">
      <c r="A50" s="379"/>
      <c r="B50" s="384" t="s">
        <v>2392</v>
      </c>
      <c r="C50" s="379"/>
      <c r="D50" s="379"/>
      <c r="E50" s="379"/>
      <c r="F50" s="379"/>
      <c r="G50" s="383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80">
        <f>SUBTOTAL(9,V48:V49)</f>
        <v>426955.47</v>
      </c>
      <c r="W50" s="381">
        <f>SUBTOTAL(9,W48:W49)</f>
        <v>24</v>
      </c>
      <c r="X50" s="379"/>
      <c r="Y50" s="379"/>
      <c r="Z50" s="379"/>
      <c r="AA50" s="379"/>
      <c r="AB50" s="380">
        <f>SUBTOTAL(9,AB48:AB49)</f>
        <v>2</v>
      </c>
    </row>
    <row r="51" spans="1:33" outlineLevel="2" x14ac:dyDescent="0.3">
      <c r="A51" s="379">
        <v>431</v>
      </c>
      <c r="B51" s="379">
        <v>615000</v>
      </c>
      <c r="C51" s="379" t="s">
        <v>1115</v>
      </c>
      <c r="D51" s="379">
        <v>2564695</v>
      </c>
      <c r="E51" s="379" t="s">
        <v>2393</v>
      </c>
      <c r="F51" s="379" t="s">
        <v>2394</v>
      </c>
      <c r="G51" s="383">
        <v>43009</v>
      </c>
      <c r="H51" s="379">
        <v>265035.74</v>
      </c>
      <c r="I51" s="379">
        <v>17356.89</v>
      </c>
      <c r="J51" s="379">
        <v>52726.16</v>
      </c>
      <c r="K51" s="379">
        <v>20088.349999999999</v>
      </c>
      <c r="L51" s="379"/>
      <c r="M51" s="379">
        <v>885</v>
      </c>
      <c r="N51" s="379"/>
      <c r="O51" s="379">
        <v>221248.8</v>
      </c>
      <c r="P51" s="379"/>
      <c r="Q51" s="379">
        <v>2226</v>
      </c>
      <c r="R51" s="379">
        <v>27379.74</v>
      </c>
      <c r="S51" s="379"/>
      <c r="T51" s="379">
        <v>6902</v>
      </c>
      <c r="U51" s="379">
        <v>7279.2</v>
      </c>
      <c r="V51" s="380">
        <v>356092.14</v>
      </c>
      <c r="W51" s="381">
        <v>12</v>
      </c>
      <c r="X51" s="379"/>
      <c r="Y51" s="379"/>
      <c r="Z51" s="379">
        <v>1125017</v>
      </c>
      <c r="AA51" s="379" t="s">
        <v>2395</v>
      </c>
      <c r="AB51" s="380">
        <f t="shared" si="0"/>
        <v>1</v>
      </c>
    </row>
    <row r="52" spans="1:33" outlineLevel="2" x14ac:dyDescent="0.3">
      <c r="A52" s="379">
        <v>431</v>
      </c>
      <c r="B52" s="379">
        <v>615000</v>
      </c>
      <c r="C52" s="379" t="s">
        <v>1115</v>
      </c>
      <c r="D52" s="379">
        <v>2733513</v>
      </c>
      <c r="E52" s="379" t="s">
        <v>2340</v>
      </c>
      <c r="F52" s="379" t="s">
        <v>2396</v>
      </c>
      <c r="G52" s="383">
        <v>34455</v>
      </c>
      <c r="H52" s="379">
        <v>132377.41</v>
      </c>
      <c r="I52" s="379">
        <v>7098.17</v>
      </c>
      <c r="J52" s="379">
        <v>10276.77</v>
      </c>
      <c r="K52" s="379">
        <v>9965.5499999999993</v>
      </c>
      <c r="L52" s="379"/>
      <c r="M52" s="379">
        <v>435.2</v>
      </c>
      <c r="N52" s="379"/>
      <c r="O52" s="379">
        <v>93088.76</v>
      </c>
      <c r="P52" s="379"/>
      <c r="Q52" s="379">
        <v>2809.2</v>
      </c>
      <c r="R52" s="379">
        <v>23992.73</v>
      </c>
      <c r="S52" s="379"/>
      <c r="T52" s="379">
        <v>12486.72</v>
      </c>
      <c r="U52" s="379"/>
      <c r="V52" s="380">
        <v>160153.1</v>
      </c>
      <c r="W52" s="381">
        <v>12</v>
      </c>
      <c r="X52" s="379">
        <v>32</v>
      </c>
      <c r="Y52" s="379" t="s">
        <v>2397</v>
      </c>
      <c r="Z52" s="379">
        <v>3202002</v>
      </c>
      <c r="AA52" s="379" t="s">
        <v>2290</v>
      </c>
      <c r="AB52" s="380">
        <f t="shared" si="0"/>
        <v>1</v>
      </c>
    </row>
    <row r="53" spans="1:33" outlineLevel="2" x14ac:dyDescent="0.3">
      <c r="A53" s="379">
        <v>431</v>
      </c>
      <c r="B53" s="379">
        <v>615000</v>
      </c>
      <c r="C53" s="379" t="s">
        <v>1115</v>
      </c>
      <c r="D53" s="379">
        <v>6850564</v>
      </c>
      <c r="E53" s="379" t="s">
        <v>2398</v>
      </c>
      <c r="F53" s="379" t="s">
        <v>2319</v>
      </c>
      <c r="G53" s="383">
        <v>28642</v>
      </c>
      <c r="H53" s="379">
        <v>181247.51</v>
      </c>
      <c r="I53" s="379">
        <v>10879.82</v>
      </c>
      <c r="J53" s="379">
        <v>16357.56</v>
      </c>
      <c r="K53" s="379">
        <v>13698.3</v>
      </c>
      <c r="L53" s="379"/>
      <c r="M53" s="379">
        <v>574</v>
      </c>
      <c r="N53" s="379"/>
      <c r="O53" s="379">
        <v>112955.41</v>
      </c>
      <c r="P53" s="379">
        <v>25405.84</v>
      </c>
      <c r="Q53" s="379">
        <v>2809.2</v>
      </c>
      <c r="R53" s="379">
        <v>27177.57</v>
      </c>
      <c r="S53" s="379"/>
      <c r="T53" s="379">
        <v>12899.49</v>
      </c>
      <c r="U53" s="379"/>
      <c r="V53" s="380">
        <v>222757.19</v>
      </c>
      <c r="W53" s="381">
        <v>12</v>
      </c>
      <c r="X53" s="379"/>
      <c r="Y53" s="379"/>
      <c r="Z53" s="379">
        <v>1124017</v>
      </c>
      <c r="AA53" s="379" t="s">
        <v>2399</v>
      </c>
      <c r="AB53" s="380">
        <f t="shared" si="0"/>
        <v>1</v>
      </c>
    </row>
    <row r="54" spans="1:33" outlineLevel="1" x14ac:dyDescent="0.3">
      <c r="A54" s="379"/>
      <c r="B54" s="384" t="s">
        <v>2400</v>
      </c>
      <c r="C54" s="379"/>
      <c r="D54" s="379"/>
      <c r="E54" s="379"/>
      <c r="F54" s="379"/>
      <c r="G54" s="383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80">
        <f>SUBTOTAL(9,V51:V53)</f>
        <v>739002.42999999993</v>
      </c>
      <c r="W54" s="381">
        <f>SUBTOTAL(9,W51:W53)</f>
        <v>36</v>
      </c>
      <c r="X54" s="379"/>
      <c r="Y54" s="379"/>
      <c r="Z54" s="379"/>
      <c r="AA54" s="379"/>
      <c r="AB54" s="380">
        <f>SUBTOTAL(9,AB51:AB53)</f>
        <v>3</v>
      </c>
    </row>
    <row r="55" spans="1:33" outlineLevel="2" x14ac:dyDescent="0.3">
      <c r="A55" s="379">
        <v>431</v>
      </c>
      <c r="B55" s="379">
        <v>617000</v>
      </c>
      <c r="C55" s="379" t="s">
        <v>1120</v>
      </c>
      <c r="D55" s="379">
        <v>2549102</v>
      </c>
      <c r="E55" s="379" t="s">
        <v>2401</v>
      </c>
      <c r="F55" s="379" t="s">
        <v>2338</v>
      </c>
      <c r="G55" s="383">
        <v>43647</v>
      </c>
      <c r="H55" s="379">
        <v>40522.82</v>
      </c>
      <c r="I55" s="379">
        <v>1709.62</v>
      </c>
      <c r="J55" s="379">
        <v>6883.82</v>
      </c>
      <c r="K55" s="379">
        <v>3039.2</v>
      </c>
      <c r="L55" s="379"/>
      <c r="M55" s="379">
        <v>131.15</v>
      </c>
      <c r="N55" s="379"/>
      <c r="O55" s="379">
        <v>32780.17</v>
      </c>
      <c r="P55" s="379"/>
      <c r="Q55" s="379">
        <v>1238.46</v>
      </c>
      <c r="R55" s="379">
        <v>6264.19</v>
      </c>
      <c r="S55" s="379"/>
      <c r="T55" s="379">
        <v>240</v>
      </c>
      <c r="U55" s="379"/>
      <c r="V55" s="380">
        <v>52286.61</v>
      </c>
      <c r="W55" s="381">
        <v>5.29</v>
      </c>
      <c r="X55" s="379"/>
      <c r="Y55" s="379"/>
      <c r="Z55" s="379">
        <v>581001</v>
      </c>
      <c r="AA55" s="379" t="s">
        <v>2402</v>
      </c>
      <c r="AB55" s="380">
        <f t="shared" si="0"/>
        <v>0.44083333333333335</v>
      </c>
    </row>
    <row r="56" spans="1:33" outlineLevel="2" x14ac:dyDescent="0.3">
      <c r="A56" s="379">
        <v>431</v>
      </c>
      <c r="B56" s="379">
        <v>617000</v>
      </c>
      <c r="C56" s="379" t="s">
        <v>1120</v>
      </c>
      <c r="D56" s="379">
        <v>2878293</v>
      </c>
      <c r="E56" s="379" t="s">
        <v>2403</v>
      </c>
      <c r="F56" s="379" t="s">
        <v>2404</v>
      </c>
      <c r="G56" s="383">
        <v>38657</v>
      </c>
      <c r="H56" s="379">
        <v>330645.03000000003</v>
      </c>
      <c r="I56" s="379">
        <v>22751.78</v>
      </c>
      <c r="J56" s="379">
        <v>63707.87</v>
      </c>
      <c r="K56" s="379">
        <v>25412</v>
      </c>
      <c r="L56" s="379"/>
      <c r="M56" s="379">
        <v>1106.2</v>
      </c>
      <c r="N56" s="379"/>
      <c r="O56" s="379">
        <v>276510.34999999998</v>
      </c>
      <c r="P56" s="379"/>
      <c r="Q56" s="379">
        <v>1308</v>
      </c>
      <c r="R56" s="379">
        <v>37257.68</v>
      </c>
      <c r="S56" s="379"/>
      <c r="T56" s="379">
        <v>6470</v>
      </c>
      <c r="U56" s="379">
        <v>9099</v>
      </c>
      <c r="V56" s="380">
        <v>443622.88</v>
      </c>
      <c r="W56" s="381">
        <v>12</v>
      </c>
      <c r="X56" s="379"/>
      <c r="Y56" s="379"/>
      <c r="Z56" s="379">
        <v>582001</v>
      </c>
      <c r="AA56" s="379" t="s">
        <v>2405</v>
      </c>
      <c r="AB56" s="380">
        <f t="shared" si="0"/>
        <v>1</v>
      </c>
    </row>
    <row r="57" spans="1:33" outlineLevel="2" x14ac:dyDescent="0.3">
      <c r="A57" s="379">
        <v>431</v>
      </c>
      <c r="B57" s="379">
        <v>617000</v>
      </c>
      <c r="C57" s="379" t="s">
        <v>1120</v>
      </c>
      <c r="D57" s="379">
        <v>2889084</v>
      </c>
      <c r="E57" s="379" t="s">
        <v>2406</v>
      </c>
      <c r="F57" s="379" t="s">
        <v>2407</v>
      </c>
      <c r="G57" s="383">
        <v>36434</v>
      </c>
      <c r="H57" s="379">
        <v>154616.69</v>
      </c>
      <c r="I57" s="379">
        <v>8727.84</v>
      </c>
      <c r="J57" s="379">
        <v>11650.92</v>
      </c>
      <c r="K57" s="379">
        <v>11596.3</v>
      </c>
      <c r="L57" s="379"/>
      <c r="M57" s="379">
        <v>436.6</v>
      </c>
      <c r="N57" s="379"/>
      <c r="O57" s="379">
        <v>84134.06</v>
      </c>
      <c r="P57" s="379">
        <v>9860.24</v>
      </c>
      <c r="Q57" s="379">
        <v>2809.2</v>
      </c>
      <c r="R57" s="379">
        <v>48245.59</v>
      </c>
      <c r="S57" s="379"/>
      <c r="T57" s="379">
        <v>8704</v>
      </c>
      <c r="U57" s="379">
        <v>863.6</v>
      </c>
      <c r="V57" s="380">
        <v>187028.35</v>
      </c>
      <c r="W57" s="381">
        <v>12</v>
      </c>
      <c r="X57" s="379"/>
      <c r="Y57" s="379"/>
      <c r="Z57" s="379">
        <v>583001</v>
      </c>
      <c r="AA57" s="379" t="s">
        <v>2408</v>
      </c>
      <c r="AB57" s="380">
        <f t="shared" si="0"/>
        <v>1</v>
      </c>
    </row>
    <row r="58" spans="1:33" outlineLevel="2" x14ac:dyDescent="0.3">
      <c r="A58" s="379">
        <v>431</v>
      </c>
      <c r="B58" s="379">
        <v>617000</v>
      </c>
      <c r="C58" s="379" t="s">
        <v>1120</v>
      </c>
      <c r="D58" s="379">
        <v>3426082</v>
      </c>
      <c r="E58" s="379" t="s">
        <v>2409</v>
      </c>
      <c r="F58" s="379" t="s">
        <v>2410</v>
      </c>
      <c r="G58" s="383">
        <v>39692</v>
      </c>
      <c r="H58" s="379">
        <v>82346.539999999994</v>
      </c>
      <c r="I58" s="379">
        <v>3297.22</v>
      </c>
      <c r="J58" s="379">
        <v>17339.34</v>
      </c>
      <c r="K58" s="379">
        <v>6213.2</v>
      </c>
      <c r="L58" s="379"/>
      <c r="M58" s="379">
        <v>288.7</v>
      </c>
      <c r="N58" s="379"/>
      <c r="O58" s="379">
        <v>72203.34</v>
      </c>
      <c r="P58" s="379"/>
      <c r="Q58" s="379">
        <v>2809.2</v>
      </c>
      <c r="R58" s="379"/>
      <c r="S58" s="379"/>
      <c r="T58" s="379">
        <v>7334</v>
      </c>
      <c r="U58" s="379"/>
      <c r="V58" s="380">
        <v>109485</v>
      </c>
      <c r="W58" s="381">
        <v>12</v>
      </c>
      <c r="X58" s="379"/>
      <c r="Y58" s="379"/>
      <c r="Z58" s="379">
        <v>3202008</v>
      </c>
      <c r="AA58" s="379" t="s">
        <v>2283</v>
      </c>
      <c r="AB58" s="380">
        <f t="shared" si="0"/>
        <v>1</v>
      </c>
    </row>
    <row r="59" spans="1:33" outlineLevel="1" x14ac:dyDescent="0.3">
      <c r="A59" s="379"/>
      <c r="B59" s="384" t="s">
        <v>2411</v>
      </c>
      <c r="C59" s="379"/>
      <c r="D59" s="379"/>
      <c r="E59" s="379"/>
      <c r="F59" s="379"/>
      <c r="G59" s="383"/>
      <c r="H59" s="379"/>
      <c r="I59" s="379"/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80">
        <f>SUBTOTAL(9,V55:V58)</f>
        <v>792422.84</v>
      </c>
      <c r="W59" s="381">
        <f>SUBTOTAL(9,W55:W58)</f>
        <v>41.29</v>
      </c>
      <c r="X59" s="379"/>
      <c r="Y59" s="379"/>
      <c r="Z59" s="379"/>
      <c r="AA59" s="379"/>
      <c r="AB59" s="380">
        <f>SUBTOTAL(9,AB55:AB58)</f>
        <v>3.4408333333333334</v>
      </c>
      <c r="AC59" s="386">
        <f>V59+V54+V50+V47+V16+V6</f>
        <v>5340513.4499999993</v>
      </c>
      <c r="AD59" s="386">
        <f>W59+W54+W50+W47+W16+W6</f>
        <v>319.27</v>
      </c>
      <c r="AE59" s="386">
        <f>AB59+AB54+AB50+AB47+AB16+AB6</f>
        <v>26.605833333333337</v>
      </c>
      <c r="AF59" s="386"/>
      <c r="AG59" s="386"/>
    </row>
    <row r="60" spans="1:33" outlineLevel="2" x14ac:dyDescent="0.3">
      <c r="A60" s="379">
        <v>431</v>
      </c>
      <c r="B60" s="379">
        <v>621000</v>
      </c>
      <c r="C60" s="379" t="s">
        <v>1127</v>
      </c>
      <c r="D60" s="379">
        <v>2295789</v>
      </c>
      <c r="E60" s="379" t="s">
        <v>2412</v>
      </c>
      <c r="F60" s="379" t="s">
        <v>2413</v>
      </c>
      <c r="G60" s="383">
        <v>40848</v>
      </c>
      <c r="H60" s="379">
        <v>208662.6</v>
      </c>
      <c r="I60" s="379">
        <v>16662.150000000001</v>
      </c>
      <c r="J60" s="379">
        <v>36715.17</v>
      </c>
      <c r="K60" s="379">
        <v>18404.990000000002</v>
      </c>
      <c r="L60" s="379"/>
      <c r="M60" s="379">
        <v>688.45</v>
      </c>
      <c r="N60" s="379"/>
      <c r="O60" s="379">
        <v>196665.60000000001</v>
      </c>
      <c r="P60" s="379"/>
      <c r="Q60" s="379">
        <v>738.4</v>
      </c>
      <c r="R60" s="379"/>
      <c r="S60" s="379"/>
      <c r="T60" s="379">
        <v>6038</v>
      </c>
      <c r="U60" s="379">
        <v>5220.6000000000004</v>
      </c>
      <c r="V60" s="380">
        <v>281133.36</v>
      </c>
      <c r="W60" s="381">
        <v>8</v>
      </c>
      <c r="X60" s="379"/>
      <c r="Y60" s="379"/>
      <c r="Z60" s="379">
        <v>1102001</v>
      </c>
      <c r="AA60" s="379" t="s">
        <v>2414</v>
      </c>
      <c r="AB60" s="380">
        <f t="shared" si="0"/>
        <v>0.66666666666666663</v>
      </c>
    </row>
    <row r="61" spans="1:33" outlineLevel="2" x14ac:dyDescent="0.3">
      <c r="A61" s="379">
        <v>431</v>
      </c>
      <c r="B61" s="379">
        <v>621000</v>
      </c>
      <c r="C61" s="379" t="s">
        <v>1127</v>
      </c>
      <c r="D61" s="379">
        <v>2556054</v>
      </c>
      <c r="E61" s="379" t="s">
        <v>2415</v>
      </c>
      <c r="F61" s="379" t="s">
        <v>2416</v>
      </c>
      <c r="G61" s="383">
        <v>43647</v>
      </c>
      <c r="H61" s="379">
        <v>141958.10999999999</v>
      </c>
      <c r="I61" s="379">
        <v>10769.92</v>
      </c>
      <c r="J61" s="379">
        <v>31460.59</v>
      </c>
      <c r="K61" s="379">
        <v>12106.4</v>
      </c>
      <c r="L61" s="379"/>
      <c r="M61" s="379">
        <v>548.54999999999995</v>
      </c>
      <c r="N61" s="379"/>
      <c r="O61" s="379">
        <v>137118.57</v>
      </c>
      <c r="P61" s="379"/>
      <c r="Q61" s="379">
        <v>208.4</v>
      </c>
      <c r="R61" s="379"/>
      <c r="S61" s="379"/>
      <c r="T61" s="379"/>
      <c r="U61" s="379">
        <v>4631.1400000000003</v>
      </c>
      <c r="V61" s="380">
        <v>196843.57</v>
      </c>
      <c r="W61" s="381">
        <v>5.7089999999999996</v>
      </c>
      <c r="X61" s="379"/>
      <c r="Y61" s="379"/>
      <c r="Z61" s="379">
        <v>1102001</v>
      </c>
      <c r="AA61" s="379" t="s">
        <v>2414</v>
      </c>
      <c r="AB61" s="380">
        <f t="shared" si="0"/>
        <v>0.47574999999999995</v>
      </c>
    </row>
    <row r="62" spans="1:33" outlineLevel="2" x14ac:dyDescent="0.3">
      <c r="A62" s="379">
        <v>431</v>
      </c>
      <c r="B62" s="379">
        <v>621000</v>
      </c>
      <c r="C62" s="379" t="s">
        <v>1127</v>
      </c>
      <c r="D62" s="379">
        <v>2660760</v>
      </c>
      <c r="E62" s="379" t="s">
        <v>2417</v>
      </c>
      <c r="F62" s="379" t="s">
        <v>2418</v>
      </c>
      <c r="G62" s="383">
        <v>41487</v>
      </c>
      <c r="H62" s="379">
        <v>96890.61</v>
      </c>
      <c r="I62" s="379">
        <v>4402.84</v>
      </c>
      <c r="J62" s="379">
        <v>17386.96</v>
      </c>
      <c r="K62" s="379">
        <v>7304</v>
      </c>
      <c r="L62" s="379"/>
      <c r="M62" s="379">
        <v>277.64999999999998</v>
      </c>
      <c r="N62" s="379"/>
      <c r="O62" s="379">
        <v>68877.27</v>
      </c>
      <c r="P62" s="379">
        <v>523.67999999999995</v>
      </c>
      <c r="Q62" s="379">
        <v>2809.2</v>
      </c>
      <c r="R62" s="379">
        <v>14430.46</v>
      </c>
      <c r="S62" s="379"/>
      <c r="T62" s="379">
        <v>6470</v>
      </c>
      <c r="U62" s="379">
        <v>3780</v>
      </c>
      <c r="V62" s="380">
        <v>126262.06</v>
      </c>
      <c r="W62" s="381">
        <v>12</v>
      </c>
      <c r="X62" s="379">
        <v>98</v>
      </c>
      <c r="Y62" s="379" t="s">
        <v>2419</v>
      </c>
      <c r="Z62" s="379">
        <v>3204001</v>
      </c>
      <c r="AA62" s="379" t="s">
        <v>2420</v>
      </c>
      <c r="AB62" s="380">
        <f t="shared" si="0"/>
        <v>1</v>
      </c>
    </row>
    <row r="63" spans="1:33" outlineLevel="2" x14ac:dyDescent="0.3">
      <c r="A63" s="379">
        <v>431</v>
      </c>
      <c r="B63" s="379">
        <v>621000</v>
      </c>
      <c r="C63" s="379" t="s">
        <v>1127</v>
      </c>
      <c r="D63" s="379">
        <v>3634153</v>
      </c>
      <c r="E63" s="379" t="s">
        <v>2421</v>
      </c>
      <c r="F63" s="379" t="s">
        <v>2422</v>
      </c>
      <c r="G63" s="383">
        <v>36678</v>
      </c>
      <c r="H63" s="379">
        <v>107930.9</v>
      </c>
      <c r="I63" s="379">
        <v>5179.93</v>
      </c>
      <c r="J63" s="379">
        <v>8059.82</v>
      </c>
      <c r="K63" s="379">
        <v>8079.7</v>
      </c>
      <c r="L63" s="379"/>
      <c r="M63" s="379">
        <v>323.85000000000002</v>
      </c>
      <c r="N63" s="379"/>
      <c r="O63" s="379">
        <v>79528.710000000006</v>
      </c>
      <c r="P63" s="379"/>
      <c r="Q63" s="379">
        <v>2809.2</v>
      </c>
      <c r="R63" s="379">
        <v>16965.39</v>
      </c>
      <c r="S63" s="379"/>
      <c r="T63" s="379">
        <v>7334</v>
      </c>
      <c r="U63" s="379">
        <v>1293.5999999999999</v>
      </c>
      <c r="V63" s="380">
        <v>129574.2</v>
      </c>
      <c r="W63" s="381">
        <v>12</v>
      </c>
      <c r="X63" s="379"/>
      <c r="Y63" s="379"/>
      <c r="Z63" s="379">
        <v>971001</v>
      </c>
      <c r="AA63" s="379" t="s">
        <v>2371</v>
      </c>
      <c r="AB63" s="380">
        <f t="shared" si="0"/>
        <v>1</v>
      </c>
    </row>
    <row r="64" spans="1:33" outlineLevel="1" x14ac:dyDescent="0.3">
      <c r="A64" s="379"/>
      <c r="B64" s="384" t="s">
        <v>2423</v>
      </c>
      <c r="C64" s="379"/>
      <c r="D64" s="379"/>
      <c r="E64" s="379"/>
      <c r="F64" s="379"/>
      <c r="G64" s="383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>
        <f>SUBTOTAL(9,V60:V63)</f>
        <v>733813.19</v>
      </c>
      <c r="W64" s="381">
        <f>SUBTOTAL(9,W60:W63)</f>
        <v>37.709000000000003</v>
      </c>
      <c r="X64" s="379"/>
      <c r="Y64" s="379"/>
      <c r="Z64" s="379"/>
      <c r="AA64" s="379"/>
      <c r="AB64" s="380">
        <f>SUBTOTAL(9,AB60:AB63)</f>
        <v>3.1424166666666666</v>
      </c>
    </row>
    <row r="65" spans="1:31" outlineLevel="2" x14ac:dyDescent="0.3">
      <c r="A65" s="379">
        <v>431</v>
      </c>
      <c r="B65" s="379">
        <v>621300</v>
      </c>
      <c r="C65" s="379" t="s">
        <v>1092</v>
      </c>
      <c r="D65" s="379">
        <v>3196478</v>
      </c>
      <c r="E65" s="379" t="s">
        <v>2326</v>
      </c>
      <c r="F65" s="379" t="s">
        <v>2327</v>
      </c>
      <c r="G65" s="383">
        <v>43435</v>
      </c>
      <c r="H65" s="379">
        <v>4391.6000000000004</v>
      </c>
      <c r="I65" s="379">
        <v>155.9</v>
      </c>
      <c r="J65" s="379">
        <v>564.16999999999996</v>
      </c>
      <c r="K65" s="379">
        <v>329.35</v>
      </c>
      <c r="L65" s="379"/>
      <c r="M65" s="379"/>
      <c r="N65" s="379"/>
      <c r="O65" s="379"/>
      <c r="P65" s="379">
        <v>4179</v>
      </c>
      <c r="Q65" s="379">
        <v>212.6</v>
      </c>
      <c r="R65" s="379"/>
      <c r="S65" s="379"/>
      <c r="T65" s="379"/>
      <c r="U65" s="379"/>
      <c r="V65" s="380">
        <v>5441.02</v>
      </c>
      <c r="W65" s="381"/>
      <c r="X65" s="379"/>
      <c r="Y65" s="379"/>
      <c r="Z65" s="379">
        <v>1031001</v>
      </c>
      <c r="AA65" s="379" t="s">
        <v>2328</v>
      </c>
      <c r="AB65" s="380">
        <f t="shared" si="0"/>
        <v>0</v>
      </c>
    </row>
    <row r="66" spans="1:31" outlineLevel="2" x14ac:dyDescent="0.3">
      <c r="A66" s="379">
        <v>431</v>
      </c>
      <c r="B66" s="379">
        <v>621300</v>
      </c>
      <c r="C66" s="379" t="s">
        <v>1092</v>
      </c>
      <c r="D66" s="379">
        <v>3305296</v>
      </c>
      <c r="E66" s="379" t="s">
        <v>2424</v>
      </c>
      <c r="F66" s="379" t="s">
        <v>2396</v>
      </c>
      <c r="G66" s="383">
        <v>36770</v>
      </c>
      <c r="H66" s="379">
        <v>105462.45</v>
      </c>
      <c r="I66" s="379">
        <v>5054.21</v>
      </c>
      <c r="J66" s="379">
        <v>7972.52</v>
      </c>
      <c r="K66" s="379">
        <v>7946.85</v>
      </c>
      <c r="L66" s="379"/>
      <c r="M66" s="379">
        <v>332.05</v>
      </c>
      <c r="N66" s="379"/>
      <c r="O66" s="379">
        <v>82882.100000000006</v>
      </c>
      <c r="P66" s="379">
        <v>125.34</v>
      </c>
      <c r="Q66" s="379">
        <v>2809.2</v>
      </c>
      <c r="R66" s="379">
        <v>12743.81</v>
      </c>
      <c r="S66" s="379"/>
      <c r="T66" s="379">
        <v>6902</v>
      </c>
      <c r="U66" s="379"/>
      <c r="V66" s="380">
        <v>126768.08</v>
      </c>
      <c r="W66" s="381">
        <v>12</v>
      </c>
      <c r="X66" s="379"/>
      <c r="Y66" s="379"/>
      <c r="Z66" s="379">
        <v>3202002</v>
      </c>
      <c r="AA66" s="379" t="s">
        <v>2290</v>
      </c>
      <c r="AB66" s="380">
        <f t="shared" si="0"/>
        <v>1</v>
      </c>
    </row>
    <row r="67" spans="1:31" outlineLevel="2" x14ac:dyDescent="0.3">
      <c r="A67" s="379">
        <v>431</v>
      </c>
      <c r="B67" s="379">
        <v>621300</v>
      </c>
      <c r="C67" s="379" t="s">
        <v>1092</v>
      </c>
      <c r="D67" s="379">
        <v>3367996</v>
      </c>
      <c r="E67" s="379" t="s">
        <v>2425</v>
      </c>
      <c r="F67" s="379" t="s">
        <v>2426</v>
      </c>
      <c r="G67" s="383">
        <v>43070</v>
      </c>
      <c r="H67" s="379">
        <v>3199.3</v>
      </c>
      <c r="I67" s="379">
        <v>113.58</v>
      </c>
      <c r="J67" s="379"/>
      <c r="K67" s="379">
        <v>239.95</v>
      </c>
      <c r="L67" s="379"/>
      <c r="M67" s="379"/>
      <c r="N67" s="379"/>
      <c r="O67" s="379"/>
      <c r="P67" s="379">
        <v>2520</v>
      </c>
      <c r="Q67" s="379">
        <v>63.3</v>
      </c>
      <c r="R67" s="379"/>
      <c r="S67" s="379"/>
      <c r="T67" s="379">
        <v>616</v>
      </c>
      <c r="U67" s="379"/>
      <c r="V67" s="380">
        <v>3552.83</v>
      </c>
      <c r="W67" s="381"/>
      <c r="X67" s="379"/>
      <c r="Y67" s="379"/>
      <c r="Z67" s="379">
        <v>5821001</v>
      </c>
      <c r="AA67" s="379" t="s">
        <v>2427</v>
      </c>
      <c r="AB67" s="380">
        <f t="shared" si="0"/>
        <v>0</v>
      </c>
    </row>
    <row r="68" spans="1:31" outlineLevel="2" x14ac:dyDescent="0.3">
      <c r="A68" s="379">
        <v>431</v>
      </c>
      <c r="B68" s="379">
        <v>621300</v>
      </c>
      <c r="C68" s="379" t="s">
        <v>1092</v>
      </c>
      <c r="D68" s="379">
        <v>3970592</v>
      </c>
      <c r="E68" s="379" t="s">
        <v>2428</v>
      </c>
      <c r="F68" s="379" t="s">
        <v>2429</v>
      </c>
      <c r="G68" s="383">
        <v>42826</v>
      </c>
      <c r="H68" s="379">
        <v>15256.6</v>
      </c>
      <c r="I68" s="379">
        <v>631.65</v>
      </c>
      <c r="J68" s="379">
        <v>3184.44</v>
      </c>
      <c r="K68" s="379">
        <v>1143.76</v>
      </c>
      <c r="L68" s="379"/>
      <c r="M68" s="379">
        <v>54.76</v>
      </c>
      <c r="N68" s="379"/>
      <c r="O68" s="379">
        <v>13845.96</v>
      </c>
      <c r="P68" s="379"/>
      <c r="Q68" s="379">
        <v>116.64</v>
      </c>
      <c r="R68" s="379"/>
      <c r="S68" s="379"/>
      <c r="T68" s="379">
        <v>1294</v>
      </c>
      <c r="U68" s="379"/>
      <c r="V68" s="380">
        <v>20271.21</v>
      </c>
      <c r="W68" s="381">
        <v>2.4</v>
      </c>
      <c r="X68" s="379"/>
      <c r="Y68" s="379"/>
      <c r="Z68" s="379">
        <v>3702001</v>
      </c>
      <c r="AA68" s="379" t="s">
        <v>2430</v>
      </c>
      <c r="AB68" s="380">
        <f t="shared" si="0"/>
        <v>0.19999999999999998</v>
      </c>
    </row>
    <row r="69" spans="1:31" outlineLevel="2" x14ac:dyDescent="0.3">
      <c r="A69" s="379">
        <v>431</v>
      </c>
      <c r="B69" s="379">
        <v>621300</v>
      </c>
      <c r="C69" s="379" t="s">
        <v>1092</v>
      </c>
      <c r="D69" s="379">
        <v>5399612</v>
      </c>
      <c r="E69" s="379" t="s">
        <v>2431</v>
      </c>
      <c r="F69" s="379" t="s">
        <v>2333</v>
      </c>
      <c r="G69" s="383">
        <v>28611</v>
      </c>
      <c r="H69" s="379">
        <v>86301.21</v>
      </c>
      <c r="I69" s="379">
        <v>623.79</v>
      </c>
      <c r="J69" s="379">
        <v>8555.66</v>
      </c>
      <c r="K69" s="379">
        <v>6509.75</v>
      </c>
      <c r="L69" s="379"/>
      <c r="M69" s="379">
        <v>313.10000000000002</v>
      </c>
      <c r="N69" s="379"/>
      <c r="O69" s="379">
        <v>66907.100000000006</v>
      </c>
      <c r="P69" s="379">
        <v>8150.1</v>
      </c>
      <c r="Q69" s="379">
        <v>2216.4</v>
      </c>
      <c r="R69" s="379"/>
      <c r="S69" s="379"/>
      <c r="T69" s="379">
        <v>9027.61</v>
      </c>
      <c r="U69" s="379"/>
      <c r="V69" s="380">
        <v>102303.51</v>
      </c>
      <c r="W69" s="381">
        <v>9</v>
      </c>
      <c r="X69" s="379"/>
      <c r="Y69" s="379"/>
      <c r="Z69" s="379">
        <v>3181001</v>
      </c>
      <c r="AA69" s="379" t="s">
        <v>2432</v>
      </c>
      <c r="AB69" s="380">
        <f t="shared" si="0"/>
        <v>0.75</v>
      </c>
    </row>
    <row r="70" spans="1:31" outlineLevel="2" x14ac:dyDescent="0.3">
      <c r="A70" s="379">
        <v>431</v>
      </c>
      <c r="B70" s="379">
        <v>621300</v>
      </c>
      <c r="C70" s="379" t="s">
        <v>1092</v>
      </c>
      <c r="D70" s="379">
        <v>5547608</v>
      </c>
      <c r="E70" s="379" t="s">
        <v>2433</v>
      </c>
      <c r="F70" s="379" t="s">
        <v>2434</v>
      </c>
      <c r="G70" s="383">
        <v>27638</v>
      </c>
      <c r="H70" s="379">
        <v>157924.95000000001</v>
      </c>
      <c r="I70" s="379">
        <v>9038.5499999999993</v>
      </c>
      <c r="J70" s="379">
        <v>14367.46</v>
      </c>
      <c r="K70" s="379">
        <v>11881.6</v>
      </c>
      <c r="L70" s="379"/>
      <c r="M70" s="379">
        <v>507.65</v>
      </c>
      <c r="N70" s="379"/>
      <c r="O70" s="379">
        <v>102339.52</v>
      </c>
      <c r="P70" s="379">
        <v>19434.439999999999</v>
      </c>
      <c r="Q70" s="379">
        <v>2809.2</v>
      </c>
      <c r="R70" s="379">
        <v>20456.490000000002</v>
      </c>
      <c r="S70" s="379"/>
      <c r="T70" s="379">
        <v>12885.3</v>
      </c>
      <c r="U70" s="379"/>
      <c r="V70" s="380">
        <v>193720.21</v>
      </c>
      <c r="W70" s="381">
        <v>12</v>
      </c>
      <c r="X70" s="379"/>
      <c r="Y70" s="379"/>
      <c r="Z70" s="379">
        <v>3182001</v>
      </c>
      <c r="AA70" s="379" t="s">
        <v>2435</v>
      </c>
      <c r="AB70" s="380">
        <f t="shared" si="0"/>
        <v>1</v>
      </c>
    </row>
    <row r="71" spans="1:31" outlineLevel="2" x14ac:dyDescent="0.3">
      <c r="A71" s="379">
        <v>431</v>
      </c>
      <c r="B71" s="379">
        <v>621300</v>
      </c>
      <c r="C71" s="379" t="s">
        <v>1092</v>
      </c>
      <c r="D71" s="379">
        <v>5865742</v>
      </c>
      <c r="E71" s="379" t="s">
        <v>2436</v>
      </c>
      <c r="F71" s="379" t="s">
        <v>2376</v>
      </c>
      <c r="G71" s="383">
        <v>35065</v>
      </c>
      <c r="H71" s="379">
        <v>92835.22</v>
      </c>
      <c r="I71" s="379">
        <v>4094.14</v>
      </c>
      <c r="J71" s="379">
        <v>8873.93</v>
      </c>
      <c r="K71" s="379">
        <v>6999.85</v>
      </c>
      <c r="L71" s="379"/>
      <c r="M71" s="379">
        <v>329.05</v>
      </c>
      <c r="N71" s="379"/>
      <c r="O71" s="379">
        <v>82260.02</v>
      </c>
      <c r="P71" s="379"/>
      <c r="Q71" s="379">
        <v>2809.2</v>
      </c>
      <c r="R71" s="379"/>
      <c r="S71" s="379"/>
      <c r="T71" s="379">
        <v>7766</v>
      </c>
      <c r="U71" s="379"/>
      <c r="V71" s="380">
        <v>113132.19</v>
      </c>
      <c r="W71" s="381">
        <v>12</v>
      </c>
      <c r="X71" s="379"/>
      <c r="Y71" s="379"/>
      <c r="Z71" s="379">
        <v>3202002</v>
      </c>
      <c r="AA71" s="379" t="s">
        <v>2290</v>
      </c>
      <c r="AB71" s="380">
        <f t="shared" si="0"/>
        <v>1</v>
      </c>
    </row>
    <row r="72" spans="1:31" outlineLevel="2" x14ac:dyDescent="0.3">
      <c r="A72" s="379">
        <v>431</v>
      </c>
      <c r="B72" s="379">
        <v>621300</v>
      </c>
      <c r="C72" s="379" t="s">
        <v>1092</v>
      </c>
      <c r="D72" s="379">
        <v>31384830</v>
      </c>
      <c r="E72" s="379" t="s">
        <v>2437</v>
      </c>
      <c r="F72" s="379" t="s">
        <v>2438</v>
      </c>
      <c r="G72" s="383">
        <v>36800</v>
      </c>
      <c r="H72" s="379">
        <v>111055.84</v>
      </c>
      <c r="I72" s="379">
        <v>5459.1</v>
      </c>
      <c r="J72" s="379">
        <v>23260.77</v>
      </c>
      <c r="K72" s="379">
        <v>8346.4500000000007</v>
      </c>
      <c r="L72" s="379"/>
      <c r="M72" s="379">
        <v>399.7</v>
      </c>
      <c r="N72" s="379"/>
      <c r="O72" s="379">
        <v>94957.72</v>
      </c>
      <c r="P72" s="379">
        <v>257.86</v>
      </c>
      <c r="Q72" s="379">
        <v>2809.2</v>
      </c>
      <c r="R72" s="379">
        <v>4955.3999999999996</v>
      </c>
      <c r="S72" s="379"/>
      <c r="T72" s="379">
        <v>7010.66</v>
      </c>
      <c r="U72" s="379">
        <v>1065</v>
      </c>
      <c r="V72" s="380">
        <v>148521.85999999999</v>
      </c>
      <c r="W72" s="381">
        <v>12</v>
      </c>
      <c r="X72" s="379"/>
      <c r="Y72" s="379"/>
      <c r="Z72" s="379">
        <v>1006</v>
      </c>
      <c r="AA72" s="379" t="s">
        <v>2439</v>
      </c>
      <c r="AB72" s="380">
        <f t="shared" si="0"/>
        <v>1</v>
      </c>
    </row>
    <row r="73" spans="1:31" outlineLevel="1" x14ac:dyDescent="0.3">
      <c r="A73" s="379"/>
      <c r="B73" s="384" t="s">
        <v>2440</v>
      </c>
      <c r="C73" s="379"/>
      <c r="D73" s="379"/>
      <c r="E73" s="379"/>
      <c r="F73" s="379"/>
      <c r="G73" s="383"/>
      <c r="H73" s="379"/>
      <c r="I73" s="379"/>
      <c r="J73" s="379"/>
      <c r="K73" s="379"/>
      <c r="L73" s="379"/>
      <c r="M73" s="379"/>
      <c r="N73" s="379"/>
      <c r="O73" s="379"/>
      <c r="P73" s="379"/>
      <c r="Q73" s="379"/>
      <c r="R73" s="379"/>
      <c r="S73" s="379"/>
      <c r="T73" s="379"/>
      <c r="U73" s="379"/>
      <c r="V73" s="380">
        <f>SUBTOTAL(9,V65:V72)</f>
        <v>713710.91</v>
      </c>
      <c r="W73" s="381">
        <f>SUBTOTAL(9,W65:W72)</f>
        <v>59.4</v>
      </c>
      <c r="X73" s="379"/>
      <c r="Y73" s="379"/>
      <c r="Z73" s="379"/>
      <c r="AA73" s="379"/>
      <c r="AB73" s="380">
        <f>SUBTOTAL(9,AB65:AB72)</f>
        <v>4.95</v>
      </c>
    </row>
    <row r="74" spans="1:31" outlineLevel="2" x14ac:dyDescent="0.3">
      <c r="A74" s="379">
        <v>431</v>
      </c>
      <c r="B74" s="379">
        <v>621400</v>
      </c>
      <c r="C74" s="379" t="s">
        <v>2441</v>
      </c>
      <c r="D74" s="379">
        <v>3209646</v>
      </c>
      <c r="E74" s="379" t="s">
        <v>2442</v>
      </c>
      <c r="F74" s="379" t="s">
        <v>2443</v>
      </c>
      <c r="G74" s="383">
        <v>36770</v>
      </c>
      <c r="H74" s="379">
        <v>110540.23</v>
      </c>
      <c r="I74" s="379">
        <v>5422.33</v>
      </c>
      <c r="J74" s="379">
        <v>8326.59</v>
      </c>
      <c r="K74" s="379">
        <v>8310.7999999999993</v>
      </c>
      <c r="L74" s="379"/>
      <c r="M74" s="379">
        <v>332.7</v>
      </c>
      <c r="N74" s="379"/>
      <c r="O74" s="379">
        <v>81176.72</v>
      </c>
      <c r="P74" s="379"/>
      <c r="Q74" s="379">
        <v>2809.2</v>
      </c>
      <c r="R74" s="379">
        <v>18995.310000000001</v>
      </c>
      <c r="S74" s="379"/>
      <c r="T74" s="379">
        <v>7334</v>
      </c>
      <c r="U74" s="379">
        <v>225</v>
      </c>
      <c r="V74" s="380">
        <v>132932.65</v>
      </c>
      <c r="W74" s="381">
        <v>12</v>
      </c>
      <c r="X74" s="379">
        <v>49</v>
      </c>
      <c r="Y74" s="379" t="s">
        <v>2444</v>
      </c>
      <c r="Z74" s="379">
        <v>3181001</v>
      </c>
      <c r="AA74" s="379" t="s">
        <v>2432</v>
      </c>
      <c r="AB74" s="380">
        <f t="shared" si="0"/>
        <v>1</v>
      </c>
    </row>
    <row r="75" spans="1:31" outlineLevel="2" x14ac:dyDescent="0.3">
      <c r="A75" s="379">
        <v>431</v>
      </c>
      <c r="B75" s="379">
        <v>621400</v>
      </c>
      <c r="C75" s="379" t="s">
        <v>2441</v>
      </c>
      <c r="D75" s="379">
        <v>5417542</v>
      </c>
      <c r="E75" s="379" t="s">
        <v>2436</v>
      </c>
      <c r="F75" s="379" t="s">
        <v>2445</v>
      </c>
      <c r="G75" s="383">
        <v>30864</v>
      </c>
      <c r="H75" s="379">
        <v>57240.57</v>
      </c>
      <c r="I75" s="379">
        <v>2246.83</v>
      </c>
      <c r="J75" s="379">
        <v>5846.65</v>
      </c>
      <c r="K75" s="379">
        <v>4731.6000000000004</v>
      </c>
      <c r="L75" s="379"/>
      <c r="M75" s="379">
        <v>206.85</v>
      </c>
      <c r="N75" s="379"/>
      <c r="O75" s="379">
        <v>42967.98</v>
      </c>
      <c r="P75" s="379">
        <v>6650.24</v>
      </c>
      <c r="Q75" s="379">
        <v>1623.6</v>
      </c>
      <c r="R75" s="379"/>
      <c r="S75" s="379"/>
      <c r="T75" s="379">
        <v>5998.75</v>
      </c>
      <c r="U75" s="379"/>
      <c r="V75" s="380">
        <v>70272.5</v>
      </c>
      <c r="W75" s="381">
        <v>6</v>
      </c>
      <c r="X75" s="379"/>
      <c r="Y75" s="379"/>
      <c r="Z75" s="379">
        <v>3202002</v>
      </c>
      <c r="AA75" s="379" t="s">
        <v>2290</v>
      </c>
      <c r="AB75" s="380">
        <f t="shared" si="0"/>
        <v>0.5</v>
      </c>
    </row>
    <row r="76" spans="1:31" outlineLevel="1" x14ac:dyDescent="0.3">
      <c r="A76" s="379"/>
      <c r="B76" s="384" t="s">
        <v>2446</v>
      </c>
      <c r="C76" s="379"/>
      <c r="D76" s="379"/>
      <c r="E76" s="379"/>
      <c r="F76" s="379"/>
      <c r="G76" s="383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80">
        <f>SUBTOTAL(9,V74:V75)</f>
        <v>203205.15</v>
      </c>
      <c r="W76" s="381">
        <f>SUBTOTAL(9,W74:W75)</f>
        <v>18</v>
      </c>
      <c r="X76" s="379"/>
      <c r="Y76" s="379"/>
      <c r="Z76" s="379"/>
      <c r="AA76" s="379"/>
      <c r="AB76" s="380">
        <f>SUBTOTAL(9,AB74:AB75)</f>
        <v>1.5</v>
      </c>
      <c r="AC76" s="385">
        <f>V76+V73+V64</f>
        <v>1650729.25</v>
      </c>
      <c r="AD76" s="385">
        <f>W76+W73+W64</f>
        <v>115.10900000000001</v>
      </c>
      <c r="AE76" s="385">
        <f>AB76+AB73+AB64</f>
        <v>9.5924166666666668</v>
      </c>
    </row>
    <row r="77" spans="1:31" outlineLevel="2" x14ac:dyDescent="0.3">
      <c r="A77" s="379">
        <v>431</v>
      </c>
      <c r="B77" s="379">
        <v>711000</v>
      </c>
      <c r="C77" s="379" t="s">
        <v>1142</v>
      </c>
      <c r="D77" s="379">
        <v>2244315</v>
      </c>
      <c r="E77" s="379" t="s">
        <v>2318</v>
      </c>
      <c r="F77" s="379" t="s">
        <v>2319</v>
      </c>
      <c r="G77" s="383">
        <v>42278</v>
      </c>
      <c r="H77" s="379">
        <v>20746.560000000001</v>
      </c>
      <c r="I77" s="379">
        <v>756.91</v>
      </c>
      <c r="J77" s="379">
        <v>4338.57</v>
      </c>
      <c r="K77" s="379">
        <v>1556.62</v>
      </c>
      <c r="L77" s="379"/>
      <c r="M77" s="379">
        <v>77.13</v>
      </c>
      <c r="N77" s="379"/>
      <c r="O77" s="379">
        <v>14808.13</v>
      </c>
      <c r="P77" s="379">
        <v>4327.6400000000003</v>
      </c>
      <c r="Q77" s="379">
        <v>91.1</v>
      </c>
      <c r="R77" s="379"/>
      <c r="S77" s="379"/>
      <c r="T77" s="379">
        <v>1519.69</v>
      </c>
      <c r="U77" s="379"/>
      <c r="V77" s="380">
        <v>27475.79</v>
      </c>
      <c r="W77" s="381">
        <v>2.5</v>
      </c>
      <c r="X77" s="379"/>
      <c r="Y77" s="379"/>
      <c r="Z77" s="379">
        <v>5931001</v>
      </c>
      <c r="AA77" s="379" t="s">
        <v>2320</v>
      </c>
      <c r="AB77" s="380">
        <f t="shared" ref="AB77:AB152" si="1">W77/12</f>
        <v>0.20833333333333334</v>
      </c>
    </row>
    <row r="78" spans="1:31" outlineLevel="2" x14ac:dyDescent="0.3">
      <c r="A78" s="379">
        <v>431</v>
      </c>
      <c r="B78" s="379">
        <v>711000</v>
      </c>
      <c r="C78" s="379" t="s">
        <v>1142</v>
      </c>
      <c r="D78" s="379">
        <v>3311952</v>
      </c>
      <c r="E78" s="379" t="s">
        <v>2447</v>
      </c>
      <c r="F78" s="379" t="s">
        <v>2448</v>
      </c>
      <c r="G78" s="383">
        <v>36770</v>
      </c>
      <c r="H78" s="379">
        <v>12573.4</v>
      </c>
      <c r="I78" s="379">
        <v>1369.87</v>
      </c>
      <c r="J78" s="379">
        <v>1066.82</v>
      </c>
      <c r="K78" s="379">
        <v>1816.03</v>
      </c>
      <c r="L78" s="379"/>
      <c r="M78" s="379">
        <v>46.19</v>
      </c>
      <c r="N78" s="379"/>
      <c r="O78" s="379">
        <v>8902.26</v>
      </c>
      <c r="P78" s="379">
        <v>1374.06</v>
      </c>
      <c r="Q78" s="379">
        <v>766.32</v>
      </c>
      <c r="R78" s="379">
        <v>1215.76</v>
      </c>
      <c r="S78" s="379"/>
      <c r="T78" s="379"/>
      <c r="U78" s="379">
        <v>315</v>
      </c>
      <c r="V78" s="380">
        <v>16872.310000000001</v>
      </c>
      <c r="W78" s="381">
        <v>1</v>
      </c>
      <c r="X78" s="379"/>
      <c r="Y78" s="379"/>
      <c r="Z78" s="379">
        <v>1125017</v>
      </c>
      <c r="AA78" s="379" t="s">
        <v>2395</v>
      </c>
      <c r="AB78" s="380">
        <f t="shared" si="1"/>
        <v>8.3333333333333329E-2</v>
      </c>
    </row>
    <row r="79" spans="1:31" outlineLevel="2" x14ac:dyDescent="0.3">
      <c r="A79" s="379">
        <v>431</v>
      </c>
      <c r="B79" s="379">
        <v>711000</v>
      </c>
      <c r="C79" s="379" t="s">
        <v>1142</v>
      </c>
      <c r="D79" s="379">
        <v>5716508</v>
      </c>
      <c r="E79" s="379" t="s">
        <v>2449</v>
      </c>
      <c r="F79" s="379" t="s">
        <v>2450</v>
      </c>
      <c r="G79" s="383">
        <v>34001</v>
      </c>
      <c r="H79" s="379">
        <v>124517.36</v>
      </c>
      <c r="I79" s="379">
        <v>6500.98</v>
      </c>
      <c r="J79" s="379">
        <v>11549.2</v>
      </c>
      <c r="K79" s="379">
        <v>9376.0499999999993</v>
      </c>
      <c r="L79" s="379"/>
      <c r="M79" s="379">
        <v>404.8</v>
      </c>
      <c r="N79" s="379"/>
      <c r="O79" s="379">
        <v>81703.199999999997</v>
      </c>
      <c r="P79" s="379">
        <v>15408.89</v>
      </c>
      <c r="Q79" s="379">
        <v>2809.2</v>
      </c>
      <c r="R79" s="379">
        <v>12743.81</v>
      </c>
      <c r="S79" s="379"/>
      <c r="T79" s="379">
        <v>11852.26</v>
      </c>
      <c r="U79" s="379"/>
      <c r="V79" s="380">
        <v>152348.39000000001</v>
      </c>
      <c r="W79" s="381">
        <v>12</v>
      </c>
      <c r="X79" s="379">
        <v>64</v>
      </c>
      <c r="Y79" s="379" t="s">
        <v>2311</v>
      </c>
      <c r="Z79" s="379">
        <v>3202002</v>
      </c>
      <c r="AA79" s="379" t="s">
        <v>2290</v>
      </c>
      <c r="AB79" s="380">
        <f t="shared" si="1"/>
        <v>1</v>
      </c>
    </row>
    <row r="80" spans="1:31" outlineLevel="2" x14ac:dyDescent="0.3">
      <c r="A80" s="379">
        <v>431</v>
      </c>
      <c r="B80" s="379">
        <v>711000</v>
      </c>
      <c r="C80" s="379" t="s">
        <v>1142</v>
      </c>
      <c r="D80" s="379">
        <v>6750160</v>
      </c>
      <c r="E80" s="379" t="s">
        <v>2451</v>
      </c>
      <c r="F80" s="379" t="s">
        <v>2452</v>
      </c>
      <c r="G80" s="383">
        <v>40057</v>
      </c>
      <c r="H80" s="379">
        <v>111537.92</v>
      </c>
      <c r="I80" s="379">
        <v>5512.91</v>
      </c>
      <c r="J80" s="379">
        <v>20176.150000000001</v>
      </c>
      <c r="K80" s="379">
        <v>8402.5</v>
      </c>
      <c r="L80" s="379"/>
      <c r="M80" s="379">
        <v>323.8</v>
      </c>
      <c r="N80" s="379"/>
      <c r="O80" s="379">
        <v>80943.44</v>
      </c>
      <c r="P80" s="379"/>
      <c r="Q80" s="379">
        <v>2371.1999999999998</v>
      </c>
      <c r="R80" s="379">
        <v>20457.28</v>
      </c>
      <c r="S80" s="379"/>
      <c r="T80" s="379">
        <v>7766</v>
      </c>
      <c r="U80" s="379"/>
      <c r="V80" s="380">
        <v>145953.28</v>
      </c>
      <c r="W80" s="381">
        <v>12</v>
      </c>
      <c r="X80" s="379"/>
      <c r="Y80" s="379"/>
      <c r="Z80" s="379">
        <v>3103002</v>
      </c>
      <c r="AA80" s="379" t="s">
        <v>2453</v>
      </c>
      <c r="AB80" s="380">
        <f t="shared" si="1"/>
        <v>1</v>
      </c>
    </row>
    <row r="81" spans="1:28" outlineLevel="2" x14ac:dyDescent="0.3">
      <c r="A81" s="379">
        <v>654</v>
      </c>
      <c r="B81" s="379">
        <v>711000</v>
      </c>
      <c r="C81" s="379" t="s">
        <v>1142</v>
      </c>
      <c r="D81" s="379">
        <v>2244315</v>
      </c>
      <c r="E81" s="379" t="s">
        <v>2318</v>
      </c>
      <c r="F81" s="379" t="s">
        <v>2319</v>
      </c>
      <c r="G81" s="383">
        <v>42278</v>
      </c>
      <c r="H81" s="379">
        <v>3478.24</v>
      </c>
      <c r="I81" s="379">
        <v>123.63</v>
      </c>
      <c r="J81" s="379">
        <v>726.82</v>
      </c>
      <c r="K81" s="379">
        <v>261.02999999999997</v>
      </c>
      <c r="L81" s="379"/>
      <c r="M81" s="379">
        <v>13.97</v>
      </c>
      <c r="N81" s="379"/>
      <c r="O81" s="379">
        <v>2870.02</v>
      </c>
      <c r="P81" s="379">
        <v>590</v>
      </c>
      <c r="Q81" s="379">
        <v>18.22</v>
      </c>
      <c r="R81" s="379"/>
      <c r="S81" s="379"/>
      <c r="T81" s="379"/>
      <c r="U81" s="379"/>
      <c r="V81" s="380">
        <v>4603.6899999999996</v>
      </c>
      <c r="W81" s="381">
        <v>0.5</v>
      </c>
      <c r="X81" s="379"/>
      <c r="Y81" s="379"/>
      <c r="Z81" s="379">
        <v>5931001</v>
      </c>
      <c r="AA81" s="379" t="s">
        <v>2320</v>
      </c>
      <c r="AB81" s="380">
        <f t="shared" si="1"/>
        <v>4.1666666666666664E-2</v>
      </c>
    </row>
    <row r="82" spans="1:28" outlineLevel="2" x14ac:dyDescent="0.3">
      <c r="A82" s="379">
        <v>654</v>
      </c>
      <c r="B82" s="379">
        <v>711000</v>
      </c>
      <c r="C82" s="379" t="s">
        <v>1142</v>
      </c>
      <c r="D82" s="379">
        <v>3195918</v>
      </c>
      <c r="E82" s="379" t="s">
        <v>2372</v>
      </c>
      <c r="F82" s="379" t="s">
        <v>2373</v>
      </c>
      <c r="G82" s="383">
        <v>42186</v>
      </c>
      <c r="H82" s="379">
        <v>447.37</v>
      </c>
      <c r="I82" s="379">
        <v>15.88</v>
      </c>
      <c r="J82" s="379">
        <v>93.94</v>
      </c>
      <c r="K82" s="379">
        <v>33.549999999999997</v>
      </c>
      <c r="L82" s="379"/>
      <c r="M82" s="379"/>
      <c r="N82" s="379"/>
      <c r="O82" s="379"/>
      <c r="P82" s="379"/>
      <c r="Q82" s="379"/>
      <c r="R82" s="379"/>
      <c r="S82" s="379"/>
      <c r="T82" s="379">
        <v>447.37</v>
      </c>
      <c r="U82" s="379"/>
      <c r="V82" s="380">
        <v>590.74</v>
      </c>
      <c r="W82" s="381"/>
      <c r="X82" s="379"/>
      <c r="Y82" s="379"/>
      <c r="Z82" s="379">
        <v>5921001</v>
      </c>
      <c r="AA82" s="379" t="s">
        <v>2374</v>
      </c>
      <c r="AB82" s="380">
        <f t="shared" si="1"/>
        <v>0</v>
      </c>
    </row>
    <row r="83" spans="1:28" outlineLevel="1" x14ac:dyDescent="0.3">
      <c r="A83" s="379"/>
      <c r="B83" s="384" t="s">
        <v>2454</v>
      </c>
      <c r="C83" s="379"/>
      <c r="D83" s="379"/>
      <c r="E83" s="379"/>
      <c r="F83" s="379"/>
      <c r="G83" s="383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80">
        <f>SUBTOTAL(9,V77:V82)</f>
        <v>347844.2</v>
      </c>
      <c r="W83" s="381">
        <f>SUBTOTAL(9,W77:W82)</f>
        <v>28</v>
      </c>
      <c r="X83" s="379"/>
      <c r="Y83" s="379"/>
      <c r="Z83" s="379"/>
      <c r="AA83" s="379"/>
      <c r="AB83" s="380">
        <f>SUBTOTAL(9,AB77:AB82)</f>
        <v>2.3333333333333335</v>
      </c>
    </row>
    <row r="84" spans="1:28" outlineLevel="2" x14ac:dyDescent="0.3">
      <c r="A84" s="379">
        <v>431</v>
      </c>
      <c r="B84" s="379">
        <v>712300</v>
      </c>
      <c r="C84" s="379" t="s">
        <v>628</v>
      </c>
      <c r="D84" s="379">
        <v>2273644</v>
      </c>
      <c r="E84" s="379" t="s">
        <v>2455</v>
      </c>
      <c r="F84" s="379" t="s">
        <v>2456</v>
      </c>
      <c r="G84" s="383">
        <v>36526</v>
      </c>
      <c r="H84" s="379">
        <v>115673.91</v>
      </c>
      <c r="I84" s="379">
        <v>5830.09</v>
      </c>
      <c r="J84" s="379">
        <v>9288.85</v>
      </c>
      <c r="K84" s="379">
        <v>8712.75</v>
      </c>
      <c r="L84" s="379"/>
      <c r="M84" s="379">
        <v>423.3</v>
      </c>
      <c r="N84" s="379"/>
      <c r="O84" s="379">
        <v>105556.41</v>
      </c>
      <c r="P84" s="379"/>
      <c r="Q84" s="379">
        <v>2517.6</v>
      </c>
      <c r="R84" s="379">
        <v>265.89999999999998</v>
      </c>
      <c r="S84" s="379"/>
      <c r="T84" s="379">
        <v>7334</v>
      </c>
      <c r="U84" s="379"/>
      <c r="V84" s="380">
        <v>139928.9</v>
      </c>
      <c r="W84" s="381">
        <v>12</v>
      </c>
      <c r="X84" s="379"/>
      <c r="Y84" s="379"/>
      <c r="Z84" s="379">
        <v>0</v>
      </c>
      <c r="AA84" s="379"/>
      <c r="AB84" s="380">
        <f t="shared" si="1"/>
        <v>1</v>
      </c>
    </row>
    <row r="85" spans="1:28" outlineLevel="2" x14ac:dyDescent="0.3">
      <c r="A85" s="379">
        <v>431</v>
      </c>
      <c r="B85" s="379">
        <v>712300</v>
      </c>
      <c r="C85" s="379" t="s">
        <v>628</v>
      </c>
      <c r="D85" s="379">
        <v>2308230</v>
      </c>
      <c r="E85" s="379" t="s">
        <v>2457</v>
      </c>
      <c r="F85" s="379" t="s">
        <v>2458</v>
      </c>
      <c r="G85" s="383">
        <v>35217</v>
      </c>
      <c r="H85" s="379">
        <v>115819.44</v>
      </c>
      <c r="I85" s="379">
        <v>5839.92</v>
      </c>
      <c r="J85" s="379">
        <v>11451.92</v>
      </c>
      <c r="K85" s="379">
        <v>8723.5499999999993</v>
      </c>
      <c r="L85" s="379"/>
      <c r="M85" s="379">
        <v>416.9</v>
      </c>
      <c r="N85" s="379"/>
      <c r="O85" s="379">
        <v>87598.69</v>
      </c>
      <c r="P85" s="379">
        <v>12447.04</v>
      </c>
      <c r="Q85" s="379">
        <v>2809.2</v>
      </c>
      <c r="R85" s="379"/>
      <c r="S85" s="379"/>
      <c r="T85" s="379">
        <v>11914.51</v>
      </c>
      <c r="U85" s="379">
        <v>1050</v>
      </c>
      <c r="V85" s="380">
        <v>142251.73000000001</v>
      </c>
      <c r="W85" s="381">
        <v>12</v>
      </c>
      <c r="X85" s="379"/>
      <c r="Y85" s="379"/>
      <c r="Z85" s="379">
        <v>6631001</v>
      </c>
      <c r="AA85" s="379" t="s">
        <v>2459</v>
      </c>
      <c r="AB85" s="380">
        <f t="shared" si="1"/>
        <v>1</v>
      </c>
    </row>
    <row r="86" spans="1:28" outlineLevel="2" x14ac:dyDescent="0.3">
      <c r="A86" s="379">
        <v>431</v>
      </c>
      <c r="B86" s="379">
        <v>712300</v>
      </c>
      <c r="C86" s="379" t="s">
        <v>628</v>
      </c>
      <c r="D86" s="379">
        <v>2733963</v>
      </c>
      <c r="E86" s="379" t="s">
        <v>2365</v>
      </c>
      <c r="F86" s="379" t="s">
        <v>2460</v>
      </c>
      <c r="G86" s="383">
        <v>36678</v>
      </c>
      <c r="H86" s="379">
        <v>108677.26</v>
      </c>
      <c r="I86" s="379">
        <v>7725.78</v>
      </c>
      <c r="J86" s="379">
        <v>10044.73</v>
      </c>
      <c r="K86" s="379">
        <v>10337.200000000001</v>
      </c>
      <c r="L86" s="379"/>
      <c r="M86" s="379">
        <v>397.15</v>
      </c>
      <c r="N86" s="379"/>
      <c r="O86" s="379">
        <v>79882.179999999993</v>
      </c>
      <c r="P86" s="379">
        <v>4329.01</v>
      </c>
      <c r="Q86" s="379">
        <v>936.1</v>
      </c>
      <c r="R86" s="379">
        <v>15079.47</v>
      </c>
      <c r="S86" s="379"/>
      <c r="T86" s="379">
        <v>7334</v>
      </c>
      <c r="U86" s="379">
        <v>1116.5</v>
      </c>
      <c r="V86" s="380">
        <v>137182.12</v>
      </c>
      <c r="W86" s="381">
        <v>11</v>
      </c>
      <c r="X86" s="379">
        <v>98</v>
      </c>
      <c r="Y86" s="379" t="s">
        <v>2419</v>
      </c>
      <c r="Z86" s="379">
        <v>3011001</v>
      </c>
      <c r="AA86" s="379" t="s">
        <v>2461</v>
      </c>
      <c r="AB86" s="380">
        <f t="shared" si="1"/>
        <v>0.91666666666666663</v>
      </c>
    </row>
    <row r="87" spans="1:28" outlineLevel="2" x14ac:dyDescent="0.3">
      <c r="A87" s="379">
        <v>431</v>
      </c>
      <c r="B87" s="379">
        <v>712300</v>
      </c>
      <c r="C87" s="379" t="s">
        <v>628</v>
      </c>
      <c r="D87" s="379">
        <v>3634364</v>
      </c>
      <c r="E87" s="379" t="s">
        <v>2462</v>
      </c>
      <c r="F87" s="379" t="s">
        <v>2463</v>
      </c>
      <c r="G87" s="383">
        <v>41760</v>
      </c>
      <c r="H87" s="379">
        <v>19422.75</v>
      </c>
      <c r="I87" s="379">
        <v>919.49</v>
      </c>
      <c r="J87" s="379">
        <v>4039.46</v>
      </c>
      <c r="K87" s="379">
        <v>1646.45</v>
      </c>
      <c r="L87" s="379"/>
      <c r="M87" s="379">
        <v>74.900000000000006</v>
      </c>
      <c r="N87" s="379"/>
      <c r="O87" s="379">
        <v>18463.12</v>
      </c>
      <c r="P87" s="379"/>
      <c r="Q87" s="379">
        <v>702.3</v>
      </c>
      <c r="R87" s="379">
        <v>257.33</v>
      </c>
      <c r="S87" s="379"/>
      <c r="T87" s="379"/>
      <c r="U87" s="379"/>
      <c r="V87" s="380">
        <v>26103.05</v>
      </c>
      <c r="W87" s="381">
        <v>3</v>
      </c>
      <c r="X87" s="379"/>
      <c r="Y87" s="379"/>
      <c r="Z87" s="379">
        <v>9921001</v>
      </c>
      <c r="AA87" s="379" t="s">
        <v>2464</v>
      </c>
      <c r="AB87" s="380">
        <f t="shared" si="1"/>
        <v>0.25</v>
      </c>
    </row>
    <row r="88" spans="1:28" outlineLevel="2" x14ac:dyDescent="0.3">
      <c r="A88" s="379">
        <v>431</v>
      </c>
      <c r="B88" s="379">
        <v>712300</v>
      </c>
      <c r="C88" s="379" t="s">
        <v>628</v>
      </c>
      <c r="D88" s="379">
        <v>5278518</v>
      </c>
      <c r="E88" s="379" t="s">
        <v>2465</v>
      </c>
      <c r="F88" s="379" t="s">
        <v>2466</v>
      </c>
      <c r="G88" s="383">
        <v>36434</v>
      </c>
      <c r="H88" s="379">
        <v>49871.96</v>
      </c>
      <c r="I88" s="379">
        <v>1808.9</v>
      </c>
      <c r="J88" s="379">
        <v>4192.38</v>
      </c>
      <c r="K88" s="379">
        <v>3777.65</v>
      </c>
      <c r="L88" s="379"/>
      <c r="M88" s="379">
        <v>168.85</v>
      </c>
      <c r="N88" s="379"/>
      <c r="O88" s="379">
        <v>42195.71</v>
      </c>
      <c r="P88" s="379"/>
      <c r="Q88" s="379">
        <v>1795.04</v>
      </c>
      <c r="R88" s="379">
        <v>14.01</v>
      </c>
      <c r="S88" s="379"/>
      <c r="T88" s="379">
        <v>5867.2</v>
      </c>
      <c r="U88" s="379"/>
      <c r="V88" s="380">
        <v>59819.74</v>
      </c>
      <c r="W88" s="381">
        <v>6.4</v>
      </c>
      <c r="X88" s="379"/>
      <c r="Y88" s="379"/>
      <c r="Z88" s="379">
        <v>5302002</v>
      </c>
      <c r="AA88" s="379" t="s">
        <v>2467</v>
      </c>
      <c r="AB88" s="380">
        <f t="shared" si="1"/>
        <v>0.53333333333333333</v>
      </c>
    </row>
    <row r="89" spans="1:28" outlineLevel="2" x14ac:dyDescent="0.3">
      <c r="A89" s="379">
        <v>431</v>
      </c>
      <c r="B89" s="379">
        <v>712300</v>
      </c>
      <c r="C89" s="379" t="s">
        <v>628</v>
      </c>
      <c r="D89" s="379">
        <v>5618646</v>
      </c>
      <c r="E89" s="379" t="s">
        <v>2468</v>
      </c>
      <c r="F89" s="379" t="s">
        <v>2469</v>
      </c>
      <c r="G89" s="383">
        <v>31168</v>
      </c>
      <c r="H89" s="379">
        <v>131455.85999999999</v>
      </c>
      <c r="I89" s="379">
        <v>7028.19</v>
      </c>
      <c r="J89" s="379">
        <v>13142.88</v>
      </c>
      <c r="K89" s="379">
        <v>9896.4</v>
      </c>
      <c r="L89" s="379"/>
      <c r="M89" s="379">
        <v>479.3</v>
      </c>
      <c r="N89" s="379"/>
      <c r="O89" s="379">
        <v>96127.75</v>
      </c>
      <c r="P89" s="379">
        <v>19196</v>
      </c>
      <c r="Q89" s="379">
        <v>2809.2</v>
      </c>
      <c r="R89" s="379">
        <v>25.34</v>
      </c>
      <c r="S89" s="379"/>
      <c r="T89" s="379">
        <v>12247.57</v>
      </c>
      <c r="U89" s="379">
        <v>1050</v>
      </c>
      <c r="V89" s="380">
        <v>162002.63</v>
      </c>
      <c r="W89" s="381">
        <v>12</v>
      </c>
      <c r="X89" s="379"/>
      <c r="Y89" s="379"/>
      <c r="Z89" s="379">
        <v>8861001</v>
      </c>
      <c r="AA89" s="379" t="s">
        <v>2470</v>
      </c>
      <c r="AB89" s="380">
        <f t="shared" si="1"/>
        <v>1</v>
      </c>
    </row>
    <row r="90" spans="1:28" outlineLevel="2" x14ac:dyDescent="0.3">
      <c r="A90" s="379">
        <v>431</v>
      </c>
      <c r="B90" s="379">
        <v>712300</v>
      </c>
      <c r="C90" s="379" t="s">
        <v>628</v>
      </c>
      <c r="D90" s="379">
        <v>5716813</v>
      </c>
      <c r="E90" s="379" t="s">
        <v>2471</v>
      </c>
      <c r="F90" s="379" t="s">
        <v>2472</v>
      </c>
      <c r="G90" s="383">
        <v>36161</v>
      </c>
      <c r="H90" s="379">
        <v>111157.46</v>
      </c>
      <c r="I90" s="379">
        <v>5486.84</v>
      </c>
      <c r="J90" s="379">
        <v>10333.15</v>
      </c>
      <c r="K90" s="379">
        <v>8374.1</v>
      </c>
      <c r="L90" s="379"/>
      <c r="M90" s="379">
        <v>371.1</v>
      </c>
      <c r="N90" s="379"/>
      <c r="O90" s="379">
        <v>88810.51</v>
      </c>
      <c r="P90" s="379">
        <v>1080</v>
      </c>
      <c r="Q90" s="379">
        <v>2809.2</v>
      </c>
      <c r="R90" s="379">
        <v>10073.75</v>
      </c>
      <c r="S90" s="379"/>
      <c r="T90" s="379">
        <v>7334</v>
      </c>
      <c r="U90" s="379">
        <v>1050</v>
      </c>
      <c r="V90" s="380">
        <v>135722.65</v>
      </c>
      <c r="W90" s="381">
        <v>12</v>
      </c>
      <c r="X90" s="379">
        <v>100</v>
      </c>
      <c r="Y90" s="379" t="s">
        <v>2473</v>
      </c>
      <c r="Z90" s="379">
        <v>1582004</v>
      </c>
      <c r="AA90" s="379" t="s">
        <v>2474</v>
      </c>
      <c r="AB90" s="380">
        <f t="shared" si="1"/>
        <v>1</v>
      </c>
    </row>
    <row r="91" spans="1:28" outlineLevel="2" x14ac:dyDescent="0.3">
      <c r="A91" s="379">
        <v>431</v>
      </c>
      <c r="B91" s="379">
        <v>712300</v>
      </c>
      <c r="C91" s="379" t="s">
        <v>628</v>
      </c>
      <c r="D91" s="379">
        <v>5716814</v>
      </c>
      <c r="E91" s="379" t="s">
        <v>2355</v>
      </c>
      <c r="F91" s="379" t="s">
        <v>2308</v>
      </c>
      <c r="G91" s="383">
        <v>34121</v>
      </c>
      <c r="H91" s="379">
        <v>138535.25</v>
      </c>
      <c r="I91" s="379">
        <v>7561.82</v>
      </c>
      <c r="J91" s="379">
        <v>11979.9</v>
      </c>
      <c r="K91" s="379">
        <v>10427.35</v>
      </c>
      <c r="L91" s="379"/>
      <c r="M91" s="379">
        <v>408.25</v>
      </c>
      <c r="N91" s="379"/>
      <c r="O91" s="379">
        <v>88655.24</v>
      </c>
      <c r="P91" s="379">
        <v>9053</v>
      </c>
      <c r="Q91" s="379">
        <v>2809.2</v>
      </c>
      <c r="R91" s="379">
        <v>24840.36</v>
      </c>
      <c r="S91" s="379"/>
      <c r="T91" s="379">
        <v>12127.45</v>
      </c>
      <c r="U91" s="379">
        <v>1050</v>
      </c>
      <c r="V91" s="380">
        <v>168912.57</v>
      </c>
      <c r="W91" s="381">
        <v>12</v>
      </c>
      <c r="X91" s="379"/>
      <c r="Y91" s="379"/>
      <c r="Z91" s="379">
        <v>1582005</v>
      </c>
      <c r="AA91" s="379" t="s">
        <v>2475</v>
      </c>
      <c r="AB91" s="380">
        <f t="shared" si="1"/>
        <v>1</v>
      </c>
    </row>
    <row r="92" spans="1:28" outlineLevel="2" x14ac:dyDescent="0.3">
      <c r="A92" s="379">
        <v>431</v>
      </c>
      <c r="B92" s="379">
        <v>712300</v>
      </c>
      <c r="C92" s="379" t="s">
        <v>628</v>
      </c>
      <c r="D92" s="379">
        <v>5746112</v>
      </c>
      <c r="E92" s="379" t="s">
        <v>2451</v>
      </c>
      <c r="F92" s="379" t="s">
        <v>2476</v>
      </c>
      <c r="G92" s="383">
        <v>36678</v>
      </c>
      <c r="H92" s="379">
        <v>106370.72</v>
      </c>
      <c r="I92" s="379">
        <v>5122.8500000000004</v>
      </c>
      <c r="J92" s="379">
        <v>21102.95</v>
      </c>
      <c r="K92" s="379">
        <v>8015</v>
      </c>
      <c r="L92" s="379"/>
      <c r="M92" s="379">
        <v>378.95</v>
      </c>
      <c r="N92" s="379"/>
      <c r="O92" s="379">
        <v>84120.91</v>
      </c>
      <c r="P92" s="379"/>
      <c r="Q92" s="379">
        <v>2809.2</v>
      </c>
      <c r="R92" s="379">
        <v>10624.61</v>
      </c>
      <c r="S92" s="379"/>
      <c r="T92" s="379">
        <v>7766</v>
      </c>
      <c r="U92" s="379">
        <v>1050</v>
      </c>
      <c r="V92" s="380">
        <v>140990.47</v>
      </c>
      <c r="W92" s="381">
        <v>12</v>
      </c>
      <c r="X92" s="379">
        <v>114</v>
      </c>
      <c r="Y92" s="379" t="s">
        <v>2477</v>
      </c>
      <c r="Z92" s="379">
        <v>9921001</v>
      </c>
      <c r="AA92" s="379" t="s">
        <v>2464</v>
      </c>
      <c r="AB92" s="380">
        <f t="shared" si="1"/>
        <v>1</v>
      </c>
    </row>
    <row r="93" spans="1:28" outlineLevel="2" x14ac:dyDescent="0.3">
      <c r="A93" s="379">
        <v>431</v>
      </c>
      <c r="B93" s="379">
        <v>712300</v>
      </c>
      <c r="C93" s="379" t="s">
        <v>628</v>
      </c>
      <c r="D93" s="379">
        <v>5877588</v>
      </c>
      <c r="E93" s="379" t="s">
        <v>2384</v>
      </c>
      <c r="F93" s="379" t="s">
        <v>2478</v>
      </c>
      <c r="G93" s="383">
        <v>34943</v>
      </c>
      <c r="H93" s="379">
        <v>147845.62</v>
      </c>
      <c r="I93" s="379">
        <v>10567.44</v>
      </c>
      <c r="J93" s="379">
        <v>15367.82</v>
      </c>
      <c r="K93" s="379">
        <v>13389.1</v>
      </c>
      <c r="L93" s="379"/>
      <c r="M93" s="379">
        <v>556.25</v>
      </c>
      <c r="N93" s="379"/>
      <c r="O93" s="379">
        <v>92397.3</v>
      </c>
      <c r="P93" s="379">
        <v>41851.120000000003</v>
      </c>
      <c r="Q93" s="379">
        <v>1021.2</v>
      </c>
      <c r="R93" s="379">
        <v>102.39</v>
      </c>
      <c r="S93" s="379"/>
      <c r="T93" s="379">
        <v>12473.61</v>
      </c>
      <c r="U93" s="379"/>
      <c r="V93" s="380">
        <v>187726.23</v>
      </c>
      <c r="W93" s="381">
        <v>12</v>
      </c>
      <c r="X93" s="379">
        <v>89</v>
      </c>
      <c r="Y93" s="379" t="s">
        <v>2479</v>
      </c>
      <c r="Z93" s="379">
        <v>3302001</v>
      </c>
      <c r="AA93" s="379" t="s">
        <v>2480</v>
      </c>
      <c r="AB93" s="380">
        <f t="shared" si="1"/>
        <v>1</v>
      </c>
    </row>
    <row r="94" spans="1:28" outlineLevel="2" x14ac:dyDescent="0.3">
      <c r="A94" s="379">
        <v>431</v>
      </c>
      <c r="B94" s="379">
        <v>712300</v>
      </c>
      <c r="C94" s="379" t="s">
        <v>628</v>
      </c>
      <c r="D94" s="379">
        <v>5924418</v>
      </c>
      <c r="E94" s="379" t="s">
        <v>2481</v>
      </c>
      <c r="F94" s="379" t="s">
        <v>2482</v>
      </c>
      <c r="G94" s="383">
        <v>36678</v>
      </c>
      <c r="H94" s="379">
        <v>99550.6</v>
      </c>
      <c r="I94" s="379">
        <v>4975.59</v>
      </c>
      <c r="J94" s="379">
        <v>19723.87</v>
      </c>
      <c r="K94" s="379">
        <v>7869.5</v>
      </c>
      <c r="L94" s="379"/>
      <c r="M94" s="379">
        <v>345.25</v>
      </c>
      <c r="N94" s="379"/>
      <c r="O94" s="379">
        <v>84361.11</v>
      </c>
      <c r="P94" s="379"/>
      <c r="Q94" s="379">
        <v>5881.2</v>
      </c>
      <c r="R94" s="379">
        <v>1974.29</v>
      </c>
      <c r="S94" s="379"/>
      <c r="T94" s="379">
        <v>7334</v>
      </c>
      <c r="U94" s="379"/>
      <c r="V94" s="380">
        <v>132464.81</v>
      </c>
      <c r="W94" s="381">
        <v>12</v>
      </c>
      <c r="X94" s="379"/>
      <c r="Y94" s="379"/>
      <c r="Z94" s="379">
        <v>9921001</v>
      </c>
      <c r="AA94" s="379" t="s">
        <v>2464</v>
      </c>
      <c r="AB94" s="380">
        <f t="shared" si="1"/>
        <v>1</v>
      </c>
    </row>
    <row r="95" spans="1:28" outlineLevel="2" x14ac:dyDescent="0.3">
      <c r="A95" s="379">
        <v>431</v>
      </c>
      <c r="B95" s="379">
        <v>712300</v>
      </c>
      <c r="C95" s="379" t="s">
        <v>628</v>
      </c>
      <c r="D95" s="379">
        <v>6140616</v>
      </c>
      <c r="E95" s="379" t="s">
        <v>2318</v>
      </c>
      <c r="F95" s="379" t="s">
        <v>2483</v>
      </c>
      <c r="G95" s="383">
        <v>36678</v>
      </c>
      <c r="H95" s="379">
        <v>93900.74</v>
      </c>
      <c r="I95" s="379">
        <v>4175.3500000000004</v>
      </c>
      <c r="J95" s="379">
        <v>7750.84</v>
      </c>
      <c r="K95" s="379">
        <v>7079.8</v>
      </c>
      <c r="L95" s="379"/>
      <c r="M95" s="379">
        <v>342.1</v>
      </c>
      <c r="N95" s="379"/>
      <c r="O95" s="379">
        <v>85476.84</v>
      </c>
      <c r="P95" s="379"/>
      <c r="Q95" s="379">
        <v>1021.2</v>
      </c>
      <c r="R95" s="379">
        <v>68.7</v>
      </c>
      <c r="S95" s="379"/>
      <c r="T95" s="379">
        <v>7334</v>
      </c>
      <c r="U95" s="379"/>
      <c r="V95" s="380">
        <v>113248.83</v>
      </c>
      <c r="W95" s="381">
        <v>12</v>
      </c>
      <c r="X95" s="379"/>
      <c r="Y95" s="379"/>
      <c r="Z95" s="379">
        <v>1721002</v>
      </c>
      <c r="AA95" s="379" t="s">
        <v>2484</v>
      </c>
      <c r="AB95" s="380">
        <f t="shared" si="1"/>
        <v>1</v>
      </c>
    </row>
    <row r="96" spans="1:28" outlineLevel="2" x14ac:dyDescent="0.3">
      <c r="A96" s="379">
        <v>431</v>
      </c>
      <c r="B96" s="379">
        <v>712300</v>
      </c>
      <c r="C96" s="379" t="s">
        <v>628</v>
      </c>
      <c r="D96" s="379">
        <v>6356983</v>
      </c>
      <c r="E96" s="379" t="s">
        <v>2307</v>
      </c>
      <c r="F96" s="379" t="s">
        <v>2285</v>
      </c>
      <c r="G96" s="383">
        <v>36373</v>
      </c>
      <c r="H96" s="379">
        <v>51473.91</v>
      </c>
      <c r="I96" s="379">
        <v>493.93</v>
      </c>
      <c r="J96" s="379">
        <v>4761.24</v>
      </c>
      <c r="K96" s="379">
        <v>3897.85</v>
      </c>
      <c r="L96" s="379"/>
      <c r="M96" s="379">
        <v>189.85</v>
      </c>
      <c r="N96" s="379"/>
      <c r="O96" s="379">
        <v>42195.46</v>
      </c>
      <c r="P96" s="379"/>
      <c r="Q96" s="379">
        <v>1404.6</v>
      </c>
      <c r="R96" s="379">
        <v>5281.85</v>
      </c>
      <c r="S96" s="379"/>
      <c r="T96" s="379">
        <v>2592</v>
      </c>
      <c r="U96" s="379"/>
      <c r="V96" s="380">
        <v>60816.78</v>
      </c>
      <c r="W96" s="381">
        <v>6</v>
      </c>
      <c r="X96" s="379"/>
      <c r="Y96" s="379"/>
      <c r="Z96" s="379">
        <v>8811001</v>
      </c>
      <c r="AA96" s="379" t="s">
        <v>2286</v>
      </c>
      <c r="AB96" s="380">
        <f t="shared" si="1"/>
        <v>0.5</v>
      </c>
    </row>
    <row r="97" spans="1:31" outlineLevel="2" x14ac:dyDescent="0.3">
      <c r="A97" s="379">
        <v>431</v>
      </c>
      <c r="B97" s="379">
        <v>712300</v>
      </c>
      <c r="C97" s="379" t="s">
        <v>628</v>
      </c>
      <c r="D97" s="379">
        <v>6755633</v>
      </c>
      <c r="E97" s="379" t="s">
        <v>2362</v>
      </c>
      <c r="F97" s="379" t="s">
        <v>2485</v>
      </c>
      <c r="G97" s="383">
        <v>34547</v>
      </c>
      <c r="H97" s="379">
        <v>128977.3</v>
      </c>
      <c r="I97" s="379">
        <v>6839.91</v>
      </c>
      <c r="J97" s="379">
        <v>11715.07</v>
      </c>
      <c r="K97" s="379">
        <v>9710.5499999999993</v>
      </c>
      <c r="L97" s="379"/>
      <c r="M97" s="379">
        <v>418.4</v>
      </c>
      <c r="N97" s="379"/>
      <c r="O97" s="379">
        <v>88410.19</v>
      </c>
      <c r="P97" s="379">
        <v>8623</v>
      </c>
      <c r="Q97" s="379">
        <v>6169.2</v>
      </c>
      <c r="R97" s="379">
        <v>12750.34</v>
      </c>
      <c r="S97" s="379"/>
      <c r="T97" s="379">
        <v>11974.57</v>
      </c>
      <c r="U97" s="379">
        <v>1050</v>
      </c>
      <c r="V97" s="380">
        <v>157661.23000000001</v>
      </c>
      <c r="W97" s="381">
        <v>12</v>
      </c>
      <c r="X97" s="379"/>
      <c r="Y97" s="379"/>
      <c r="Z97" s="379">
        <v>8811001</v>
      </c>
      <c r="AA97" s="379" t="s">
        <v>2286</v>
      </c>
      <c r="AB97" s="380">
        <f t="shared" si="1"/>
        <v>1</v>
      </c>
    </row>
    <row r="98" spans="1:31" outlineLevel="2" x14ac:dyDescent="0.3">
      <c r="A98" s="379">
        <v>431</v>
      </c>
      <c r="B98" s="379">
        <v>712300</v>
      </c>
      <c r="C98" s="379" t="s">
        <v>628</v>
      </c>
      <c r="D98" s="379">
        <v>6762359</v>
      </c>
      <c r="E98" s="379" t="s">
        <v>2486</v>
      </c>
      <c r="F98" s="379" t="s">
        <v>2487</v>
      </c>
      <c r="G98" s="383">
        <v>33055</v>
      </c>
      <c r="H98" s="379">
        <v>119914.93</v>
      </c>
      <c r="I98" s="379">
        <v>6151.13</v>
      </c>
      <c r="J98" s="379">
        <v>11490.82</v>
      </c>
      <c r="K98" s="379">
        <v>9030.85</v>
      </c>
      <c r="L98" s="379"/>
      <c r="M98" s="379">
        <v>422.7</v>
      </c>
      <c r="N98" s="379"/>
      <c r="O98" s="379">
        <v>88742.57</v>
      </c>
      <c r="P98" s="379">
        <v>12601.04</v>
      </c>
      <c r="Q98" s="379">
        <v>6466.8</v>
      </c>
      <c r="R98" s="379"/>
      <c r="S98" s="379"/>
      <c r="T98" s="379">
        <v>12104.52</v>
      </c>
      <c r="U98" s="379"/>
      <c r="V98" s="380">
        <v>147010.43</v>
      </c>
      <c r="W98" s="381">
        <v>12</v>
      </c>
      <c r="X98" s="379"/>
      <c r="Y98" s="379"/>
      <c r="Z98" s="379">
        <v>3302001</v>
      </c>
      <c r="AA98" s="379" t="s">
        <v>2480</v>
      </c>
      <c r="AB98" s="380">
        <f t="shared" si="1"/>
        <v>1</v>
      </c>
    </row>
    <row r="99" spans="1:31" outlineLevel="2" x14ac:dyDescent="0.3">
      <c r="A99" s="379">
        <v>431</v>
      </c>
      <c r="B99" s="379">
        <v>712300</v>
      </c>
      <c r="C99" s="379" t="s">
        <v>628</v>
      </c>
      <c r="D99" s="379">
        <v>6857796</v>
      </c>
      <c r="E99" s="379" t="s">
        <v>2488</v>
      </c>
      <c r="F99" s="379" t="s">
        <v>2483</v>
      </c>
      <c r="G99" s="383">
        <v>27912</v>
      </c>
      <c r="H99" s="379">
        <v>127912.3</v>
      </c>
      <c r="I99" s="379">
        <v>9169.4500000000007</v>
      </c>
      <c r="J99" s="379">
        <v>12101.39</v>
      </c>
      <c r="K99" s="379">
        <v>11517</v>
      </c>
      <c r="L99" s="379"/>
      <c r="M99" s="379">
        <v>477.15</v>
      </c>
      <c r="N99" s="379"/>
      <c r="O99" s="379">
        <v>82499.600000000006</v>
      </c>
      <c r="P99" s="379">
        <v>31785.599999999999</v>
      </c>
      <c r="Q99" s="379">
        <v>851</v>
      </c>
      <c r="R99" s="379"/>
      <c r="S99" s="379"/>
      <c r="T99" s="379">
        <v>12776.1</v>
      </c>
      <c r="U99" s="379"/>
      <c r="V99" s="380">
        <v>161177.29</v>
      </c>
      <c r="W99" s="381">
        <v>10</v>
      </c>
      <c r="X99" s="379"/>
      <c r="Y99" s="379"/>
      <c r="Z99" s="379">
        <v>1124015</v>
      </c>
      <c r="AA99" s="379" t="s">
        <v>2489</v>
      </c>
      <c r="AB99" s="380">
        <f t="shared" si="1"/>
        <v>0.83333333333333337</v>
      </c>
    </row>
    <row r="100" spans="1:31" outlineLevel="2" x14ac:dyDescent="0.3">
      <c r="A100" s="379">
        <v>431</v>
      </c>
      <c r="B100" s="379">
        <v>712300</v>
      </c>
      <c r="C100" s="379" t="s">
        <v>628</v>
      </c>
      <c r="D100" s="379">
        <v>30701852</v>
      </c>
      <c r="E100" s="379" t="s">
        <v>2490</v>
      </c>
      <c r="F100" s="379" t="s">
        <v>2491</v>
      </c>
      <c r="G100" s="383">
        <v>37408</v>
      </c>
      <c r="H100" s="379">
        <v>98831.46</v>
      </c>
      <c r="I100" s="379">
        <v>4550.46</v>
      </c>
      <c r="J100" s="379">
        <v>19799.89</v>
      </c>
      <c r="K100" s="379">
        <v>7449.5</v>
      </c>
      <c r="L100" s="379"/>
      <c r="M100" s="379">
        <v>354.7</v>
      </c>
      <c r="N100" s="379"/>
      <c r="O100" s="379">
        <v>77570.31</v>
      </c>
      <c r="P100" s="379"/>
      <c r="Q100" s="379">
        <v>2809.2</v>
      </c>
      <c r="R100" s="379">
        <v>11109.95</v>
      </c>
      <c r="S100" s="379"/>
      <c r="T100" s="379">
        <v>6292</v>
      </c>
      <c r="U100" s="379">
        <v>1050</v>
      </c>
      <c r="V100" s="380">
        <v>130986.01</v>
      </c>
      <c r="W100" s="381">
        <v>12</v>
      </c>
      <c r="X100" s="379"/>
      <c r="Y100" s="379"/>
      <c r="Z100" s="379">
        <v>5931001</v>
      </c>
      <c r="AA100" s="379" t="s">
        <v>2320</v>
      </c>
      <c r="AB100" s="380">
        <f t="shared" si="1"/>
        <v>1</v>
      </c>
    </row>
    <row r="101" spans="1:31" outlineLevel="1" x14ac:dyDescent="0.3">
      <c r="A101" s="379"/>
      <c r="B101" s="384" t="s">
        <v>2492</v>
      </c>
      <c r="C101" s="379"/>
      <c r="D101" s="379"/>
      <c r="E101" s="379"/>
      <c r="F101" s="379"/>
      <c r="G101" s="383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79"/>
      <c r="U101" s="379"/>
      <c r="V101" s="380">
        <f>SUBTOTAL(9,V84:V100)</f>
        <v>2204005.4699999997</v>
      </c>
      <c r="W101" s="381">
        <f>SUBTOTAL(9,W84:W100)</f>
        <v>180.4</v>
      </c>
      <c r="X101" s="379"/>
      <c r="Y101" s="379"/>
      <c r="Z101" s="379"/>
      <c r="AA101" s="379"/>
      <c r="AB101" s="380">
        <f>SUBTOTAL(9,AB84:AB100)</f>
        <v>15.033333333333333</v>
      </c>
    </row>
    <row r="102" spans="1:31" outlineLevel="2" x14ac:dyDescent="0.3">
      <c r="A102" s="379">
        <v>431</v>
      </c>
      <c r="B102" s="379">
        <v>713000</v>
      </c>
      <c r="C102" s="379" t="s">
        <v>2493</v>
      </c>
      <c r="D102" s="379">
        <v>30995515</v>
      </c>
      <c r="E102" s="379" t="s">
        <v>2494</v>
      </c>
      <c r="F102" s="379" t="s">
        <v>2495</v>
      </c>
      <c r="G102" s="383">
        <v>36161</v>
      </c>
      <c r="H102" s="379">
        <v>22626.31</v>
      </c>
      <c r="I102" s="379">
        <v>970.67</v>
      </c>
      <c r="J102" s="379">
        <v>1973.78</v>
      </c>
      <c r="K102" s="379">
        <v>1696.95</v>
      </c>
      <c r="L102" s="379"/>
      <c r="M102" s="379">
        <v>79.849999999999994</v>
      </c>
      <c r="N102" s="379"/>
      <c r="O102" s="379">
        <v>19569.61</v>
      </c>
      <c r="P102" s="379">
        <v>390.9</v>
      </c>
      <c r="Q102" s="379">
        <v>702.3</v>
      </c>
      <c r="R102" s="379">
        <v>1701</v>
      </c>
      <c r="S102" s="379"/>
      <c r="T102" s="379"/>
      <c r="U102" s="379">
        <v>262.5</v>
      </c>
      <c r="V102" s="380">
        <v>27347.56</v>
      </c>
      <c r="W102" s="381">
        <v>3</v>
      </c>
      <c r="X102" s="379"/>
      <c r="Y102" s="379"/>
      <c r="Z102" s="379">
        <v>1582004</v>
      </c>
      <c r="AA102" s="379" t="s">
        <v>2474</v>
      </c>
      <c r="AB102" s="380">
        <f t="shared" si="1"/>
        <v>0.25</v>
      </c>
    </row>
    <row r="103" spans="1:31" outlineLevel="2" x14ac:dyDescent="0.3">
      <c r="A103" s="379">
        <v>432</v>
      </c>
      <c r="B103" s="379">
        <v>713000</v>
      </c>
      <c r="C103" s="379"/>
      <c r="D103" s="379">
        <v>30995515</v>
      </c>
      <c r="E103" s="379" t="s">
        <v>2494</v>
      </c>
      <c r="F103" s="379" t="s">
        <v>2495</v>
      </c>
      <c r="G103" s="383">
        <v>36161</v>
      </c>
      <c r="H103" s="379">
        <v>3088.24</v>
      </c>
      <c r="I103" s="379">
        <v>103.89</v>
      </c>
      <c r="J103" s="379"/>
      <c r="K103" s="379">
        <v>231.82</v>
      </c>
      <c r="L103" s="379"/>
      <c r="M103" s="379"/>
      <c r="N103" s="379"/>
      <c r="O103" s="379">
        <v>2938.29</v>
      </c>
      <c r="P103" s="379"/>
      <c r="Q103" s="379"/>
      <c r="R103" s="379">
        <v>-12</v>
      </c>
      <c r="S103" s="379">
        <v>161.94999999999999</v>
      </c>
      <c r="T103" s="379"/>
      <c r="U103" s="379"/>
      <c r="V103" s="380">
        <v>3423.95</v>
      </c>
      <c r="W103" s="381">
        <v>0.46700000000000003</v>
      </c>
      <c r="X103" s="379"/>
      <c r="Y103" s="379"/>
      <c r="Z103" s="379">
        <v>9991001</v>
      </c>
      <c r="AA103" s="379" t="s">
        <v>2496</v>
      </c>
      <c r="AB103" s="380">
        <f t="shared" si="1"/>
        <v>3.8916666666666669E-2</v>
      </c>
    </row>
    <row r="104" spans="1:31" outlineLevel="1" x14ac:dyDescent="0.3">
      <c r="A104" s="379"/>
      <c r="B104" s="384" t="s">
        <v>2497</v>
      </c>
      <c r="C104" s="379"/>
      <c r="D104" s="379"/>
      <c r="E104" s="379"/>
      <c r="F104" s="379"/>
      <c r="G104" s="383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80">
        <f>SUBTOTAL(9,V102:V103)</f>
        <v>30771.510000000002</v>
      </c>
      <c r="W104" s="381">
        <f>SUBTOTAL(9,W102:W103)</f>
        <v>3.4670000000000001</v>
      </c>
      <c r="X104" s="379"/>
      <c r="Y104" s="379"/>
      <c r="Z104" s="379"/>
      <c r="AA104" s="379"/>
      <c r="AB104" s="380">
        <f>SUBTOTAL(9,AB102:AB103)</f>
        <v>0.28891666666666665</v>
      </c>
    </row>
    <row r="105" spans="1:31" outlineLevel="2" x14ac:dyDescent="0.3">
      <c r="A105" s="379">
        <v>431</v>
      </c>
      <c r="B105" s="379">
        <v>714000</v>
      </c>
      <c r="C105" s="379" t="s">
        <v>1164</v>
      </c>
      <c r="D105" s="379">
        <v>30658857</v>
      </c>
      <c r="E105" s="379" t="s">
        <v>2498</v>
      </c>
      <c r="F105" s="379" t="s">
        <v>2499</v>
      </c>
      <c r="G105" s="383">
        <v>38534</v>
      </c>
      <c r="H105" s="379">
        <v>228925.75</v>
      </c>
      <c r="I105" s="379">
        <v>14434.1</v>
      </c>
      <c r="J105" s="379">
        <v>43173.36</v>
      </c>
      <c r="K105" s="379">
        <v>17266.05</v>
      </c>
      <c r="L105" s="379"/>
      <c r="M105" s="379">
        <v>825.15</v>
      </c>
      <c r="N105" s="379"/>
      <c r="O105" s="379">
        <v>200074.89</v>
      </c>
      <c r="P105" s="379">
        <v>5764.94</v>
      </c>
      <c r="Q105" s="379">
        <v>3819.6</v>
      </c>
      <c r="R105" s="379">
        <v>14511.59</v>
      </c>
      <c r="S105" s="379">
        <v>410.73</v>
      </c>
      <c r="T105" s="379">
        <v>4352.75</v>
      </c>
      <c r="U105" s="379">
        <v>-8.75</v>
      </c>
      <c r="V105" s="380">
        <v>304624.40999999997</v>
      </c>
      <c r="W105" s="381">
        <v>6</v>
      </c>
      <c r="X105" s="379"/>
      <c r="Y105" s="379"/>
      <c r="Z105" s="379">
        <v>411001</v>
      </c>
      <c r="AA105" s="379" t="s">
        <v>2500</v>
      </c>
      <c r="AB105" s="380">
        <f t="shared" si="1"/>
        <v>0.5</v>
      </c>
    </row>
    <row r="106" spans="1:31" outlineLevel="1" x14ac:dyDescent="0.3">
      <c r="A106" s="379"/>
      <c r="B106" s="384" t="s">
        <v>2501</v>
      </c>
      <c r="C106" s="379"/>
      <c r="D106" s="379"/>
      <c r="E106" s="379"/>
      <c r="F106" s="379"/>
      <c r="G106" s="383"/>
      <c r="H106" s="379"/>
      <c r="I106" s="379"/>
      <c r="J106" s="379"/>
      <c r="K106" s="379"/>
      <c r="L106" s="379"/>
      <c r="M106" s="379"/>
      <c r="N106" s="379"/>
      <c r="O106" s="379"/>
      <c r="P106" s="379"/>
      <c r="Q106" s="379"/>
      <c r="R106" s="379"/>
      <c r="S106" s="379"/>
      <c r="T106" s="379"/>
      <c r="U106" s="379"/>
      <c r="V106" s="380">
        <f>SUBTOTAL(9,V105:V105)</f>
        <v>304624.40999999997</v>
      </c>
      <c r="W106" s="381">
        <f>SUBTOTAL(9,W105:W105)</f>
        <v>6</v>
      </c>
      <c r="X106" s="379"/>
      <c r="Y106" s="379"/>
      <c r="Z106" s="379"/>
      <c r="AA106" s="379"/>
      <c r="AB106" s="380">
        <f>SUBTOTAL(9,AB105:AB105)</f>
        <v>0.5</v>
      </c>
    </row>
    <row r="107" spans="1:31" outlineLevel="2" x14ac:dyDescent="0.3">
      <c r="A107" s="379">
        <v>431</v>
      </c>
      <c r="B107" s="379">
        <v>715000</v>
      </c>
      <c r="C107" s="379" t="s">
        <v>1166</v>
      </c>
      <c r="D107" s="379">
        <v>20137609</v>
      </c>
      <c r="E107" s="379" t="s">
        <v>2502</v>
      </c>
      <c r="F107" s="379" t="s">
        <v>2503</v>
      </c>
      <c r="G107" s="383">
        <v>42278</v>
      </c>
      <c r="H107" s="379">
        <v>120213.43</v>
      </c>
      <c r="I107" s="379">
        <v>6160.89</v>
      </c>
      <c r="J107" s="379">
        <v>21235.94</v>
      </c>
      <c r="K107" s="379">
        <v>8945.7000000000007</v>
      </c>
      <c r="L107" s="379"/>
      <c r="M107" s="379">
        <v>384.45</v>
      </c>
      <c r="N107" s="379"/>
      <c r="O107" s="379">
        <v>72919.509999999995</v>
      </c>
      <c r="P107" s="379">
        <v>21981.57</v>
      </c>
      <c r="Q107" s="379">
        <v>2809.2</v>
      </c>
      <c r="R107" s="379">
        <v>16033.15</v>
      </c>
      <c r="S107" s="379"/>
      <c r="T107" s="379">
        <v>6470</v>
      </c>
      <c r="U107" s="379"/>
      <c r="V107" s="380">
        <v>156940.41</v>
      </c>
      <c r="W107" s="381">
        <v>12</v>
      </c>
      <c r="X107" s="379"/>
      <c r="Y107" s="379"/>
      <c r="Z107" s="379">
        <v>1126001</v>
      </c>
      <c r="AA107" s="379" t="s">
        <v>2504</v>
      </c>
      <c r="AB107" s="380">
        <f t="shared" si="1"/>
        <v>1</v>
      </c>
    </row>
    <row r="108" spans="1:31" outlineLevel="1" x14ac:dyDescent="0.3">
      <c r="A108" s="379"/>
      <c r="B108" s="384" t="s">
        <v>2505</v>
      </c>
      <c r="C108" s="379"/>
      <c r="D108" s="379"/>
      <c r="E108" s="379"/>
      <c r="F108" s="379"/>
      <c r="G108" s="383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80">
        <f>SUBTOTAL(9,V107:V107)</f>
        <v>156940.41</v>
      </c>
      <c r="W108" s="381">
        <f>SUBTOTAL(9,W107:W107)</f>
        <v>12</v>
      </c>
      <c r="X108" s="379"/>
      <c r="Y108" s="379"/>
      <c r="Z108" s="379"/>
      <c r="AA108" s="379"/>
      <c r="AB108" s="380">
        <f>SUBTOTAL(9,AB107:AB107)</f>
        <v>1</v>
      </c>
    </row>
    <row r="109" spans="1:31" outlineLevel="2" x14ac:dyDescent="0.3">
      <c r="A109" s="379">
        <v>431</v>
      </c>
      <c r="B109" s="379">
        <v>715100</v>
      </c>
      <c r="C109" s="379" t="s">
        <v>2506</v>
      </c>
      <c r="D109" s="379">
        <v>3827570</v>
      </c>
      <c r="E109" s="379" t="s">
        <v>2332</v>
      </c>
      <c r="F109" s="379" t="s">
        <v>2507</v>
      </c>
      <c r="G109" s="383">
        <v>42614</v>
      </c>
      <c r="H109" s="379">
        <v>0</v>
      </c>
      <c r="I109" s="379">
        <v>0</v>
      </c>
      <c r="J109" s="379">
        <v>0</v>
      </c>
      <c r="K109" s="379">
        <v>0</v>
      </c>
      <c r="L109" s="379"/>
      <c r="M109" s="379"/>
      <c r="N109" s="379"/>
      <c r="O109" s="379">
        <v>0</v>
      </c>
      <c r="P109" s="379"/>
      <c r="Q109" s="379"/>
      <c r="R109" s="379"/>
      <c r="S109" s="379"/>
      <c r="T109" s="379"/>
      <c r="U109" s="379"/>
      <c r="V109" s="380">
        <v>0</v>
      </c>
      <c r="W109" s="381"/>
      <c r="X109" s="379"/>
      <c r="Y109" s="379"/>
      <c r="Z109" s="379">
        <v>1026</v>
      </c>
      <c r="AA109" s="379" t="s">
        <v>2508</v>
      </c>
      <c r="AB109" s="380">
        <f t="shared" si="1"/>
        <v>0</v>
      </c>
    </row>
    <row r="110" spans="1:31" outlineLevel="1" x14ac:dyDescent="0.3">
      <c r="A110" s="379"/>
      <c r="B110" s="384" t="s">
        <v>2509</v>
      </c>
      <c r="C110" s="379"/>
      <c r="D110" s="379"/>
      <c r="E110" s="379"/>
      <c r="F110" s="379"/>
      <c r="G110" s="383"/>
      <c r="H110" s="379"/>
      <c r="I110" s="379"/>
      <c r="J110" s="379"/>
      <c r="K110" s="379"/>
      <c r="L110" s="379"/>
      <c r="M110" s="379"/>
      <c r="N110" s="379"/>
      <c r="O110" s="379"/>
      <c r="P110" s="379"/>
      <c r="Q110" s="379"/>
      <c r="R110" s="379"/>
      <c r="S110" s="379"/>
      <c r="T110" s="379"/>
      <c r="U110" s="379"/>
      <c r="V110" s="380">
        <f>SUBTOTAL(9,V109:V109)</f>
        <v>0</v>
      </c>
      <c r="W110" s="381">
        <f>SUBTOTAL(9,W109:W109)</f>
        <v>0</v>
      </c>
      <c r="X110" s="379"/>
      <c r="Y110" s="379"/>
      <c r="Z110" s="379"/>
      <c r="AA110" s="379"/>
      <c r="AB110" s="380">
        <f>SUBTOTAL(9,AB109:AB109)</f>
        <v>0</v>
      </c>
      <c r="AC110" s="385">
        <f>V110+V108+V106+V104+V101+V83</f>
        <v>3044186</v>
      </c>
      <c r="AD110" s="385">
        <f>W110+W108+W106+W104+W101+W83</f>
        <v>229.86700000000002</v>
      </c>
      <c r="AE110" s="385">
        <f>AB110+AB108+AB106+AB104+AB101+AB83</f>
        <v>19.155583333333333</v>
      </c>
    </row>
    <row r="111" spans="1:31" outlineLevel="2" x14ac:dyDescent="0.3">
      <c r="A111" s="379">
        <v>431</v>
      </c>
      <c r="B111" s="379">
        <v>722100</v>
      </c>
      <c r="C111" s="379" t="s">
        <v>2510</v>
      </c>
      <c r="D111" s="379">
        <v>3634013</v>
      </c>
      <c r="E111" s="379" t="s">
        <v>2511</v>
      </c>
      <c r="F111" s="379" t="s">
        <v>2512</v>
      </c>
      <c r="G111" s="383">
        <v>42795</v>
      </c>
      <c r="H111" s="379">
        <v>48761.67</v>
      </c>
      <c r="I111" s="379">
        <v>3082.52</v>
      </c>
      <c r="J111" s="379">
        <v>9485.0300000000007</v>
      </c>
      <c r="K111" s="379">
        <v>4198.28</v>
      </c>
      <c r="L111" s="379"/>
      <c r="M111" s="379">
        <v>154.07</v>
      </c>
      <c r="N111" s="379"/>
      <c r="O111" s="379">
        <v>31448</v>
      </c>
      <c r="P111" s="379">
        <v>6901</v>
      </c>
      <c r="Q111" s="379">
        <v>538</v>
      </c>
      <c r="R111" s="379">
        <v>172.67</v>
      </c>
      <c r="S111" s="379"/>
      <c r="T111" s="379">
        <v>6902</v>
      </c>
      <c r="U111" s="379">
        <v>2800</v>
      </c>
      <c r="V111" s="380">
        <v>65681.570000000007</v>
      </c>
      <c r="W111" s="381">
        <v>5</v>
      </c>
      <c r="X111" s="379"/>
      <c r="Y111" s="379"/>
      <c r="Z111" s="379">
        <v>3011001</v>
      </c>
      <c r="AA111" s="379" t="s">
        <v>2461</v>
      </c>
      <c r="AB111" s="380">
        <f t="shared" si="1"/>
        <v>0.41666666666666669</v>
      </c>
    </row>
    <row r="112" spans="1:31" outlineLevel="2" x14ac:dyDescent="0.3">
      <c r="A112" s="379">
        <v>431</v>
      </c>
      <c r="B112" s="379">
        <v>722100</v>
      </c>
      <c r="C112" s="379" t="s">
        <v>2510</v>
      </c>
      <c r="D112" s="379">
        <v>5429070</v>
      </c>
      <c r="E112" s="379" t="s">
        <v>2513</v>
      </c>
      <c r="F112" s="379" t="s">
        <v>2514</v>
      </c>
      <c r="G112" s="383">
        <v>31656</v>
      </c>
      <c r="H112" s="379">
        <v>72035.98</v>
      </c>
      <c r="I112" s="379">
        <v>4202.25</v>
      </c>
      <c r="J112" s="379">
        <v>6723.46</v>
      </c>
      <c r="K112" s="379">
        <v>5439.89</v>
      </c>
      <c r="L112" s="379"/>
      <c r="M112" s="379">
        <v>255.98</v>
      </c>
      <c r="N112" s="379"/>
      <c r="O112" s="379">
        <v>52969.96</v>
      </c>
      <c r="P112" s="379">
        <v>4742.6000000000004</v>
      </c>
      <c r="Q112" s="379">
        <v>267.5</v>
      </c>
      <c r="R112" s="379"/>
      <c r="S112" s="379"/>
      <c r="T112" s="379">
        <v>14055.92</v>
      </c>
      <c r="U112" s="379"/>
      <c r="V112" s="380">
        <v>88657.56</v>
      </c>
      <c r="W112" s="381">
        <v>5</v>
      </c>
      <c r="X112" s="379"/>
      <c r="Y112" s="379"/>
      <c r="Z112" s="379">
        <v>1124014</v>
      </c>
      <c r="AA112" s="379" t="s">
        <v>2515</v>
      </c>
      <c r="AB112" s="380">
        <f t="shared" si="1"/>
        <v>0.41666666666666669</v>
      </c>
    </row>
    <row r="113" spans="1:31" outlineLevel="2" x14ac:dyDescent="0.3">
      <c r="A113" s="379">
        <v>431</v>
      </c>
      <c r="B113" s="379">
        <v>722100</v>
      </c>
      <c r="C113" s="379" t="s">
        <v>2510</v>
      </c>
      <c r="D113" s="379">
        <v>5746183</v>
      </c>
      <c r="E113" s="379" t="s">
        <v>2516</v>
      </c>
      <c r="F113" s="379" t="s">
        <v>2517</v>
      </c>
      <c r="G113" s="383">
        <v>34001</v>
      </c>
      <c r="H113" s="379">
        <v>117306.75</v>
      </c>
      <c r="I113" s="379">
        <v>7098.91</v>
      </c>
      <c r="J113" s="379">
        <v>10628.25</v>
      </c>
      <c r="K113" s="379">
        <v>8834.9599999999991</v>
      </c>
      <c r="L113" s="379"/>
      <c r="M113" s="379">
        <v>407.42</v>
      </c>
      <c r="N113" s="379"/>
      <c r="O113" s="379">
        <v>86896.43</v>
      </c>
      <c r="P113" s="379">
        <v>1136</v>
      </c>
      <c r="Q113" s="379">
        <v>1130.8</v>
      </c>
      <c r="R113" s="379">
        <v>13726.15</v>
      </c>
      <c r="S113" s="379"/>
      <c r="T113" s="379">
        <v>14417.37</v>
      </c>
      <c r="U113" s="379"/>
      <c r="V113" s="380">
        <v>144276.29</v>
      </c>
      <c r="W113" s="381">
        <v>8</v>
      </c>
      <c r="X113" s="379"/>
      <c r="Y113" s="379"/>
      <c r="Z113" s="379">
        <v>1124015</v>
      </c>
      <c r="AA113" s="379" t="s">
        <v>2489</v>
      </c>
      <c r="AB113" s="380">
        <f t="shared" si="1"/>
        <v>0.66666666666666663</v>
      </c>
    </row>
    <row r="114" spans="1:31" outlineLevel="1" x14ac:dyDescent="0.3">
      <c r="A114" s="379"/>
      <c r="B114" s="384" t="s">
        <v>2518</v>
      </c>
      <c r="C114" s="379"/>
      <c r="D114" s="379"/>
      <c r="E114" s="379"/>
      <c r="F114" s="379"/>
      <c r="G114" s="383"/>
      <c r="H114" s="379"/>
      <c r="I114" s="379"/>
      <c r="J114" s="379"/>
      <c r="K114" s="379"/>
      <c r="L114" s="379"/>
      <c r="M114" s="379"/>
      <c r="N114" s="379"/>
      <c r="O114" s="379"/>
      <c r="P114" s="379"/>
      <c r="Q114" s="379"/>
      <c r="R114" s="379"/>
      <c r="S114" s="379"/>
      <c r="T114" s="379"/>
      <c r="U114" s="379"/>
      <c r="V114" s="380">
        <f>SUBTOTAL(9,V111:V113)</f>
        <v>298615.42000000004</v>
      </c>
      <c r="W114" s="381">
        <f>SUBTOTAL(9,W111:W113)</f>
        <v>18</v>
      </c>
      <c r="X114" s="379"/>
      <c r="Y114" s="379"/>
      <c r="Z114" s="379"/>
      <c r="AA114" s="379"/>
      <c r="AB114" s="380">
        <f>SUBTOTAL(9,AB111:AB113)</f>
        <v>1.5</v>
      </c>
    </row>
    <row r="115" spans="1:31" outlineLevel="2" x14ac:dyDescent="0.3">
      <c r="A115" s="379">
        <v>431</v>
      </c>
      <c r="B115" s="379">
        <v>723000</v>
      </c>
      <c r="C115" s="379" t="s">
        <v>1169</v>
      </c>
      <c r="D115" s="379">
        <v>2459702</v>
      </c>
      <c r="E115" s="379" t="s">
        <v>2519</v>
      </c>
      <c r="F115" s="379" t="s">
        <v>2520</v>
      </c>
      <c r="G115" s="383">
        <v>36678</v>
      </c>
      <c r="H115" s="379">
        <v>77487.210000000006</v>
      </c>
      <c r="I115" s="379">
        <v>2934.25</v>
      </c>
      <c r="J115" s="379">
        <v>16318.92</v>
      </c>
      <c r="K115" s="379">
        <v>5848.7</v>
      </c>
      <c r="L115" s="379"/>
      <c r="M115" s="379">
        <v>271</v>
      </c>
      <c r="N115" s="379"/>
      <c r="O115" s="379">
        <v>67776.009999999995</v>
      </c>
      <c r="P115" s="379"/>
      <c r="Q115" s="379">
        <v>2809.2</v>
      </c>
      <c r="R115" s="379"/>
      <c r="S115" s="379"/>
      <c r="T115" s="379">
        <v>6902</v>
      </c>
      <c r="U115" s="379"/>
      <c r="V115" s="380">
        <v>102860.08</v>
      </c>
      <c r="W115" s="381">
        <v>12</v>
      </c>
      <c r="X115" s="379"/>
      <c r="Y115" s="379"/>
      <c r="Z115" s="379">
        <v>9921001</v>
      </c>
      <c r="AA115" s="379" t="s">
        <v>2464</v>
      </c>
      <c r="AB115" s="380">
        <f t="shared" si="1"/>
        <v>1</v>
      </c>
    </row>
    <row r="116" spans="1:31" outlineLevel="2" x14ac:dyDescent="0.3">
      <c r="A116" s="379">
        <v>431</v>
      </c>
      <c r="B116" s="379">
        <v>723000</v>
      </c>
      <c r="C116" s="379" t="s">
        <v>1169</v>
      </c>
      <c r="D116" s="379">
        <v>3827808</v>
      </c>
      <c r="E116" s="379" t="s">
        <v>2337</v>
      </c>
      <c r="F116" s="379" t="s">
        <v>2338</v>
      </c>
      <c r="G116" s="383">
        <v>37012</v>
      </c>
      <c r="H116" s="379">
        <v>-5.12</v>
      </c>
      <c r="I116" s="379">
        <v>12.05</v>
      </c>
      <c r="J116" s="379">
        <v>-0.4</v>
      </c>
      <c r="K116" s="379">
        <v>-0.38</v>
      </c>
      <c r="L116" s="379"/>
      <c r="M116" s="379">
        <v>-0.02</v>
      </c>
      <c r="N116" s="379"/>
      <c r="O116" s="379">
        <v>-5.12</v>
      </c>
      <c r="P116" s="379"/>
      <c r="Q116" s="379"/>
      <c r="R116" s="379"/>
      <c r="S116" s="379"/>
      <c r="T116" s="379"/>
      <c r="U116" s="379"/>
      <c r="V116" s="380">
        <v>6.13</v>
      </c>
      <c r="W116" s="381"/>
      <c r="X116" s="379"/>
      <c r="Y116" s="379"/>
      <c r="Z116" s="379">
        <v>3403005</v>
      </c>
      <c r="AA116" s="379" t="s">
        <v>2339</v>
      </c>
      <c r="AB116" s="380">
        <f t="shared" si="1"/>
        <v>0</v>
      </c>
    </row>
    <row r="117" spans="1:31" outlineLevel="2" x14ac:dyDescent="0.3">
      <c r="A117" s="379">
        <v>431</v>
      </c>
      <c r="B117" s="379">
        <v>723000</v>
      </c>
      <c r="C117" s="379" t="s">
        <v>1169</v>
      </c>
      <c r="D117" s="379">
        <v>5144926</v>
      </c>
      <c r="E117" s="379" t="s">
        <v>2521</v>
      </c>
      <c r="F117" s="379" t="s">
        <v>2522</v>
      </c>
      <c r="G117" s="383">
        <v>28976</v>
      </c>
      <c r="H117" s="379">
        <v>78055.960000000006</v>
      </c>
      <c r="I117" s="379">
        <v>3969.49</v>
      </c>
      <c r="J117" s="379">
        <v>7921.91</v>
      </c>
      <c r="K117" s="379">
        <v>5891.45</v>
      </c>
      <c r="L117" s="379"/>
      <c r="M117" s="379">
        <v>270.85000000000002</v>
      </c>
      <c r="N117" s="379"/>
      <c r="O117" s="379">
        <v>60431.16</v>
      </c>
      <c r="P117" s="379">
        <v>7286</v>
      </c>
      <c r="Q117" s="379">
        <v>1872.8</v>
      </c>
      <c r="R117" s="379"/>
      <c r="S117" s="379"/>
      <c r="T117" s="379">
        <v>7766</v>
      </c>
      <c r="U117" s="379">
        <v>700</v>
      </c>
      <c r="V117" s="380">
        <v>96109.66</v>
      </c>
      <c r="W117" s="381">
        <v>8</v>
      </c>
      <c r="X117" s="379"/>
      <c r="Y117" s="379"/>
      <c r="Z117" s="379">
        <v>9921001</v>
      </c>
      <c r="AA117" s="379" t="s">
        <v>2464</v>
      </c>
      <c r="AB117" s="380">
        <f t="shared" si="1"/>
        <v>0.66666666666666663</v>
      </c>
    </row>
    <row r="118" spans="1:31" outlineLevel="2" x14ac:dyDescent="0.3">
      <c r="A118" s="379">
        <v>431</v>
      </c>
      <c r="B118" s="379">
        <v>723000</v>
      </c>
      <c r="C118" s="379" t="s">
        <v>1169</v>
      </c>
      <c r="D118" s="379">
        <v>5569577</v>
      </c>
      <c r="E118" s="379" t="s">
        <v>2523</v>
      </c>
      <c r="F118" s="379" t="s">
        <v>2285</v>
      </c>
      <c r="G118" s="383">
        <v>35004</v>
      </c>
      <c r="H118" s="379">
        <v>101937.12</v>
      </c>
      <c r="I118" s="379">
        <v>4784.8599999999997</v>
      </c>
      <c r="J118" s="379">
        <v>9412.49</v>
      </c>
      <c r="K118" s="379">
        <v>7682.5</v>
      </c>
      <c r="L118" s="379"/>
      <c r="M118" s="379">
        <v>361.25</v>
      </c>
      <c r="N118" s="379"/>
      <c r="O118" s="379">
        <v>86091.36</v>
      </c>
      <c r="P118" s="379"/>
      <c r="Q118" s="379">
        <v>2809.2</v>
      </c>
      <c r="R118" s="379">
        <v>14.18</v>
      </c>
      <c r="S118" s="379"/>
      <c r="T118" s="379">
        <v>11972.38</v>
      </c>
      <c r="U118" s="379">
        <v>1050</v>
      </c>
      <c r="V118" s="380">
        <v>124178.22</v>
      </c>
      <c r="W118" s="381">
        <v>12</v>
      </c>
      <c r="X118" s="379"/>
      <c r="Y118" s="379"/>
      <c r="Z118" s="379">
        <v>5921001</v>
      </c>
      <c r="AA118" s="379" t="s">
        <v>2374</v>
      </c>
      <c r="AB118" s="380">
        <f t="shared" si="1"/>
        <v>1</v>
      </c>
    </row>
    <row r="119" spans="1:31" outlineLevel="2" x14ac:dyDescent="0.3">
      <c r="A119" s="379">
        <v>431</v>
      </c>
      <c r="B119" s="379">
        <v>723000</v>
      </c>
      <c r="C119" s="379" t="s">
        <v>1169</v>
      </c>
      <c r="D119" s="379">
        <v>5905570</v>
      </c>
      <c r="E119" s="379" t="s">
        <v>2524</v>
      </c>
      <c r="F119" s="379" t="s">
        <v>2525</v>
      </c>
      <c r="G119" s="383">
        <v>42795</v>
      </c>
      <c r="H119" s="379">
        <v>136309.17000000001</v>
      </c>
      <c r="I119" s="379">
        <v>7398.09</v>
      </c>
      <c r="J119" s="379">
        <v>21738.400000000001</v>
      </c>
      <c r="K119" s="379">
        <v>10260.35</v>
      </c>
      <c r="L119" s="379"/>
      <c r="M119" s="379">
        <v>409.2</v>
      </c>
      <c r="N119" s="379"/>
      <c r="O119" s="379">
        <v>77326.39</v>
      </c>
      <c r="P119" s="379">
        <v>21388</v>
      </c>
      <c r="Q119" s="379">
        <v>2371.1999999999998</v>
      </c>
      <c r="R119" s="379">
        <v>27457.58</v>
      </c>
      <c r="S119" s="379"/>
      <c r="T119" s="379">
        <v>7766</v>
      </c>
      <c r="U119" s="379"/>
      <c r="V119" s="380">
        <v>176115.21</v>
      </c>
      <c r="W119" s="381">
        <v>12</v>
      </c>
      <c r="X119" s="379"/>
      <c r="Y119" s="379"/>
      <c r="Z119" s="379">
        <v>1124015</v>
      </c>
      <c r="AA119" s="379" t="s">
        <v>2489</v>
      </c>
      <c r="AB119" s="380">
        <f t="shared" si="1"/>
        <v>1</v>
      </c>
    </row>
    <row r="120" spans="1:31" outlineLevel="2" x14ac:dyDescent="0.3">
      <c r="A120" s="379">
        <v>431</v>
      </c>
      <c r="B120" s="379">
        <v>723000</v>
      </c>
      <c r="C120" s="379" t="s">
        <v>1169</v>
      </c>
      <c r="D120" s="379">
        <v>6588449</v>
      </c>
      <c r="E120" s="379" t="s">
        <v>2519</v>
      </c>
      <c r="F120" s="379" t="s">
        <v>2285</v>
      </c>
      <c r="G120" s="383">
        <v>36678</v>
      </c>
      <c r="H120" s="379">
        <v>119535.05</v>
      </c>
      <c r="I120" s="379">
        <v>5605.76</v>
      </c>
      <c r="J120" s="379">
        <v>23104.400000000001</v>
      </c>
      <c r="K120" s="379">
        <v>9002.2999999999993</v>
      </c>
      <c r="L120" s="379"/>
      <c r="M120" s="379">
        <v>433.3</v>
      </c>
      <c r="N120" s="379"/>
      <c r="O120" s="379">
        <v>85893.64</v>
      </c>
      <c r="P120" s="379">
        <v>12076</v>
      </c>
      <c r="Q120" s="379">
        <v>2809.2</v>
      </c>
      <c r="R120" s="379">
        <v>6012.95</v>
      </c>
      <c r="S120" s="379"/>
      <c r="T120" s="379">
        <v>11693.26</v>
      </c>
      <c r="U120" s="379">
        <v>1050</v>
      </c>
      <c r="V120" s="380">
        <v>157680.81</v>
      </c>
      <c r="W120" s="381">
        <v>12</v>
      </c>
      <c r="X120" s="379"/>
      <c r="Y120" s="379"/>
      <c r="Z120" s="379">
        <v>9921001</v>
      </c>
      <c r="AA120" s="379" t="s">
        <v>2464</v>
      </c>
      <c r="AB120" s="380">
        <f t="shared" si="1"/>
        <v>1</v>
      </c>
    </row>
    <row r="121" spans="1:31" outlineLevel="2" x14ac:dyDescent="0.3">
      <c r="A121" s="379">
        <v>432</v>
      </c>
      <c r="B121" s="379">
        <v>723000</v>
      </c>
      <c r="C121" s="379"/>
      <c r="D121" s="379">
        <v>5144926</v>
      </c>
      <c r="E121" s="379" t="s">
        <v>2521</v>
      </c>
      <c r="F121" s="379" t="s">
        <v>2522</v>
      </c>
      <c r="G121" s="383">
        <v>28976</v>
      </c>
      <c r="H121" s="379">
        <v>3150.09</v>
      </c>
      <c r="I121" s="379">
        <v>227.99</v>
      </c>
      <c r="J121" s="379"/>
      <c r="K121" s="379">
        <v>236.25</v>
      </c>
      <c r="L121" s="379"/>
      <c r="M121" s="379"/>
      <c r="N121" s="379"/>
      <c r="O121" s="379"/>
      <c r="P121" s="379"/>
      <c r="Q121" s="379"/>
      <c r="R121" s="379"/>
      <c r="S121" s="379"/>
      <c r="T121" s="379">
        <v>3150.09</v>
      </c>
      <c r="U121" s="379"/>
      <c r="V121" s="380">
        <v>3614.33</v>
      </c>
      <c r="W121" s="381"/>
      <c r="X121" s="379"/>
      <c r="Y121" s="379"/>
      <c r="Z121" s="379">
        <v>9991001</v>
      </c>
      <c r="AA121" s="379" t="s">
        <v>2496</v>
      </c>
      <c r="AB121" s="380">
        <f t="shared" si="1"/>
        <v>0</v>
      </c>
    </row>
    <row r="122" spans="1:31" outlineLevel="1" x14ac:dyDescent="0.3">
      <c r="A122" s="379"/>
      <c r="B122" s="384" t="s">
        <v>2526</v>
      </c>
      <c r="C122" s="379"/>
      <c r="D122" s="379"/>
      <c r="E122" s="379"/>
      <c r="F122" s="379"/>
      <c r="G122" s="383"/>
      <c r="H122" s="379"/>
      <c r="I122" s="379"/>
      <c r="J122" s="379"/>
      <c r="K122" s="379"/>
      <c r="L122" s="379"/>
      <c r="M122" s="379"/>
      <c r="N122" s="379"/>
      <c r="O122" s="379"/>
      <c r="P122" s="379"/>
      <c r="Q122" s="379"/>
      <c r="R122" s="379"/>
      <c r="S122" s="379"/>
      <c r="T122" s="379"/>
      <c r="U122" s="379"/>
      <c r="V122" s="380">
        <f>SUBTOTAL(9,V115:V121)</f>
        <v>660564.43999999983</v>
      </c>
      <c r="W122" s="381">
        <f>SUBTOTAL(9,W115:W121)</f>
        <v>56</v>
      </c>
      <c r="X122" s="379"/>
      <c r="Y122" s="379"/>
      <c r="Z122" s="379"/>
      <c r="AA122" s="379"/>
      <c r="AB122" s="380">
        <f>SUBTOTAL(9,AB115:AB121)</f>
        <v>4.6666666666666661</v>
      </c>
    </row>
    <row r="123" spans="1:31" outlineLevel="2" x14ac:dyDescent="0.3">
      <c r="A123" s="379">
        <v>431</v>
      </c>
      <c r="B123" s="379">
        <v>723100</v>
      </c>
      <c r="C123" s="379" t="s">
        <v>1178</v>
      </c>
      <c r="D123" s="379">
        <v>2459026</v>
      </c>
      <c r="E123" s="379" t="s">
        <v>2303</v>
      </c>
      <c r="F123" s="379" t="s">
        <v>2527</v>
      </c>
      <c r="G123" s="383">
        <v>34029</v>
      </c>
      <c r="H123" s="379">
        <v>141950.81</v>
      </c>
      <c r="I123" s="379">
        <v>7825.84</v>
      </c>
      <c r="J123" s="379">
        <v>14738.86</v>
      </c>
      <c r="K123" s="379">
        <v>10683.5</v>
      </c>
      <c r="L123" s="379"/>
      <c r="M123" s="379">
        <v>525.54999999999995</v>
      </c>
      <c r="N123" s="379"/>
      <c r="O123" s="379">
        <v>84051.37</v>
      </c>
      <c r="P123" s="379">
        <v>11687.44</v>
      </c>
      <c r="Q123" s="379">
        <v>2809.2</v>
      </c>
      <c r="R123" s="379">
        <v>31187.99</v>
      </c>
      <c r="S123" s="379"/>
      <c r="T123" s="379">
        <v>12214.81</v>
      </c>
      <c r="U123" s="379"/>
      <c r="V123" s="380">
        <v>175724.56</v>
      </c>
      <c r="W123" s="381">
        <v>12</v>
      </c>
      <c r="X123" s="379"/>
      <c r="Y123" s="379"/>
      <c r="Z123" s="379">
        <v>3403005</v>
      </c>
      <c r="AA123" s="379" t="s">
        <v>2339</v>
      </c>
      <c r="AB123" s="380">
        <f t="shared" si="1"/>
        <v>1</v>
      </c>
    </row>
    <row r="124" spans="1:31" outlineLevel="2" x14ac:dyDescent="0.3">
      <c r="A124" s="379">
        <v>431</v>
      </c>
      <c r="B124" s="379">
        <v>723100</v>
      </c>
      <c r="C124" s="379" t="s">
        <v>1178</v>
      </c>
      <c r="D124" s="379">
        <v>5981631</v>
      </c>
      <c r="E124" s="379" t="s">
        <v>2462</v>
      </c>
      <c r="F124" s="379" t="s">
        <v>2528</v>
      </c>
      <c r="G124" s="383">
        <v>39692</v>
      </c>
      <c r="H124" s="379">
        <v>77857.240000000005</v>
      </c>
      <c r="I124" s="379">
        <v>3079.63</v>
      </c>
      <c r="J124" s="379">
        <v>16402.78</v>
      </c>
      <c r="K124" s="379">
        <v>5876.45</v>
      </c>
      <c r="L124" s="379"/>
      <c r="M124" s="379">
        <v>277.10000000000002</v>
      </c>
      <c r="N124" s="379"/>
      <c r="O124" s="379">
        <v>66040.570000000007</v>
      </c>
      <c r="P124" s="379">
        <v>3201.6</v>
      </c>
      <c r="Q124" s="379">
        <v>2750.88</v>
      </c>
      <c r="R124" s="379">
        <v>41.19</v>
      </c>
      <c r="S124" s="379"/>
      <c r="T124" s="379">
        <v>5823</v>
      </c>
      <c r="U124" s="379"/>
      <c r="V124" s="380">
        <v>103493.2</v>
      </c>
      <c r="W124" s="381">
        <v>10.8</v>
      </c>
      <c r="X124" s="379">
        <v>8</v>
      </c>
      <c r="Y124" s="379" t="s">
        <v>2383</v>
      </c>
      <c r="Z124" s="379">
        <v>3403005</v>
      </c>
      <c r="AA124" s="379" t="s">
        <v>2339</v>
      </c>
      <c r="AB124" s="380">
        <f t="shared" si="1"/>
        <v>0.9</v>
      </c>
    </row>
    <row r="125" spans="1:31" outlineLevel="1" x14ac:dyDescent="0.3">
      <c r="A125" s="379"/>
      <c r="B125" s="384" t="s">
        <v>2529</v>
      </c>
      <c r="C125" s="379"/>
      <c r="D125" s="379"/>
      <c r="E125" s="379"/>
      <c r="F125" s="379"/>
      <c r="G125" s="383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79"/>
      <c r="U125" s="379"/>
      <c r="V125" s="380">
        <f>SUBTOTAL(9,V123:V124)</f>
        <v>279217.76</v>
      </c>
      <c r="W125" s="381">
        <f>SUBTOTAL(9,W123:W124)</f>
        <v>22.8</v>
      </c>
      <c r="X125" s="379"/>
      <c r="Y125" s="379"/>
      <c r="Z125" s="379"/>
      <c r="AA125" s="379"/>
      <c r="AB125" s="380">
        <f>SUBTOTAL(9,AB123:AB124)</f>
        <v>1.9</v>
      </c>
    </row>
    <row r="126" spans="1:31" outlineLevel="2" x14ac:dyDescent="0.3">
      <c r="A126" s="379">
        <v>431</v>
      </c>
      <c r="B126" s="379">
        <v>726000</v>
      </c>
      <c r="C126" s="379" t="s">
        <v>1181</v>
      </c>
      <c r="D126" s="379">
        <v>2955240</v>
      </c>
      <c r="E126" s="379" t="s">
        <v>2530</v>
      </c>
      <c r="F126" s="379" t="s">
        <v>2531</v>
      </c>
      <c r="G126" s="383">
        <v>42614</v>
      </c>
      <c r="H126" s="379">
        <v>235819.35</v>
      </c>
      <c r="I126" s="379">
        <v>18053.87</v>
      </c>
      <c r="J126" s="379">
        <v>48136.27</v>
      </c>
      <c r="K126" s="379">
        <v>20775.05</v>
      </c>
      <c r="L126" s="379"/>
      <c r="M126" s="379">
        <v>884.8</v>
      </c>
      <c r="N126" s="379"/>
      <c r="O126" s="379">
        <v>221448.15</v>
      </c>
      <c r="P126" s="379"/>
      <c r="Q126" s="379">
        <v>1054</v>
      </c>
      <c r="R126" s="379"/>
      <c r="S126" s="379"/>
      <c r="T126" s="379">
        <v>6038</v>
      </c>
      <c r="U126" s="379">
        <v>7279.2</v>
      </c>
      <c r="V126" s="380">
        <v>323669.34000000003</v>
      </c>
      <c r="W126" s="381">
        <v>12</v>
      </c>
      <c r="X126" s="379"/>
      <c r="Y126" s="379"/>
      <c r="Z126" s="379">
        <v>1125017</v>
      </c>
      <c r="AA126" s="379" t="s">
        <v>2395</v>
      </c>
      <c r="AB126" s="380">
        <f t="shared" si="1"/>
        <v>1</v>
      </c>
    </row>
    <row r="127" spans="1:31" outlineLevel="2" x14ac:dyDescent="0.3">
      <c r="A127" s="379">
        <v>431</v>
      </c>
      <c r="B127" s="379">
        <v>726000</v>
      </c>
      <c r="C127" s="379" t="s">
        <v>1181</v>
      </c>
      <c r="D127" s="379">
        <v>6816892</v>
      </c>
      <c r="E127" s="379" t="s">
        <v>2287</v>
      </c>
      <c r="F127" s="379" t="s">
        <v>2288</v>
      </c>
      <c r="G127" s="383">
        <v>32021</v>
      </c>
      <c r="H127" s="379">
        <v>106889.63</v>
      </c>
      <c r="I127" s="379">
        <v>5374.42</v>
      </c>
      <c r="J127" s="379">
        <v>9294.33</v>
      </c>
      <c r="K127" s="379">
        <v>8053.9</v>
      </c>
      <c r="L127" s="379"/>
      <c r="M127" s="379">
        <v>346.75</v>
      </c>
      <c r="N127" s="379"/>
      <c r="O127" s="379">
        <v>81991.149999999994</v>
      </c>
      <c r="P127" s="379"/>
      <c r="Q127" s="379">
        <v>1830.1</v>
      </c>
      <c r="R127" s="379">
        <v>10608.96</v>
      </c>
      <c r="S127" s="379"/>
      <c r="T127" s="379">
        <v>12459.42</v>
      </c>
      <c r="U127" s="379"/>
      <c r="V127" s="380">
        <v>129959.03</v>
      </c>
      <c r="W127" s="381">
        <v>11</v>
      </c>
      <c r="X127" s="379">
        <v>74</v>
      </c>
      <c r="Y127" s="379" t="s">
        <v>2289</v>
      </c>
      <c r="Z127" s="379">
        <v>3202004</v>
      </c>
      <c r="AA127" s="379" t="s">
        <v>2532</v>
      </c>
      <c r="AB127" s="380">
        <f t="shared" si="1"/>
        <v>0.91666666666666663</v>
      </c>
    </row>
    <row r="128" spans="1:31" outlineLevel="1" x14ac:dyDescent="0.3">
      <c r="A128" s="379"/>
      <c r="B128" s="384" t="s">
        <v>2533</v>
      </c>
      <c r="C128" s="379"/>
      <c r="D128" s="379"/>
      <c r="E128" s="379"/>
      <c r="F128" s="379"/>
      <c r="G128" s="383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80">
        <f>SUBTOTAL(9,V126:V127)</f>
        <v>453628.37</v>
      </c>
      <c r="W128" s="381">
        <f>SUBTOTAL(9,W126:W127)</f>
        <v>23</v>
      </c>
      <c r="X128" s="379"/>
      <c r="Y128" s="379"/>
      <c r="Z128" s="379"/>
      <c r="AA128" s="379"/>
      <c r="AB128" s="380">
        <f>SUBTOTAL(9,AB126:AB127)</f>
        <v>1.9166666666666665</v>
      </c>
      <c r="AC128" s="385">
        <f>V128+V125+V122+V114</f>
        <v>1692025.9899999998</v>
      </c>
      <c r="AD128" s="385">
        <f>W128+W125+W122+W114</f>
        <v>119.8</v>
      </c>
      <c r="AE128" s="385">
        <f>AB128+AB125+AB122+AB114</f>
        <v>9.9833333333333325</v>
      </c>
    </row>
    <row r="129" spans="1:28" outlineLevel="2" x14ac:dyDescent="0.3">
      <c r="A129" s="379">
        <v>431</v>
      </c>
      <c r="B129" s="379">
        <v>731000</v>
      </c>
      <c r="C129" s="379" t="s">
        <v>1185</v>
      </c>
      <c r="D129" s="379">
        <v>2391710</v>
      </c>
      <c r="E129" s="379" t="s">
        <v>2534</v>
      </c>
      <c r="F129" s="379" t="s">
        <v>2322</v>
      </c>
      <c r="G129" s="383">
        <v>33208</v>
      </c>
      <c r="H129" s="379">
        <v>113922.21</v>
      </c>
      <c r="I129" s="379">
        <v>5694.18</v>
      </c>
      <c r="J129" s="379">
        <v>10540.86</v>
      </c>
      <c r="K129" s="379">
        <v>8581.35</v>
      </c>
      <c r="L129" s="379"/>
      <c r="M129" s="379">
        <v>413.05</v>
      </c>
      <c r="N129" s="379"/>
      <c r="O129" s="379">
        <v>87394.22</v>
      </c>
      <c r="P129" s="379">
        <v>11358</v>
      </c>
      <c r="Q129" s="379">
        <v>2809.2</v>
      </c>
      <c r="R129" s="379"/>
      <c r="S129" s="379"/>
      <c r="T129" s="379">
        <v>12285.79</v>
      </c>
      <c r="U129" s="379">
        <v>75</v>
      </c>
      <c r="V129" s="380">
        <v>139151.65</v>
      </c>
      <c r="W129" s="381">
        <v>12</v>
      </c>
      <c r="X129" s="379"/>
      <c r="Y129" s="379"/>
      <c r="Z129" s="379">
        <v>3202002</v>
      </c>
      <c r="AA129" s="379" t="s">
        <v>2290</v>
      </c>
      <c r="AB129" s="380">
        <f t="shared" si="1"/>
        <v>1</v>
      </c>
    </row>
    <row r="130" spans="1:28" outlineLevel="2" x14ac:dyDescent="0.3">
      <c r="A130" s="379">
        <v>431</v>
      </c>
      <c r="B130" s="379">
        <v>731000</v>
      </c>
      <c r="C130" s="379" t="s">
        <v>1185</v>
      </c>
      <c r="D130" s="379">
        <v>2553711</v>
      </c>
      <c r="E130" s="379" t="s">
        <v>2535</v>
      </c>
      <c r="F130" s="379" t="s">
        <v>2536</v>
      </c>
      <c r="G130" s="383">
        <v>41883</v>
      </c>
      <c r="H130" s="379">
        <v>40463</v>
      </c>
      <c r="I130" s="379"/>
      <c r="J130" s="379"/>
      <c r="K130" s="379">
        <v>3034.75</v>
      </c>
      <c r="L130" s="379"/>
      <c r="M130" s="379"/>
      <c r="N130" s="379"/>
      <c r="O130" s="379">
        <v>40463</v>
      </c>
      <c r="P130" s="379"/>
      <c r="Q130" s="379"/>
      <c r="R130" s="379"/>
      <c r="S130" s="379"/>
      <c r="T130" s="379"/>
      <c r="U130" s="379"/>
      <c r="V130" s="380">
        <v>43497.75</v>
      </c>
      <c r="W130" s="381"/>
      <c r="X130" s="379"/>
      <c r="Y130" s="379"/>
      <c r="Z130" s="379">
        <v>241001</v>
      </c>
      <c r="AA130" s="379" t="s">
        <v>2537</v>
      </c>
      <c r="AB130" s="380">
        <f t="shared" si="1"/>
        <v>0</v>
      </c>
    </row>
    <row r="131" spans="1:28" outlineLevel="2" x14ac:dyDescent="0.3">
      <c r="A131" s="379">
        <v>431</v>
      </c>
      <c r="B131" s="379">
        <v>731000</v>
      </c>
      <c r="C131" s="379" t="s">
        <v>1185</v>
      </c>
      <c r="D131" s="379">
        <v>2704002</v>
      </c>
      <c r="E131" s="379" t="s">
        <v>2538</v>
      </c>
      <c r="F131" s="379" t="s">
        <v>2285</v>
      </c>
      <c r="G131" s="383">
        <v>31686</v>
      </c>
      <c r="H131" s="379">
        <v>193024.83</v>
      </c>
      <c r="I131" s="379">
        <v>11769.55</v>
      </c>
      <c r="J131" s="379">
        <v>16229.16</v>
      </c>
      <c r="K131" s="379">
        <v>14579.35</v>
      </c>
      <c r="L131" s="379"/>
      <c r="M131" s="379">
        <v>548.85</v>
      </c>
      <c r="N131" s="379"/>
      <c r="O131" s="379">
        <v>117550.41</v>
      </c>
      <c r="P131" s="379">
        <v>28794.5</v>
      </c>
      <c r="Q131" s="379">
        <v>2809.2</v>
      </c>
      <c r="R131" s="379">
        <v>30524.13</v>
      </c>
      <c r="S131" s="379"/>
      <c r="T131" s="379">
        <v>13035.99</v>
      </c>
      <c r="U131" s="379">
        <v>310.60000000000002</v>
      </c>
      <c r="V131" s="380">
        <v>236151.74</v>
      </c>
      <c r="W131" s="381">
        <v>12</v>
      </c>
      <c r="X131" s="379"/>
      <c r="Y131" s="379"/>
      <c r="Z131" s="379">
        <v>1751002</v>
      </c>
      <c r="AA131" s="379" t="s">
        <v>2539</v>
      </c>
      <c r="AB131" s="380">
        <f t="shared" si="1"/>
        <v>1</v>
      </c>
    </row>
    <row r="132" spans="1:28" outlineLevel="2" x14ac:dyDescent="0.3">
      <c r="A132" s="379">
        <v>431</v>
      </c>
      <c r="B132" s="379">
        <v>731000</v>
      </c>
      <c r="C132" s="379" t="s">
        <v>1185</v>
      </c>
      <c r="D132" s="379">
        <v>3467130</v>
      </c>
      <c r="E132" s="379" t="s">
        <v>2540</v>
      </c>
      <c r="F132" s="379" t="s">
        <v>2541</v>
      </c>
      <c r="G132" s="383">
        <v>43739</v>
      </c>
      <c r="H132" s="379">
        <v>10080.6</v>
      </c>
      <c r="I132" s="379">
        <v>433.07</v>
      </c>
      <c r="J132" s="379">
        <v>1001.35</v>
      </c>
      <c r="K132" s="379">
        <v>756.05</v>
      </c>
      <c r="L132" s="379"/>
      <c r="M132" s="379">
        <v>36.299999999999997</v>
      </c>
      <c r="N132" s="379"/>
      <c r="O132" s="379">
        <v>9080.75</v>
      </c>
      <c r="P132" s="379"/>
      <c r="Q132" s="379">
        <v>301.57</v>
      </c>
      <c r="R132" s="379"/>
      <c r="S132" s="379"/>
      <c r="T132" s="379"/>
      <c r="U132" s="379">
        <v>698.28</v>
      </c>
      <c r="V132" s="380">
        <v>12307.37</v>
      </c>
      <c r="W132" s="381">
        <v>1.3220000000000001</v>
      </c>
      <c r="X132" s="379"/>
      <c r="Y132" s="379"/>
      <c r="Z132" s="379">
        <v>1714001</v>
      </c>
      <c r="AA132" s="379" t="s">
        <v>2542</v>
      </c>
      <c r="AB132" s="380">
        <f t="shared" si="1"/>
        <v>0.11016666666666668</v>
      </c>
    </row>
    <row r="133" spans="1:28" outlineLevel="2" x14ac:dyDescent="0.3">
      <c r="A133" s="379">
        <v>431</v>
      </c>
      <c r="B133" s="379">
        <v>731000</v>
      </c>
      <c r="C133" s="379" t="s">
        <v>1185</v>
      </c>
      <c r="D133" s="379">
        <v>3580862</v>
      </c>
      <c r="E133" s="379" t="s">
        <v>2543</v>
      </c>
      <c r="F133" s="379" t="s">
        <v>2544</v>
      </c>
      <c r="G133" s="383">
        <v>43160</v>
      </c>
      <c r="H133" s="379">
        <v>311128.21999999997</v>
      </c>
      <c r="I133" s="379">
        <v>24181.79</v>
      </c>
      <c r="J133" s="379">
        <v>70013.899999999994</v>
      </c>
      <c r="K133" s="379">
        <v>26821.95</v>
      </c>
      <c r="L133" s="379"/>
      <c r="M133" s="379">
        <v>1179.8499999999999</v>
      </c>
      <c r="N133" s="379"/>
      <c r="O133" s="379">
        <v>294917.34999999998</v>
      </c>
      <c r="P133" s="379"/>
      <c r="Q133" s="379">
        <v>1536</v>
      </c>
      <c r="R133" s="379"/>
      <c r="S133" s="379"/>
      <c r="T133" s="379">
        <v>4969.2700000000004</v>
      </c>
      <c r="U133" s="379">
        <v>9705.6</v>
      </c>
      <c r="V133" s="380">
        <v>433325.71</v>
      </c>
      <c r="W133" s="381">
        <v>12</v>
      </c>
      <c r="X133" s="379"/>
      <c r="Y133" s="379"/>
      <c r="Z133" s="379">
        <v>211001</v>
      </c>
      <c r="AA133" s="379" t="s">
        <v>2545</v>
      </c>
      <c r="AB133" s="380">
        <f t="shared" si="1"/>
        <v>1</v>
      </c>
    </row>
    <row r="134" spans="1:28" outlineLevel="2" x14ac:dyDescent="0.3">
      <c r="A134" s="379">
        <v>431</v>
      </c>
      <c r="B134" s="379">
        <v>731000</v>
      </c>
      <c r="C134" s="379" t="s">
        <v>1185</v>
      </c>
      <c r="D134" s="379">
        <v>5865809</v>
      </c>
      <c r="E134" s="379" t="s">
        <v>2546</v>
      </c>
      <c r="F134" s="379" t="s">
        <v>2547</v>
      </c>
      <c r="G134" s="383">
        <v>33451</v>
      </c>
      <c r="H134" s="379">
        <v>122853.2</v>
      </c>
      <c r="I134" s="379">
        <v>6372.92</v>
      </c>
      <c r="J134" s="379">
        <v>12126.32</v>
      </c>
      <c r="K134" s="379">
        <v>9251.25</v>
      </c>
      <c r="L134" s="379"/>
      <c r="M134" s="379">
        <v>448.8</v>
      </c>
      <c r="N134" s="379"/>
      <c r="O134" s="379">
        <v>87186.74</v>
      </c>
      <c r="P134" s="379">
        <v>20511.759999999998</v>
      </c>
      <c r="Q134" s="379">
        <v>2809.2</v>
      </c>
      <c r="R134" s="379"/>
      <c r="S134" s="379"/>
      <c r="T134" s="379">
        <v>12270.5</v>
      </c>
      <c r="U134" s="379">
        <v>75</v>
      </c>
      <c r="V134" s="380">
        <v>151052.49</v>
      </c>
      <c r="W134" s="381">
        <v>12</v>
      </c>
      <c r="X134" s="379">
        <v>64</v>
      </c>
      <c r="Y134" s="379" t="s">
        <v>2311</v>
      </c>
      <c r="Z134" s="379">
        <v>3202002</v>
      </c>
      <c r="AA134" s="379" t="s">
        <v>2290</v>
      </c>
      <c r="AB134" s="380">
        <f t="shared" si="1"/>
        <v>1</v>
      </c>
    </row>
    <row r="135" spans="1:28" outlineLevel="2" x14ac:dyDescent="0.3">
      <c r="A135" s="379">
        <v>431</v>
      </c>
      <c r="B135" s="379">
        <v>731000</v>
      </c>
      <c r="C135" s="379" t="s">
        <v>1185</v>
      </c>
      <c r="D135" s="379">
        <v>6841457</v>
      </c>
      <c r="E135" s="379" t="s">
        <v>2548</v>
      </c>
      <c r="F135" s="379" t="s">
        <v>2549</v>
      </c>
      <c r="G135" s="383">
        <v>36251</v>
      </c>
      <c r="H135" s="379">
        <v>145740.24</v>
      </c>
      <c r="I135" s="379">
        <v>8078.15</v>
      </c>
      <c r="J135" s="379">
        <v>14456.67</v>
      </c>
      <c r="K135" s="379">
        <v>10938.55</v>
      </c>
      <c r="L135" s="379"/>
      <c r="M135" s="379">
        <v>423.15</v>
      </c>
      <c r="N135" s="379"/>
      <c r="O135" s="379">
        <v>101780.7</v>
      </c>
      <c r="P135" s="379">
        <v>4023.24</v>
      </c>
      <c r="Q135" s="379">
        <v>2809.2</v>
      </c>
      <c r="R135" s="379">
        <v>29718.1</v>
      </c>
      <c r="S135" s="379"/>
      <c r="T135" s="379">
        <v>7334</v>
      </c>
      <c r="U135" s="379">
        <v>75</v>
      </c>
      <c r="V135" s="380">
        <v>179636.76</v>
      </c>
      <c r="W135" s="381">
        <v>12</v>
      </c>
      <c r="X135" s="379"/>
      <c r="Y135" s="379"/>
      <c r="Z135" s="379">
        <v>1711001</v>
      </c>
      <c r="AA135" s="379" t="s">
        <v>2550</v>
      </c>
      <c r="AB135" s="380">
        <f t="shared" si="1"/>
        <v>1</v>
      </c>
    </row>
    <row r="136" spans="1:28" outlineLevel="2" x14ac:dyDescent="0.3">
      <c r="A136" s="379">
        <v>431</v>
      </c>
      <c r="B136" s="379">
        <v>731000</v>
      </c>
      <c r="C136" s="379" t="s">
        <v>1185</v>
      </c>
      <c r="D136" s="379">
        <v>20158631</v>
      </c>
      <c r="E136" s="379" t="s">
        <v>2551</v>
      </c>
      <c r="F136" s="379" t="s">
        <v>2552</v>
      </c>
      <c r="G136" s="383">
        <v>43739</v>
      </c>
      <c r="H136" s="379">
        <v>9725.2199999999993</v>
      </c>
      <c r="I136" s="379">
        <v>412.88</v>
      </c>
      <c r="J136" s="379">
        <v>1049.3399999999999</v>
      </c>
      <c r="K136" s="379">
        <v>729.4</v>
      </c>
      <c r="L136" s="379"/>
      <c r="M136" s="379">
        <v>37.65</v>
      </c>
      <c r="N136" s="379"/>
      <c r="O136" s="379">
        <v>9423.65</v>
      </c>
      <c r="P136" s="379"/>
      <c r="Q136" s="379">
        <v>301.57</v>
      </c>
      <c r="R136" s="379"/>
      <c r="S136" s="379"/>
      <c r="T136" s="379"/>
      <c r="U136" s="379"/>
      <c r="V136" s="380">
        <v>11954.49</v>
      </c>
      <c r="W136" s="381">
        <v>1.3220000000000001</v>
      </c>
      <c r="X136" s="379"/>
      <c r="Y136" s="379"/>
      <c r="Z136" s="379">
        <v>1714001</v>
      </c>
      <c r="AA136" s="379" t="s">
        <v>2542</v>
      </c>
      <c r="AB136" s="380">
        <f t="shared" si="1"/>
        <v>0.11016666666666668</v>
      </c>
    </row>
    <row r="137" spans="1:28" outlineLevel="2" x14ac:dyDescent="0.3">
      <c r="A137" s="379">
        <v>431</v>
      </c>
      <c r="B137" s="379">
        <v>731000</v>
      </c>
      <c r="C137" s="379" t="s">
        <v>1185</v>
      </c>
      <c r="D137" s="379">
        <v>30586211</v>
      </c>
      <c r="E137" s="379" t="s">
        <v>2553</v>
      </c>
      <c r="F137" s="379" t="s">
        <v>2554</v>
      </c>
      <c r="G137" s="383">
        <v>33270</v>
      </c>
      <c r="H137" s="379">
        <v>213099.76</v>
      </c>
      <c r="I137" s="379">
        <v>14813.02</v>
      </c>
      <c r="J137" s="379">
        <v>24653.65</v>
      </c>
      <c r="K137" s="379">
        <v>18948.05</v>
      </c>
      <c r="L137" s="379"/>
      <c r="M137" s="379">
        <v>790.55</v>
      </c>
      <c r="N137" s="379"/>
      <c r="O137" s="379">
        <v>141977.97</v>
      </c>
      <c r="P137" s="379">
        <v>53065.760000000002</v>
      </c>
      <c r="Q137" s="379">
        <v>1021.2</v>
      </c>
      <c r="R137" s="379"/>
      <c r="S137" s="379"/>
      <c r="T137" s="379">
        <v>14740.63</v>
      </c>
      <c r="U137" s="379">
        <v>2294.1999999999998</v>
      </c>
      <c r="V137" s="380">
        <v>272305.03000000003</v>
      </c>
      <c r="W137" s="381">
        <v>12</v>
      </c>
      <c r="X137" s="379"/>
      <c r="Y137" s="379"/>
      <c r="Z137" s="379">
        <v>221001</v>
      </c>
      <c r="AA137" s="379" t="s">
        <v>2555</v>
      </c>
      <c r="AB137" s="380">
        <f t="shared" si="1"/>
        <v>1</v>
      </c>
    </row>
    <row r="138" spans="1:28" outlineLevel="2" x14ac:dyDescent="0.3">
      <c r="A138" s="379">
        <v>431</v>
      </c>
      <c r="B138" s="379">
        <v>731000</v>
      </c>
      <c r="C138" s="379" t="s">
        <v>1185</v>
      </c>
      <c r="D138" s="379">
        <v>30765737</v>
      </c>
      <c r="E138" s="379" t="s">
        <v>2556</v>
      </c>
      <c r="F138" s="379" t="s">
        <v>2557</v>
      </c>
      <c r="G138" s="383">
        <v>42675</v>
      </c>
      <c r="H138" s="379">
        <v>62142.86</v>
      </c>
      <c r="I138" s="379">
        <v>3452.62</v>
      </c>
      <c r="J138" s="379">
        <v>16522.78</v>
      </c>
      <c r="K138" s="379">
        <v>4757.3999999999996</v>
      </c>
      <c r="L138" s="379"/>
      <c r="M138" s="379">
        <v>162.05000000000001</v>
      </c>
      <c r="N138" s="379"/>
      <c r="O138" s="379">
        <v>39942.89</v>
      </c>
      <c r="P138" s="379">
        <v>566.87</v>
      </c>
      <c r="Q138" s="379">
        <v>2819.16</v>
      </c>
      <c r="R138" s="379">
        <v>10464.4</v>
      </c>
      <c r="S138" s="379"/>
      <c r="T138" s="379">
        <v>6470</v>
      </c>
      <c r="U138" s="379">
        <v>1879.54</v>
      </c>
      <c r="V138" s="380">
        <v>87037.71</v>
      </c>
      <c r="W138" s="381">
        <v>4.29</v>
      </c>
      <c r="X138" s="379"/>
      <c r="Y138" s="379"/>
      <c r="Z138" s="379">
        <v>1003</v>
      </c>
      <c r="AA138" s="379" t="s">
        <v>2558</v>
      </c>
      <c r="AB138" s="380">
        <f t="shared" si="1"/>
        <v>0.35749999999999998</v>
      </c>
    </row>
    <row r="139" spans="1:28" outlineLevel="1" x14ac:dyDescent="0.3">
      <c r="A139" s="379"/>
      <c r="B139" s="384" t="s">
        <v>2559</v>
      </c>
      <c r="C139" s="379"/>
      <c r="D139" s="379"/>
      <c r="E139" s="379"/>
      <c r="F139" s="379"/>
      <c r="G139" s="383"/>
      <c r="H139" s="379"/>
      <c r="I139" s="379"/>
      <c r="J139" s="379"/>
      <c r="K139" s="379"/>
      <c r="L139" s="379"/>
      <c r="M139" s="379"/>
      <c r="N139" s="379"/>
      <c r="O139" s="379"/>
      <c r="P139" s="379"/>
      <c r="Q139" s="379"/>
      <c r="R139" s="379"/>
      <c r="S139" s="379"/>
      <c r="T139" s="379"/>
      <c r="U139" s="379"/>
      <c r="V139" s="380">
        <f>SUBTOTAL(9,V129:V138)</f>
        <v>1566420.7</v>
      </c>
      <c r="W139" s="381">
        <f>SUBTOTAL(9,W129:W138)</f>
        <v>78.934000000000012</v>
      </c>
      <c r="X139" s="379"/>
      <c r="Y139" s="379"/>
      <c r="Z139" s="379"/>
      <c r="AA139" s="379"/>
      <c r="AB139" s="380">
        <f>SUBTOTAL(9,AB129:AB138)</f>
        <v>6.5778333333333325</v>
      </c>
    </row>
    <row r="140" spans="1:28" outlineLevel="2" x14ac:dyDescent="0.3">
      <c r="A140" s="379">
        <v>431</v>
      </c>
      <c r="B140" s="379">
        <v>733000</v>
      </c>
      <c r="C140" s="379" t="s">
        <v>1190</v>
      </c>
      <c r="D140" s="379">
        <v>2733580</v>
      </c>
      <c r="E140" s="379" t="s">
        <v>2560</v>
      </c>
      <c r="F140" s="379" t="s">
        <v>2561</v>
      </c>
      <c r="G140" s="383">
        <v>37591</v>
      </c>
      <c r="H140" s="379">
        <v>166249.21</v>
      </c>
      <c r="I140" s="379">
        <v>9712.02</v>
      </c>
      <c r="J140" s="379">
        <v>29179.81</v>
      </c>
      <c r="K140" s="379">
        <v>12544.05</v>
      </c>
      <c r="L140" s="379"/>
      <c r="M140" s="379">
        <v>508.35</v>
      </c>
      <c r="N140" s="379"/>
      <c r="O140" s="379">
        <v>104765.93</v>
      </c>
      <c r="P140" s="379">
        <v>16200</v>
      </c>
      <c r="Q140" s="379">
        <v>2809.2</v>
      </c>
      <c r="R140" s="379">
        <v>34480.629999999997</v>
      </c>
      <c r="S140" s="379"/>
      <c r="T140" s="379">
        <v>6902</v>
      </c>
      <c r="U140" s="379">
        <v>1091.45</v>
      </c>
      <c r="V140" s="380">
        <v>218193.44</v>
      </c>
      <c r="W140" s="381">
        <v>12</v>
      </c>
      <c r="X140" s="379"/>
      <c r="Y140" s="379"/>
      <c r="Z140" s="379">
        <v>1711001</v>
      </c>
      <c r="AA140" s="379" t="s">
        <v>2550</v>
      </c>
      <c r="AB140" s="380">
        <f t="shared" si="1"/>
        <v>1</v>
      </c>
    </row>
    <row r="141" spans="1:28" outlineLevel="2" x14ac:dyDescent="0.3">
      <c r="A141" s="379">
        <v>431</v>
      </c>
      <c r="B141" s="379">
        <v>733000</v>
      </c>
      <c r="C141" s="379" t="s">
        <v>1190</v>
      </c>
      <c r="D141" s="379">
        <v>3467130</v>
      </c>
      <c r="E141" s="379" t="s">
        <v>2540</v>
      </c>
      <c r="F141" s="379" t="s">
        <v>2541</v>
      </c>
      <c r="G141" s="383">
        <v>43739</v>
      </c>
      <c r="H141" s="379">
        <v>8457.4699999999993</v>
      </c>
      <c r="I141" s="379">
        <v>393.12</v>
      </c>
      <c r="J141" s="379">
        <v>2066.87</v>
      </c>
      <c r="K141" s="379">
        <v>634.29999999999995</v>
      </c>
      <c r="L141" s="379"/>
      <c r="M141" s="379">
        <v>30.8</v>
      </c>
      <c r="N141" s="379"/>
      <c r="O141" s="379">
        <v>7701.44</v>
      </c>
      <c r="P141" s="379"/>
      <c r="Q141" s="379">
        <v>228.03</v>
      </c>
      <c r="R141" s="379"/>
      <c r="S141" s="379"/>
      <c r="T141" s="379"/>
      <c r="U141" s="379">
        <v>528</v>
      </c>
      <c r="V141" s="380">
        <v>11582.56</v>
      </c>
      <c r="W141" s="381">
        <v>1</v>
      </c>
      <c r="X141" s="379"/>
      <c r="Y141" s="379"/>
      <c r="Z141" s="379">
        <v>1714001</v>
      </c>
      <c r="AA141" s="379" t="s">
        <v>2542</v>
      </c>
      <c r="AB141" s="380">
        <f t="shared" si="1"/>
        <v>8.3333333333333329E-2</v>
      </c>
    </row>
    <row r="142" spans="1:28" outlineLevel="2" x14ac:dyDescent="0.3">
      <c r="A142" s="379">
        <v>431</v>
      </c>
      <c r="B142" s="379">
        <v>733000</v>
      </c>
      <c r="C142" s="379" t="s">
        <v>1190</v>
      </c>
      <c r="D142" s="379">
        <v>3467598</v>
      </c>
      <c r="E142" s="379" t="s">
        <v>2562</v>
      </c>
      <c r="F142" s="379" t="s">
        <v>2563</v>
      </c>
      <c r="G142" s="383">
        <v>42644</v>
      </c>
      <c r="H142" s="379">
        <v>140173.51999999999</v>
      </c>
      <c r="I142" s="379">
        <v>7638.51</v>
      </c>
      <c r="J142" s="379">
        <v>25245.19</v>
      </c>
      <c r="K142" s="379">
        <v>10521</v>
      </c>
      <c r="L142" s="379"/>
      <c r="M142" s="379">
        <v>433.9</v>
      </c>
      <c r="N142" s="379"/>
      <c r="O142" s="379">
        <v>93557.66</v>
      </c>
      <c r="P142" s="379">
        <v>13403.54</v>
      </c>
      <c r="Q142" s="379">
        <v>2809.2</v>
      </c>
      <c r="R142" s="379">
        <v>20327.310000000001</v>
      </c>
      <c r="S142" s="379"/>
      <c r="T142" s="379">
        <v>6007.81</v>
      </c>
      <c r="U142" s="379">
        <v>4068</v>
      </c>
      <c r="V142" s="380">
        <v>184012.12</v>
      </c>
      <c r="W142" s="381">
        <v>12</v>
      </c>
      <c r="X142" s="379"/>
      <c r="Y142" s="379"/>
      <c r="Z142" s="379">
        <v>1711001</v>
      </c>
      <c r="AA142" s="379" t="s">
        <v>2550</v>
      </c>
      <c r="AB142" s="380">
        <f t="shared" si="1"/>
        <v>1</v>
      </c>
    </row>
    <row r="143" spans="1:28" outlineLevel="2" x14ac:dyDescent="0.3">
      <c r="A143" s="379">
        <v>431</v>
      </c>
      <c r="B143" s="379">
        <v>733000</v>
      </c>
      <c r="C143" s="379" t="s">
        <v>1190</v>
      </c>
      <c r="D143" s="379">
        <v>3634364</v>
      </c>
      <c r="E143" s="379" t="s">
        <v>2462</v>
      </c>
      <c r="F143" s="379" t="s">
        <v>2463</v>
      </c>
      <c r="G143" s="383">
        <v>41760</v>
      </c>
      <c r="H143" s="379">
        <v>62114.5</v>
      </c>
      <c r="I143" s="379">
        <v>4081.13</v>
      </c>
      <c r="J143" s="379">
        <v>12653.79</v>
      </c>
      <c r="K143" s="379">
        <v>5506.5</v>
      </c>
      <c r="L143" s="379"/>
      <c r="M143" s="379">
        <v>237.6</v>
      </c>
      <c r="N143" s="379"/>
      <c r="O143" s="379">
        <v>47413.42</v>
      </c>
      <c r="P143" s="379">
        <v>10800</v>
      </c>
      <c r="Q143" s="379">
        <v>775.1</v>
      </c>
      <c r="R143" s="379">
        <v>1181.98</v>
      </c>
      <c r="S143" s="379"/>
      <c r="T143" s="379">
        <v>1944</v>
      </c>
      <c r="U143" s="379"/>
      <c r="V143" s="380">
        <v>84593.52</v>
      </c>
      <c r="W143" s="381">
        <v>6</v>
      </c>
      <c r="X143" s="379"/>
      <c r="Y143" s="379"/>
      <c r="Z143" s="379">
        <v>1714001</v>
      </c>
      <c r="AA143" s="379" t="s">
        <v>2542</v>
      </c>
      <c r="AB143" s="380">
        <f t="shared" si="1"/>
        <v>0.5</v>
      </c>
    </row>
    <row r="144" spans="1:28" outlineLevel="2" x14ac:dyDescent="0.3">
      <c r="A144" s="379">
        <v>431</v>
      </c>
      <c r="B144" s="379">
        <v>733000</v>
      </c>
      <c r="C144" s="379" t="s">
        <v>1190</v>
      </c>
      <c r="D144" s="379">
        <v>5286084</v>
      </c>
      <c r="E144" s="379" t="s">
        <v>2564</v>
      </c>
      <c r="F144" s="379" t="s">
        <v>2565</v>
      </c>
      <c r="G144" s="383">
        <v>40544</v>
      </c>
      <c r="H144" s="379">
        <v>103193.49</v>
      </c>
      <c r="I144" s="379">
        <v>5346.63</v>
      </c>
      <c r="J144" s="379">
        <v>24035.75</v>
      </c>
      <c r="K144" s="379">
        <v>7839.45</v>
      </c>
      <c r="L144" s="379"/>
      <c r="M144" s="379">
        <v>324.14999999999998</v>
      </c>
      <c r="N144" s="379"/>
      <c r="O144" s="379">
        <v>67734.86</v>
      </c>
      <c r="P144" s="379">
        <v>13160</v>
      </c>
      <c r="Q144" s="379">
        <v>1996.35</v>
      </c>
      <c r="R144" s="379">
        <v>11552.28</v>
      </c>
      <c r="S144" s="379"/>
      <c r="T144" s="379">
        <v>6470</v>
      </c>
      <c r="U144" s="379">
        <v>2280</v>
      </c>
      <c r="V144" s="380">
        <v>140739.47</v>
      </c>
      <c r="W144" s="381">
        <v>8.5269999999999992</v>
      </c>
      <c r="X144" s="379"/>
      <c r="Y144" s="379"/>
      <c r="Z144" s="379">
        <v>213001</v>
      </c>
      <c r="AA144" s="379" t="s">
        <v>2566</v>
      </c>
      <c r="AB144" s="380">
        <f t="shared" si="1"/>
        <v>0.71058333333333323</v>
      </c>
    </row>
    <row r="145" spans="1:31" outlineLevel="2" x14ac:dyDescent="0.3">
      <c r="A145" s="379">
        <v>431</v>
      </c>
      <c r="B145" s="379">
        <v>733000</v>
      </c>
      <c r="C145" s="379" t="s">
        <v>1190</v>
      </c>
      <c r="D145" s="379">
        <v>20158631</v>
      </c>
      <c r="E145" s="379" t="s">
        <v>2551</v>
      </c>
      <c r="F145" s="379" t="s">
        <v>2552</v>
      </c>
      <c r="G145" s="383">
        <v>43739</v>
      </c>
      <c r="H145" s="379">
        <v>7453.34</v>
      </c>
      <c r="I145" s="379">
        <v>316.81</v>
      </c>
      <c r="J145" s="379">
        <v>741.57</v>
      </c>
      <c r="K145" s="379">
        <v>559</v>
      </c>
      <c r="L145" s="379"/>
      <c r="M145" s="379">
        <v>28.9</v>
      </c>
      <c r="N145" s="379"/>
      <c r="O145" s="379">
        <v>7225.31</v>
      </c>
      <c r="P145" s="379"/>
      <c r="Q145" s="379">
        <v>228.03</v>
      </c>
      <c r="R145" s="379"/>
      <c r="S145" s="379"/>
      <c r="T145" s="379"/>
      <c r="U145" s="379"/>
      <c r="V145" s="380">
        <v>9099.6200000000008</v>
      </c>
      <c r="W145" s="381">
        <v>1</v>
      </c>
      <c r="X145" s="379"/>
      <c r="Y145" s="379"/>
      <c r="Z145" s="379">
        <v>1714001</v>
      </c>
      <c r="AA145" s="379" t="s">
        <v>2542</v>
      </c>
      <c r="AB145" s="380">
        <f t="shared" si="1"/>
        <v>8.3333333333333329E-2</v>
      </c>
    </row>
    <row r="146" spans="1:31" outlineLevel="2" x14ac:dyDescent="0.3">
      <c r="A146" s="379">
        <v>431</v>
      </c>
      <c r="B146" s="379">
        <v>733000</v>
      </c>
      <c r="C146" s="379" t="s">
        <v>1190</v>
      </c>
      <c r="D146" s="379">
        <v>30401913</v>
      </c>
      <c r="E146" s="379" t="s">
        <v>2567</v>
      </c>
      <c r="F146" s="379" t="s">
        <v>2568</v>
      </c>
      <c r="G146" s="383">
        <v>43466</v>
      </c>
      <c r="H146" s="379">
        <v>129348.2</v>
      </c>
      <c r="I146" s="379">
        <v>6787.88</v>
      </c>
      <c r="J146" s="379">
        <v>21847.74</v>
      </c>
      <c r="K146" s="379">
        <v>9670.7999999999993</v>
      </c>
      <c r="L146" s="379"/>
      <c r="M146" s="379">
        <v>404.45</v>
      </c>
      <c r="N146" s="379"/>
      <c r="O146" s="379">
        <v>88528.88</v>
      </c>
      <c r="P146" s="379">
        <v>6131.01</v>
      </c>
      <c r="Q146" s="379">
        <v>2339.33</v>
      </c>
      <c r="R146" s="379">
        <v>25597.67</v>
      </c>
      <c r="S146" s="379"/>
      <c r="T146" s="379">
        <v>107.2</v>
      </c>
      <c r="U146" s="379">
        <v>6644.11</v>
      </c>
      <c r="V146" s="380">
        <v>168059.07</v>
      </c>
      <c r="W146" s="381">
        <v>11.837999999999999</v>
      </c>
      <c r="X146" s="379"/>
      <c r="Y146" s="379"/>
      <c r="Z146" s="379">
        <v>1711001</v>
      </c>
      <c r="AA146" s="379" t="s">
        <v>2550</v>
      </c>
      <c r="AB146" s="380">
        <f t="shared" si="1"/>
        <v>0.98649999999999993</v>
      </c>
    </row>
    <row r="147" spans="1:31" outlineLevel="2" x14ac:dyDescent="0.3">
      <c r="A147" s="379">
        <v>431</v>
      </c>
      <c r="B147" s="379">
        <v>733000</v>
      </c>
      <c r="C147" s="379" t="s">
        <v>1190</v>
      </c>
      <c r="D147" s="379">
        <v>30765737</v>
      </c>
      <c r="E147" s="379" t="s">
        <v>2556</v>
      </c>
      <c r="F147" s="379" t="s">
        <v>2557</v>
      </c>
      <c r="G147" s="383">
        <v>42675</v>
      </c>
      <c r="H147" s="379">
        <v>12998.85</v>
      </c>
      <c r="I147" s="379">
        <v>696.99</v>
      </c>
      <c r="J147" s="379">
        <v>2168.17</v>
      </c>
      <c r="K147" s="379">
        <v>934.2</v>
      </c>
      <c r="L147" s="379"/>
      <c r="M147" s="379">
        <v>37.950000000000003</v>
      </c>
      <c r="N147" s="379"/>
      <c r="O147" s="379">
        <v>9033.68</v>
      </c>
      <c r="P147" s="379"/>
      <c r="Q147" s="379">
        <v>657.1</v>
      </c>
      <c r="R147" s="379">
        <v>2993.07</v>
      </c>
      <c r="S147" s="379"/>
      <c r="T147" s="379"/>
      <c r="U147" s="379">
        <v>315</v>
      </c>
      <c r="V147" s="380">
        <v>16836.16</v>
      </c>
      <c r="W147" s="381">
        <v>1</v>
      </c>
      <c r="X147" s="379"/>
      <c r="Y147" s="379"/>
      <c r="Z147" s="379">
        <v>1003</v>
      </c>
      <c r="AA147" s="379" t="s">
        <v>2558</v>
      </c>
      <c r="AB147" s="380">
        <f t="shared" si="1"/>
        <v>8.3333333333333329E-2</v>
      </c>
    </row>
    <row r="148" spans="1:31" outlineLevel="2" x14ac:dyDescent="0.3">
      <c r="A148" s="379">
        <v>431</v>
      </c>
      <c r="B148" s="379">
        <v>733000</v>
      </c>
      <c r="C148" s="379" t="s">
        <v>1190</v>
      </c>
      <c r="D148" s="379">
        <v>31045058</v>
      </c>
      <c r="E148" s="379" t="s">
        <v>2569</v>
      </c>
      <c r="F148" s="379" t="s">
        <v>2570</v>
      </c>
      <c r="G148" s="383">
        <v>43374</v>
      </c>
      <c r="H148" s="379">
        <v>128821.38</v>
      </c>
      <c r="I148" s="379">
        <v>6759.11</v>
      </c>
      <c r="J148" s="379">
        <v>23401.31</v>
      </c>
      <c r="K148" s="379">
        <v>9642.6</v>
      </c>
      <c r="L148" s="379"/>
      <c r="M148" s="379">
        <v>422.65</v>
      </c>
      <c r="N148" s="379"/>
      <c r="O148" s="379">
        <v>90120.23</v>
      </c>
      <c r="P148" s="379">
        <v>10920</v>
      </c>
      <c r="Q148" s="379">
        <v>2611.1999999999998</v>
      </c>
      <c r="R148" s="379">
        <v>22229.45</v>
      </c>
      <c r="S148" s="379"/>
      <c r="T148" s="379">
        <v>1509.5</v>
      </c>
      <c r="U148" s="379">
        <v>1431</v>
      </c>
      <c r="V148" s="380">
        <v>169047.05</v>
      </c>
      <c r="W148" s="381">
        <v>12</v>
      </c>
      <c r="X148" s="379"/>
      <c r="Y148" s="379"/>
      <c r="Z148" s="379">
        <v>1711001</v>
      </c>
      <c r="AA148" s="379" t="s">
        <v>2550</v>
      </c>
      <c r="AB148" s="380">
        <f t="shared" si="1"/>
        <v>1</v>
      </c>
    </row>
    <row r="149" spans="1:31" outlineLevel="2" x14ac:dyDescent="0.3">
      <c r="A149" s="379">
        <v>431</v>
      </c>
      <c r="B149" s="379">
        <v>733000</v>
      </c>
      <c r="C149" s="379" t="s">
        <v>1190</v>
      </c>
      <c r="D149" s="379">
        <v>33255134</v>
      </c>
      <c r="E149" s="379" t="s">
        <v>2571</v>
      </c>
      <c r="F149" s="379" t="s">
        <v>2572</v>
      </c>
      <c r="G149" s="383">
        <v>42614</v>
      </c>
      <c r="H149" s="379">
        <v>126382.94</v>
      </c>
      <c r="I149" s="379">
        <v>8615.2900000000009</v>
      </c>
      <c r="J149" s="379">
        <v>25552.36</v>
      </c>
      <c r="K149" s="379">
        <v>11462.2</v>
      </c>
      <c r="L149" s="379"/>
      <c r="M149" s="379">
        <v>475.95</v>
      </c>
      <c r="N149" s="379"/>
      <c r="O149" s="379">
        <v>93308.76</v>
      </c>
      <c r="P149" s="379">
        <v>16440</v>
      </c>
      <c r="Q149" s="379">
        <v>1319.2</v>
      </c>
      <c r="R149" s="379">
        <v>9201.98</v>
      </c>
      <c r="S149" s="379"/>
      <c r="T149" s="379">
        <v>6038</v>
      </c>
      <c r="U149" s="379">
        <v>75</v>
      </c>
      <c r="V149" s="380">
        <v>172488.74</v>
      </c>
      <c r="W149" s="381">
        <v>12</v>
      </c>
      <c r="X149" s="379"/>
      <c r="Y149" s="379"/>
      <c r="Z149" s="379">
        <v>1714001</v>
      </c>
      <c r="AA149" s="379" t="s">
        <v>2542</v>
      </c>
      <c r="AB149" s="380">
        <f t="shared" si="1"/>
        <v>1</v>
      </c>
    </row>
    <row r="150" spans="1:31" outlineLevel="1" x14ac:dyDescent="0.3">
      <c r="A150" s="379"/>
      <c r="B150" s="384" t="s">
        <v>2573</v>
      </c>
      <c r="C150" s="379"/>
      <c r="D150" s="379"/>
      <c r="E150" s="379"/>
      <c r="F150" s="379"/>
      <c r="G150" s="383"/>
      <c r="H150" s="379"/>
      <c r="I150" s="379"/>
      <c r="J150" s="379"/>
      <c r="K150" s="379"/>
      <c r="L150" s="379"/>
      <c r="M150" s="379"/>
      <c r="N150" s="379"/>
      <c r="O150" s="379"/>
      <c r="P150" s="379"/>
      <c r="Q150" s="379"/>
      <c r="R150" s="379"/>
      <c r="S150" s="379"/>
      <c r="T150" s="379"/>
      <c r="U150" s="379"/>
      <c r="V150" s="380">
        <f>SUBTOTAL(9,V140:V149)</f>
        <v>1174651.75</v>
      </c>
      <c r="W150" s="381">
        <f>SUBTOTAL(9,W140:W149)</f>
        <v>77.365000000000009</v>
      </c>
      <c r="X150" s="379"/>
      <c r="Y150" s="379"/>
      <c r="Z150" s="379"/>
      <c r="AA150" s="379"/>
      <c r="AB150" s="380">
        <f>SUBTOTAL(9,AB140:AB149)</f>
        <v>6.4470833333333326</v>
      </c>
      <c r="AC150" s="385">
        <f>V150+V139</f>
        <v>2741072.45</v>
      </c>
      <c r="AD150" s="385">
        <f>W150+W139</f>
        <v>156.29900000000004</v>
      </c>
      <c r="AE150" s="385">
        <f>AB150+AB139</f>
        <v>13.024916666666666</v>
      </c>
    </row>
    <row r="151" spans="1:31" outlineLevel="2" x14ac:dyDescent="0.3">
      <c r="A151" s="379">
        <v>431</v>
      </c>
      <c r="B151" s="379">
        <v>741000</v>
      </c>
      <c r="C151" s="379" t="s">
        <v>641</v>
      </c>
      <c r="D151" s="379">
        <v>2458549</v>
      </c>
      <c r="E151" s="379" t="s">
        <v>2574</v>
      </c>
      <c r="F151" s="379" t="s">
        <v>2285</v>
      </c>
      <c r="G151" s="383">
        <v>36251</v>
      </c>
      <c r="H151" s="379">
        <v>116227.37</v>
      </c>
      <c r="I151" s="379">
        <v>7860.3</v>
      </c>
      <c r="J151" s="379">
        <v>11014.02</v>
      </c>
      <c r="K151" s="379">
        <v>10716.25</v>
      </c>
      <c r="L151" s="379"/>
      <c r="M151" s="379">
        <v>430.4</v>
      </c>
      <c r="N151" s="379"/>
      <c r="O151" s="379">
        <v>77010.23</v>
      </c>
      <c r="P151" s="379">
        <v>26762.400000000001</v>
      </c>
      <c r="Q151" s="379">
        <v>1319.2</v>
      </c>
      <c r="R151" s="379">
        <v>3801.54</v>
      </c>
      <c r="S151" s="379"/>
      <c r="T151" s="379">
        <v>7334</v>
      </c>
      <c r="U151" s="379"/>
      <c r="V151" s="380">
        <v>146248.34</v>
      </c>
      <c r="W151" s="381">
        <v>12</v>
      </c>
      <c r="X151" s="379">
        <v>111</v>
      </c>
      <c r="Y151" s="379" t="s">
        <v>2575</v>
      </c>
      <c r="Z151" s="379">
        <v>5302002</v>
      </c>
      <c r="AA151" s="379" t="s">
        <v>2467</v>
      </c>
      <c r="AB151" s="380">
        <f t="shared" si="1"/>
        <v>1</v>
      </c>
    </row>
    <row r="152" spans="1:31" outlineLevel="2" x14ac:dyDescent="0.3">
      <c r="A152" s="379">
        <v>431</v>
      </c>
      <c r="B152" s="379">
        <v>741000</v>
      </c>
      <c r="C152" s="379" t="s">
        <v>641</v>
      </c>
      <c r="D152" s="379">
        <v>3594477</v>
      </c>
      <c r="E152" s="379" t="s">
        <v>2576</v>
      </c>
      <c r="F152" s="379" t="s">
        <v>2577</v>
      </c>
      <c r="G152" s="383">
        <v>41306</v>
      </c>
      <c r="H152" s="379">
        <v>88977.38</v>
      </c>
      <c r="I152" s="379">
        <v>4173.78</v>
      </c>
      <c r="J152" s="379">
        <v>18196.240000000002</v>
      </c>
      <c r="K152" s="379">
        <v>6710</v>
      </c>
      <c r="L152" s="379"/>
      <c r="M152" s="379">
        <v>320.33</v>
      </c>
      <c r="N152" s="379"/>
      <c r="O152" s="379">
        <v>73745.95</v>
      </c>
      <c r="P152" s="379">
        <v>2056.1999999999998</v>
      </c>
      <c r="Q152" s="379">
        <v>2809.2</v>
      </c>
      <c r="R152" s="379">
        <v>4328.03</v>
      </c>
      <c r="S152" s="379"/>
      <c r="T152" s="379">
        <v>6038</v>
      </c>
      <c r="U152" s="379"/>
      <c r="V152" s="380">
        <v>118377.73</v>
      </c>
      <c r="W152" s="381">
        <v>12</v>
      </c>
      <c r="X152" s="379">
        <v>111</v>
      </c>
      <c r="Y152" s="379" t="s">
        <v>2575</v>
      </c>
      <c r="Z152" s="379">
        <v>9921001</v>
      </c>
      <c r="AA152" s="379" t="s">
        <v>2464</v>
      </c>
      <c r="AB152" s="380">
        <f t="shared" si="1"/>
        <v>1</v>
      </c>
    </row>
    <row r="153" spans="1:31" outlineLevel="2" x14ac:dyDescent="0.3">
      <c r="A153" s="379">
        <v>431</v>
      </c>
      <c r="B153" s="379">
        <v>741000</v>
      </c>
      <c r="C153" s="379" t="s">
        <v>641</v>
      </c>
      <c r="D153" s="379">
        <v>5569818</v>
      </c>
      <c r="E153" s="379" t="s">
        <v>2578</v>
      </c>
      <c r="F153" s="379" t="s">
        <v>2579</v>
      </c>
      <c r="G153" s="383">
        <v>36161</v>
      </c>
      <c r="H153" s="379">
        <v>108790.2</v>
      </c>
      <c r="I153" s="379">
        <v>5306.91</v>
      </c>
      <c r="J153" s="379">
        <v>10869.87</v>
      </c>
      <c r="K153" s="379">
        <v>8196.4500000000007</v>
      </c>
      <c r="L153" s="379"/>
      <c r="M153" s="379">
        <v>394.55</v>
      </c>
      <c r="N153" s="379"/>
      <c r="O153" s="379">
        <v>86322.25</v>
      </c>
      <c r="P153" s="379"/>
      <c r="Q153" s="379">
        <v>2809.2</v>
      </c>
      <c r="R153" s="379">
        <v>12324.75</v>
      </c>
      <c r="S153" s="379"/>
      <c r="T153" s="379">
        <v>7334</v>
      </c>
      <c r="U153" s="379"/>
      <c r="V153" s="380">
        <v>133557.98000000001</v>
      </c>
      <c r="W153" s="381">
        <v>12</v>
      </c>
      <c r="X153" s="379"/>
      <c r="Y153" s="379"/>
      <c r="Z153" s="379">
        <v>5302002</v>
      </c>
      <c r="AA153" s="379" t="s">
        <v>2467</v>
      </c>
      <c r="AB153" s="380">
        <f t="shared" ref="AB153:AB224" si="2">W153/12</f>
        <v>1</v>
      </c>
    </row>
    <row r="154" spans="1:31" outlineLevel="2" x14ac:dyDescent="0.3">
      <c r="A154" s="379">
        <v>431</v>
      </c>
      <c r="B154" s="379">
        <v>741000</v>
      </c>
      <c r="C154" s="379" t="s">
        <v>641</v>
      </c>
      <c r="D154" s="379">
        <v>5663767</v>
      </c>
      <c r="E154" s="379" t="s">
        <v>2580</v>
      </c>
      <c r="F154" s="379" t="s">
        <v>2482</v>
      </c>
      <c r="G154" s="383">
        <v>36647</v>
      </c>
      <c r="H154" s="379">
        <v>105545.18</v>
      </c>
      <c r="I154" s="379">
        <v>5060.17</v>
      </c>
      <c r="J154" s="379">
        <v>7888.3</v>
      </c>
      <c r="K154" s="379">
        <v>7953.1</v>
      </c>
      <c r="L154" s="379"/>
      <c r="M154" s="379">
        <v>318.95</v>
      </c>
      <c r="N154" s="379"/>
      <c r="O154" s="379">
        <v>78642.179999999993</v>
      </c>
      <c r="P154" s="379">
        <v>1090.68</v>
      </c>
      <c r="Q154" s="379">
        <v>2809.2</v>
      </c>
      <c r="R154" s="379">
        <v>15669.12</v>
      </c>
      <c r="S154" s="379"/>
      <c r="T154" s="379">
        <v>7334</v>
      </c>
      <c r="U154" s="379"/>
      <c r="V154" s="380">
        <v>126765.7</v>
      </c>
      <c r="W154" s="381">
        <v>12</v>
      </c>
      <c r="X154" s="379"/>
      <c r="Y154" s="379"/>
      <c r="Z154" s="379">
        <v>9921001</v>
      </c>
      <c r="AA154" s="379" t="s">
        <v>2464</v>
      </c>
      <c r="AB154" s="380">
        <f t="shared" si="2"/>
        <v>1</v>
      </c>
    </row>
    <row r="155" spans="1:31" outlineLevel="2" x14ac:dyDescent="0.3">
      <c r="A155" s="379">
        <v>431</v>
      </c>
      <c r="B155" s="379">
        <v>741000</v>
      </c>
      <c r="C155" s="379" t="s">
        <v>641</v>
      </c>
      <c r="D155" s="379">
        <v>6301405</v>
      </c>
      <c r="E155" s="379" t="s">
        <v>2581</v>
      </c>
      <c r="F155" s="379" t="s">
        <v>2582</v>
      </c>
      <c r="G155" s="383">
        <v>33329</v>
      </c>
      <c r="H155" s="379">
        <v>20732.48</v>
      </c>
      <c r="I155" s="379">
        <v>1076.3800000000001</v>
      </c>
      <c r="J155" s="379">
        <v>1848.3</v>
      </c>
      <c r="K155" s="379">
        <v>1554.95</v>
      </c>
      <c r="L155" s="379"/>
      <c r="M155" s="379">
        <v>67.400000000000006</v>
      </c>
      <c r="N155" s="379"/>
      <c r="O155" s="379">
        <v>14393.32</v>
      </c>
      <c r="P155" s="379">
        <v>2467.5</v>
      </c>
      <c r="Q155" s="379">
        <v>468.2</v>
      </c>
      <c r="R155" s="379">
        <v>3403.46</v>
      </c>
      <c r="S155" s="379"/>
      <c r="T155" s="379"/>
      <c r="U155" s="379"/>
      <c r="V155" s="380">
        <v>25279.51</v>
      </c>
      <c r="W155" s="381">
        <v>2</v>
      </c>
      <c r="X155" s="379"/>
      <c r="Y155" s="379"/>
      <c r="Z155" s="379">
        <v>3302001</v>
      </c>
      <c r="AA155" s="379" t="s">
        <v>2480</v>
      </c>
      <c r="AB155" s="380">
        <f t="shared" si="2"/>
        <v>0.16666666666666666</v>
      </c>
    </row>
    <row r="156" spans="1:31" outlineLevel="2" x14ac:dyDescent="0.3">
      <c r="A156" s="379">
        <v>431</v>
      </c>
      <c r="B156" s="379">
        <v>741000</v>
      </c>
      <c r="C156" s="379" t="s">
        <v>641</v>
      </c>
      <c r="D156" s="379">
        <v>6781270</v>
      </c>
      <c r="E156" s="379" t="s">
        <v>2540</v>
      </c>
      <c r="F156" s="379" t="s">
        <v>2583</v>
      </c>
      <c r="G156" s="383">
        <v>35490</v>
      </c>
      <c r="H156" s="379">
        <v>96889.02</v>
      </c>
      <c r="I156" s="379">
        <v>4486.79</v>
      </c>
      <c r="J156" s="379">
        <v>9256.27</v>
      </c>
      <c r="K156" s="379">
        <v>7303.85</v>
      </c>
      <c r="L156" s="379"/>
      <c r="M156" s="379">
        <v>343.6</v>
      </c>
      <c r="N156" s="379"/>
      <c r="O156" s="379">
        <v>74146.78</v>
      </c>
      <c r="P156" s="379">
        <v>7383.5</v>
      </c>
      <c r="Q156" s="379">
        <v>2341</v>
      </c>
      <c r="R156" s="379"/>
      <c r="S156" s="379"/>
      <c r="T156" s="379">
        <v>12142.74</v>
      </c>
      <c r="U156" s="379">
        <v>875</v>
      </c>
      <c r="V156" s="380">
        <v>118279.53</v>
      </c>
      <c r="W156" s="381">
        <v>10</v>
      </c>
      <c r="X156" s="379"/>
      <c r="Y156" s="379"/>
      <c r="Z156" s="379">
        <v>8811001</v>
      </c>
      <c r="AA156" s="379" t="s">
        <v>2286</v>
      </c>
      <c r="AB156" s="380">
        <f t="shared" si="2"/>
        <v>0.83333333333333337</v>
      </c>
    </row>
    <row r="157" spans="1:31" outlineLevel="2" x14ac:dyDescent="0.3">
      <c r="A157" s="379">
        <v>432</v>
      </c>
      <c r="B157" s="379">
        <v>741000</v>
      </c>
      <c r="C157" s="379"/>
      <c r="D157" s="379">
        <v>6301405</v>
      </c>
      <c r="E157" s="379" t="s">
        <v>2581</v>
      </c>
      <c r="F157" s="379" t="s">
        <v>2582</v>
      </c>
      <c r="G157" s="383">
        <v>33329</v>
      </c>
      <c r="H157" s="379">
        <v>-17.96</v>
      </c>
      <c r="I157" s="379"/>
      <c r="J157" s="379"/>
      <c r="K157" s="379">
        <v>-1.24</v>
      </c>
      <c r="L157" s="379"/>
      <c r="M157" s="379"/>
      <c r="N157" s="379"/>
      <c r="O157" s="379"/>
      <c r="P157" s="379"/>
      <c r="Q157" s="379"/>
      <c r="R157" s="379">
        <v>-17.96</v>
      </c>
      <c r="S157" s="379"/>
      <c r="T157" s="379"/>
      <c r="U157" s="379"/>
      <c r="V157" s="380">
        <v>-19.2</v>
      </c>
      <c r="W157" s="381"/>
      <c r="X157" s="379"/>
      <c r="Y157" s="379"/>
      <c r="Z157" s="379">
        <v>9991001</v>
      </c>
      <c r="AA157" s="379" t="s">
        <v>2496</v>
      </c>
      <c r="AB157" s="380">
        <f t="shared" si="2"/>
        <v>0</v>
      </c>
    </row>
    <row r="158" spans="1:31" outlineLevel="1" x14ac:dyDescent="0.3">
      <c r="A158" s="379"/>
      <c r="B158" s="384" t="s">
        <v>2584</v>
      </c>
      <c r="C158" s="379"/>
      <c r="D158" s="379"/>
      <c r="E158" s="379"/>
      <c r="F158" s="379"/>
      <c r="G158" s="383"/>
      <c r="H158" s="379"/>
      <c r="I158" s="379"/>
      <c r="J158" s="379"/>
      <c r="K158" s="379"/>
      <c r="L158" s="379"/>
      <c r="M158" s="379"/>
      <c r="N158" s="379"/>
      <c r="O158" s="379"/>
      <c r="P158" s="379"/>
      <c r="Q158" s="379"/>
      <c r="R158" s="379"/>
      <c r="S158" s="379"/>
      <c r="T158" s="379"/>
      <c r="U158" s="379"/>
      <c r="V158" s="380">
        <f>SUBTOTAL(9,V151:V157)</f>
        <v>668489.59000000008</v>
      </c>
      <c r="W158" s="381">
        <f>SUBTOTAL(9,W151:W157)</f>
        <v>60</v>
      </c>
      <c r="X158" s="379"/>
      <c r="Y158" s="379"/>
      <c r="Z158" s="379"/>
      <c r="AA158" s="379"/>
      <c r="AB158" s="380">
        <f>SUBTOTAL(9,AB151:AB157)</f>
        <v>5</v>
      </c>
    </row>
    <row r="159" spans="1:31" outlineLevel="2" x14ac:dyDescent="0.3">
      <c r="A159" s="379">
        <v>431</v>
      </c>
      <c r="B159" s="379">
        <v>743000</v>
      </c>
      <c r="C159" s="379" t="s">
        <v>1215</v>
      </c>
      <c r="D159" s="379">
        <v>5399822</v>
      </c>
      <c r="E159" s="379" t="s">
        <v>2585</v>
      </c>
      <c r="F159" s="379" t="s">
        <v>2586</v>
      </c>
      <c r="G159" s="383">
        <v>28399</v>
      </c>
      <c r="H159" s="379">
        <v>131972.57</v>
      </c>
      <c r="I159" s="379">
        <v>7067.48</v>
      </c>
      <c r="J159" s="379">
        <v>13277.71</v>
      </c>
      <c r="K159" s="379">
        <v>9935.15</v>
      </c>
      <c r="L159" s="379"/>
      <c r="M159" s="379">
        <v>485.65</v>
      </c>
      <c r="N159" s="379"/>
      <c r="O159" s="379">
        <v>97995.75</v>
      </c>
      <c r="P159" s="379">
        <v>18834</v>
      </c>
      <c r="Q159" s="379">
        <v>2809.2</v>
      </c>
      <c r="R159" s="379">
        <v>76.22</v>
      </c>
      <c r="S159" s="379"/>
      <c r="T159" s="379">
        <v>12257.4</v>
      </c>
      <c r="U159" s="379"/>
      <c r="V159" s="380">
        <v>162738.56</v>
      </c>
      <c r="W159" s="381">
        <v>12</v>
      </c>
      <c r="X159" s="379">
        <v>100</v>
      </c>
      <c r="Y159" s="379" t="s">
        <v>2473</v>
      </c>
      <c r="Z159" s="379">
        <v>7451001</v>
      </c>
      <c r="AA159" s="379" t="s">
        <v>2587</v>
      </c>
      <c r="AB159" s="380">
        <f t="shared" si="2"/>
        <v>1</v>
      </c>
    </row>
    <row r="160" spans="1:31" outlineLevel="2" x14ac:dyDescent="0.3">
      <c r="A160" s="379">
        <v>431</v>
      </c>
      <c r="B160" s="379">
        <v>743000</v>
      </c>
      <c r="C160" s="379" t="s">
        <v>1215</v>
      </c>
      <c r="D160" s="379">
        <v>5829113</v>
      </c>
      <c r="E160" s="379" t="s">
        <v>2588</v>
      </c>
      <c r="F160" s="379" t="s">
        <v>972</v>
      </c>
      <c r="G160" s="383">
        <v>34700</v>
      </c>
      <c r="H160" s="379">
        <v>175482.31</v>
      </c>
      <c r="I160" s="379">
        <v>13910.75</v>
      </c>
      <c r="J160" s="379">
        <v>18446.53</v>
      </c>
      <c r="K160" s="379">
        <v>16688.55</v>
      </c>
      <c r="L160" s="379"/>
      <c r="M160" s="379">
        <v>662.65</v>
      </c>
      <c r="N160" s="379"/>
      <c r="O160" s="379">
        <v>103681.14</v>
      </c>
      <c r="P160" s="379">
        <v>26609.7</v>
      </c>
      <c r="Q160" s="379">
        <v>1021.2</v>
      </c>
      <c r="R160" s="379">
        <v>30053.7</v>
      </c>
      <c r="S160" s="379"/>
      <c r="T160" s="379">
        <v>13066.57</v>
      </c>
      <c r="U160" s="379">
        <v>1050</v>
      </c>
      <c r="V160" s="380">
        <v>225190.79</v>
      </c>
      <c r="W160" s="381">
        <v>12</v>
      </c>
      <c r="X160" s="379"/>
      <c r="Y160" s="379"/>
      <c r="Z160" s="379">
        <v>7451001</v>
      </c>
      <c r="AA160" s="379" t="s">
        <v>2587</v>
      </c>
      <c r="AB160" s="380">
        <f t="shared" si="2"/>
        <v>1</v>
      </c>
    </row>
    <row r="161" spans="1:31" outlineLevel="1" x14ac:dyDescent="0.3">
      <c r="A161" s="379"/>
      <c r="B161" s="384" t="s">
        <v>2589</v>
      </c>
      <c r="C161" s="379"/>
      <c r="D161" s="379"/>
      <c r="E161" s="379"/>
      <c r="F161" s="379"/>
      <c r="G161" s="383"/>
      <c r="H161" s="379"/>
      <c r="I161" s="379"/>
      <c r="J161" s="379"/>
      <c r="K161" s="379"/>
      <c r="L161" s="379"/>
      <c r="M161" s="379"/>
      <c r="N161" s="379"/>
      <c r="O161" s="379"/>
      <c r="P161" s="379"/>
      <c r="Q161" s="379"/>
      <c r="R161" s="379"/>
      <c r="S161" s="379"/>
      <c r="T161" s="379"/>
      <c r="U161" s="379"/>
      <c r="V161" s="380">
        <f>SUBTOTAL(9,V159:V160)</f>
        <v>387929.35</v>
      </c>
      <c r="W161" s="381">
        <f>SUBTOTAL(9,W159:W160)</f>
        <v>24</v>
      </c>
      <c r="X161" s="379"/>
      <c r="Y161" s="379"/>
      <c r="Z161" s="379"/>
      <c r="AA161" s="379"/>
      <c r="AB161" s="380">
        <f>SUBTOTAL(9,AB159:AB160)</f>
        <v>2</v>
      </c>
      <c r="AC161" s="385">
        <f>V161+V158</f>
        <v>1056418.94</v>
      </c>
      <c r="AD161" s="385">
        <f>W161+W158</f>
        <v>84</v>
      </c>
      <c r="AE161" s="385">
        <f>AB161+AB158</f>
        <v>7</v>
      </c>
    </row>
    <row r="162" spans="1:31" outlineLevel="2" x14ac:dyDescent="0.3">
      <c r="A162" s="379">
        <v>431</v>
      </c>
      <c r="B162" s="379">
        <v>770000</v>
      </c>
      <c r="C162" s="379" t="s">
        <v>79</v>
      </c>
      <c r="D162" s="379">
        <v>2528082</v>
      </c>
      <c r="E162" s="379" t="s">
        <v>2590</v>
      </c>
      <c r="F162" s="379" t="s">
        <v>2591</v>
      </c>
      <c r="G162" s="383">
        <v>42856</v>
      </c>
      <c r="H162" s="379">
        <v>132804.35999999999</v>
      </c>
      <c r="I162" s="379">
        <v>7131.53</v>
      </c>
      <c r="J162" s="379">
        <v>23615.42</v>
      </c>
      <c r="K162" s="379">
        <v>9997.5</v>
      </c>
      <c r="L162" s="379"/>
      <c r="M162" s="379">
        <v>455.35</v>
      </c>
      <c r="N162" s="379"/>
      <c r="O162" s="379">
        <v>78727.259999999995</v>
      </c>
      <c r="P162" s="379">
        <v>20670.150000000001</v>
      </c>
      <c r="Q162" s="379">
        <v>2809.2</v>
      </c>
      <c r="R162" s="379">
        <v>14431.75</v>
      </c>
      <c r="S162" s="379"/>
      <c r="T162" s="379">
        <v>7766</v>
      </c>
      <c r="U162" s="379">
        <v>8400</v>
      </c>
      <c r="V162" s="380">
        <v>174004.16</v>
      </c>
      <c r="W162" s="381">
        <v>12</v>
      </c>
      <c r="X162" s="379"/>
      <c r="Y162" s="379"/>
      <c r="Z162" s="379">
        <v>3011001</v>
      </c>
      <c r="AA162" s="379" t="s">
        <v>2461</v>
      </c>
      <c r="AB162" s="380">
        <f t="shared" si="2"/>
        <v>1</v>
      </c>
    </row>
    <row r="163" spans="1:31" outlineLevel="2" x14ac:dyDescent="0.3">
      <c r="A163" s="379">
        <v>431</v>
      </c>
      <c r="B163" s="379">
        <v>770000</v>
      </c>
      <c r="C163" s="379" t="s">
        <v>79</v>
      </c>
      <c r="D163" s="379">
        <v>2530531</v>
      </c>
      <c r="E163" s="379" t="s">
        <v>2340</v>
      </c>
      <c r="F163" s="379" t="s">
        <v>2507</v>
      </c>
      <c r="G163" s="383">
        <v>41030</v>
      </c>
      <c r="H163" s="379">
        <v>182688.54</v>
      </c>
      <c r="I163" s="379">
        <v>10900.55</v>
      </c>
      <c r="J163" s="379">
        <v>28471.39</v>
      </c>
      <c r="K163" s="379">
        <v>13738.85</v>
      </c>
      <c r="L163" s="379"/>
      <c r="M163" s="379">
        <v>558.54999999999995</v>
      </c>
      <c r="N163" s="379"/>
      <c r="O163" s="379">
        <v>80275.72</v>
      </c>
      <c r="P163" s="379">
        <v>27435.599999999999</v>
      </c>
      <c r="Q163" s="379">
        <v>2809.2</v>
      </c>
      <c r="R163" s="379">
        <v>56434.02</v>
      </c>
      <c r="S163" s="379"/>
      <c r="T163" s="379">
        <v>7334</v>
      </c>
      <c r="U163" s="379">
        <v>8400</v>
      </c>
      <c r="V163" s="380">
        <v>236357.88</v>
      </c>
      <c r="W163" s="381">
        <v>12</v>
      </c>
      <c r="X163" s="379">
        <v>89</v>
      </c>
      <c r="Y163" s="379" t="s">
        <v>2479</v>
      </c>
      <c r="Z163" s="379">
        <v>1126001</v>
      </c>
      <c r="AA163" s="379" t="s">
        <v>2504</v>
      </c>
      <c r="AB163" s="380">
        <f t="shared" si="2"/>
        <v>1</v>
      </c>
    </row>
    <row r="164" spans="1:31" outlineLevel="2" x14ac:dyDescent="0.3">
      <c r="A164" s="379">
        <v>431</v>
      </c>
      <c r="B164" s="379">
        <v>770000</v>
      </c>
      <c r="C164" s="379" t="s">
        <v>79</v>
      </c>
      <c r="D164" s="379">
        <v>3368700</v>
      </c>
      <c r="E164" s="379" t="s">
        <v>2519</v>
      </c>
      <c r="F164" s="379" t="s">
        <v>2586</v>
      </c>
      <c r="G164" s="383">
        <v>42856</v>
      </c>
      <c r="H164" s="379">
        <v>135120.22</v>
      </c>
      <c r="I164" s="379">
        <v>7308.44</v>
      </c>
      <c r="J164" s="379">
        <v>23623.8</v>
      </c>
      <c r="K164" s="379">
        <v>10171.25</v>
      </c>
      <c r="L164" s="379"/>
      <c r="M164" s="379">
        <v>458.45</v>
      </c>
      <c r="N164" s="379"/>
      <c r="O164" s="379">
        <v>78628.42</v>
      </c>
      <c r="P164" s="379">
        <v>20711</v>
      </c>
      <c r="Q164" s="379">
        <v>2809.2</v>
      </c>
      <c r="R164" s="379">
        <v>15266.6</v>
      </c>
      <c r="S164" s="379"/>
      <c r="T164" s="379">
        <v>6470</v>
      </c>
      <c r="U164" s="379">
        <v>11235</v>
      </c>
      <c r="V164" s="380">
        <v>176682.16</v>
      </c>
      <c r="W164" s="381">
        <v>12</v>
      </c>
      <c r="X164" s="379"/>
      <c r="Y164" s="379"/>
      <c r="Z164" s="379">
        <v>3011001</v>
      </c>
      <c r="AA164" s="379" t="s">
        <v>2461</v>
      </c>
      <c r="AB164" s="380">
        <f t="shared" si="2"/>
        <v>1</v>
      </c>
    </row>
    <row r="165" spans="1:31" outlineLevel="2" x14ac:dyDescent="0.3">
      <c r="A165" s="379">
        <v>431</v>
      </c>
      <c r="B165" s="379">
        <v>770000</v>
      </c>
      <c r="C165" s="379" t="s">
        <v>79</v>
      </c>
      <c r="D165" s="379">
        <v>3388629</v>
      </c>
      <c r="E165" s="379" t="s">
        <v>2340</v>
      </c>
      <c r="F165" s="379" t="s">
        <v>2592</v>
      </c>
      <c r="G165" s="383">
        <v>42856</v>
      </c>
      <c r="H165" s="379">
        <v>131898.84</v>
      </c>
      <c r="I165" s="379">
        <v>7063.16</v>
      </c>
      <c r="J165" s="379">
        <v>23566.52</v>
      </c>
      <c r="K165" s="379">
        <v>9929.65</v>
      </c>
      <c r="L165" s="379"/>
      <c r="M165" s="379">
        <v>453.4</v>
      </c>
      <c r="N165" s="379"/>
      <c r="O165" s="379">
        <v>83559.600000000006</v>
      </c>
      <c r="P165" s="379">
        <v>21482</v>
      </c>
      <c r="Q165" s="379">
        <v>2809.2</v>
      </c>
      <c r="R165" s="379">
        <v>8314.0400000000009</v>
      </c>
      <c r="S165" s="379"/>
      <c r="T165" s="379">
        <v>7334</v>
      </c>
      <c r="U165" s="379">
        <v>8400</v>
      </c>
      <c r="V165" s="380">
        <v>172911.57</v>
      </c>
      <c r="W165" s="381">
        <v>12</v>
      </c>
      <c r="X165" s="379"/>
      <c r="Y165" s="379"/>
      <c r="Z165" s="379">
        <v>3011001</v>
      </c>
      <c r="AA165" s="379" t="s">
        <v>2461</v>
      </c>
      <c r="AB165" s="380">
        <f t="shared" si="2"/>
        <v>1</v>
      </c>
    </row>
    <row r="166" spans="1:31" outlineLevel="2" x14ac:dyDescent="0.3">
      <c r="A166" s="379">
        <v>431</v>
      </c>
      <c r="B166" s="379">
        <v>770000</v>
      </c>
      <c r="C166" s="379" t="s">
        <v>79</v>
      </c>
      <c r="D166" s="379">
        <v>3655921</v>
      </c>
      <c r="E166" s="379" t="s">
        <v>2340</v>
      </c>
      <c r="F166" s="379" t="s">
        <v>2593</v>
      </c>
      <c r="G166" s="383">
        <v>42856</v>
      </c>
      <c r="H166" s="379">
        <v>140415.89000000001</v>
      </c>
      <c r="I166" s="379">
        <v>7710.66</v>
      </c>
      <c r="J166" s="379">
        <v>24336.400000000001</v>
      </c>
      <c r="K166" s="379">
        <v>10568.35</v>
      </c>
      <c r="L166" s="379"/>
      <c r="M166" s="379">
        <v>474.15</v>
      </c>
      <c r="N166" s="379"/>
      <c r="O166" s="379">
        <v>78459.17</v>
      </c>
      <c r="P166" s="379">
        <v>20795</v>
      </c>
      <c r="Q166" s="379">
        <v>2809.2</v>
      </c>
      <c r="R166" s="379">
        <v>19270.52</v>
      </c>
      <c r="S166" s="379"/>
      <c r="T166" s="379">
        <v>6902</v>
      </c>
      <c r="U166" s="379">
        <v>12180</v>
      </c>
      <c r="V166" s="380">
        <v>183505.45</v>
      </c>
      <c r="W166" s="381">
        <v>12</v>
      </c>
      <c r="X166" s="379"/>
      <c r="Y166" s="379"/>
      <c r="Z166" s="379">
        <v>3011002</v>
      </c>
      <c r="AA166" s="379" t="s">
        <v>2594</v>
      </c>
      <c r="AB166" s="380">
        <f t="shared" si="2"/>
        <v>1</v>
      </c>
    </row>
    <row r="167" spans="1:31" outlineLevel="2" x14ac:dyDescent="0.3">
      <c r="A167" s="379">
        <v>431</v>
      </c>
      <c r="B167" s="379">
        <v>770000</v>
      </c>
      <c r="C167" s="379" t="s">
        <v>79</v>
      </c>
      <c r="D167" s="379">
        <v>3800789</v>
      </c>
      <c r="E167" s="379" t="s">
        <v>2595</v>
      </c>
      <c r="F167" s="379" t="s">
        <v>2596</v>
      </c>
      <c r="G167" s="383">
        <v>43770</v>
      </c>
      <c r="H167" s="379">
        <v>16374.59</v>
      </c>
      <c r="I167" s="379">
        <v>861.4</v>
      </c>
      <c r="J167" s="379">
        <v>1529.21</v>
      </c>
      <c r="K167" s="379">
        <v>1342.8</v>
      </c>
      <c r="L167" s="379"/>
      <c r="M167" s="379">
        <v>58.3</v>
      </c>
      <c r="N167" s="379"/>
      <c r="O167" s="379">
        <v>11327.51</v>
      </c>
      <c r="P167" s="379">
        <v>3241.18</v>
      </c>
      <c r="Q167" s="379">
        <v>452.59</v>
      </c>
      <c r="R167" s="379"/>
      <c r="S167" s="379"/>
      <c r="T167" s="379"/>
      <c r="U167" s="379">
        <v>1353.31</v>
      </c>
      <c r="V167" s="380">
        <v>20166.3</v>
      </c>
      <c r="W167" s="381">
        <v>1.9330000000000001</v>
      </c>
      <c r="X167" s="379"/>
      <c r="Y167" s="379"/>
      <c r="Z167" s="379">
        <v>3011001</v>
      </c>
      <c r="AA167" s="379" t="s">
        <v>2461</v>
      </c>
      <c r="AB167" s="380">
        <f t="shared" si="2"/>
        <v>0.16108333333333333</v>
      </c>
    </row>
    <row r="168" spans="1:31" outlineLevel="2" x14ac:dyDescent="0.3">
      <c r="A168" s="379">
        <v>431</v>
      </c>
      <c r="B168" s="379">
        <v>770000</v>
      </c>
      <c r="C168" s="379" t="s">
        <v>79</v>
      </c>
      <c r="D168" s="379">
        <v>6653884</v>
      </c>
      <c r="E168" s="379" t="s">
        <v>2597</v>
      </c>
      <c r="F168" s="379" t="s">
        <v>2520</v>
      </c>
      <c r="G168" s="383">
        <v>42856</v>
      </c>
      <c r="H168" s="379">
        <v>134027.31</v>
      </c>
      <c r="I168" s="379">
        <v>7225.35</v>
      </c>
      <c r="J168" s="379">
        <v>23157.040000000001</v>
      </c>
      <c r="K168" s="379">
        <v>10089.15</v>
      </c>
      <c r="L168" s="379"/>
      <c r="M168" s="379">
        <v>465.35</v>
      </c>
      <c r="N168" s="379"/>
      <c r="O168" s="379">
        <v>78529.070000000007</v>
      </c>
      <c r="P168" s="379">
        <v>20755.5</v>
      </c>
      <c r="Q168" s="379">
        <v>2809.2</v>
      </c>
      <c r="R168" s="379">
        <v>17063.54</v>
      </c>
      <c r="S168" s="379"/>
      <c r="T168" s="379">
        <v>6470</v>
      </c>
      <c r="U168" s="379">
        <v>8400</v>
      </c>
      <c r="V168" s="380">
        <v>174964.2</v>
      </c>
      <c r="W168" s="381">
        <v>12</v>
      </c>
      <c r="X168" s="379">
        <v>102</v>
      </c>
      <c r="Y168" s="379" t="s">
        <v>2598</v>
      </c>
      <c r="Z168" s="379">
        <v>1981002</v>
      </c>
      <c r="AA168" s="379" t="s">
        <v>2599</v>
      </c>
      <c r="AB168" s="380">
        <f t="shared" si="2"/>
        <v>1</v>
      </c>
    </row>
    <row r="169" spans="1:31" outlineLevel="2" x14ac:dyDescent="0.3">
      <c r="A169" s="379">
        <v>431</v>
      </c>
      <c r="B169" s="379">
        <v>770000</v>
      </c>
      <c r="C169" s="379" t="s">
        <v>79</v>
      </c>
      <c r="D169" s="379">
        <v>20049327</v>
      </c>
      <c r="E169" s="379" t="s">
        <v>2600</v>
      </c>
      <c r="F169" s="379" t="s">
        <v>2476</v>
      </c>
      <c r="G169" s="383">
        <v>42856</v>
      </c>
      <c r="H169" s="379">
        <v>123702.96</v>
      </c>
      <c r="I169" s="379">
        <v>6440.69</v>
      </c>
      <c r="J169" s="379">
        <v>22066.93</v>
      </c>
      <c r="K169" s="379">
        <v>9314.85</v>
      </c>
      <c r="L169" s="379"/>
      <c r="M169" s="379">
        <v>424.05</v>
      </c>
      <c r="N169" s="379"/>
      <c r="O169" s="379">
        <v>78383.81</v>
      </c>
      <c r="P169" s="379">
        <v>20372</v>
      </c>
      <c r="Q169" s="379">
        <v>2809.2</v>
      </c>
      <c r="R169" s="379">
        <v>7267.95</v>
      </c>
      <c r="S169" s="379"/>
      <c r="T169" s="379">
        <v>6470</v>
      </c>
      <c r="U169" s="379">
        <v>8400</v>
      </c>
      <c r="V169" s="380">
        <v>161949.48000000001</v>
      </c>
      <c r="W169" s="381">
        <v>12</v>
      </c>
      <c r="X169" s="379"/>
      <c r="Y169" s="379"/>
      <c r="Z169" s="379">
        <v>3011001</v>
      </c>
      <c r="AA169" s="379" t="s">
        <v>2461</v>
      </c>
      <c r="AB169" s="380">
        <f t="shared" si="2"/>
        <v>1</v>
      </c>
    </row>
    <row r="170" spans="1:31" outlineLevel="2" x14ac:dyDescent="0.3">
      <c r="A170" s="379">
        <v>431</v>
      </c>
      <c r="B170" s="379">
        <v>770000</v>
      </c>
      <c r="C170" s="379" t="s">
        <v>79</v>
      </c>
      <c r="D170" s="379">
        <v>20347081</v>
      </c>
      <c r="E170" s="379" t="s">
        <v>2295</v>
      </c>
      <c r="F170" s="379" t="s">
        <v>2601</v>
      </c>
      <c r="G170" s="383">
        <v>42856</v>
      </c>
      <c r="H170" s="379">
        <v>121133.91</v>
      </c>
      <c r="I170" s="379">
        <v>6245.65</v>
      </c>
      <c r="J170" s="379">
        <v>21624.51</v>
      </c>
      <c r="K170" s="379">
        <v>9122.25</v>
      </c>
      <c r="L170" s="379"/>
      <c r="M170" s="379">
        <v>415.5</v>
      </c>
      <c r="N170" s="379"/>
      <c r="O170" s="379">
        <v>77872.3</v>
      </c>
      <c r="P170" s="379">
        <v>20317.5</v>
      </c>
      <c r="Q170" s="379">
        <v>2809.2</v>
      </c>
      <c r="R170" s="379">
        <v>5696.91</v>
      </c>
      <c r="S170" s="379"/>
      <c r="T170" s="379">
        <v>6038</v>
      </c>
      <c r="U170" s="379">
        <v>8400</v>
      </c>
      <c r="V170" s="380">
        <v>158541.82</v>
      </c>
      <c r="W170" s="381">
        <v>12</v>
      </c>
      <c r="X170" s="379"/>
      <c r="Y170" s="379"/>
      <c r="Z170" s="379">
        <v>3011001</v>
      </c>
      <c r="AA170" s="379" t="s">
        <v>2461</v>
      </c>
      <c r="AB170" s="380">
        <f t="shared" si="2"/>
        <v>1</v>
      </c>
    </row>
    <row r="171" spans="1:31" outlineLevel="2" x14ac:dyDescent="0.3">
      <c r="A171" s="379">
        <v>431</v>
      </c>
      <c r="B171" s="379">
        <v>770000</v>
      </c>
      <c r="C171" s="379" t="s">
        <v>79</v>
      </c>
      <c r="D171" s="379">
        <v>30550371</v>
      </c>
      <c r="E171" s="379" t="s">
        <v>2602</v>
      </c>
      <c r="F171" s="379" t="s">
        <v>2418</v>
      </c>
      <c r="G171" s="383">
        <v>42856</v>
      </c>
      <c r="H171" s="379">
        <v>44657.52</v>
      </c>
      <c r="I171" s="379">
        <v>2082</v>
      </c>
      <c r="J171" s="379">
        <v>7693.22</v>
      </c>
      <c r="K171" s="379">
        <v>3386.56</v>
      </c>
      <c r="L171" s="379"/>
      <c r="M171" s="379">
        <v>148.75</v>
      </c>
      <c r="N171" s="379"/>
      <c r="O171" s="379">
        <v>28847.67</v>
      </c>
      <c r="P171" s="379">
        <v>7407.83</v>
      </c>
      <c r="Q171" s="379">
        <v>1049.6600000000001</v>
      </c>
      <c r="R171" s="379">
        <v>930.1</v>
      </c>
      <c r="S171" s="379">
        <v>3283.6</v>
      </c>
      <c r="T171" s="379"/>
      <c r="U171" s="379">
        <v>3138.66</v>
      </c>
      <c r="V171" s="380">
        <v>57968.05</v>
      </c>
      <c r="W171" s="381">
        <v>4.4829999999999997</v>
      </c>
      <c r="X171" s="379"/>
      <c r="Y171" s="379"/>
      <c r="Z171" s="379">
        <v>3011001</v>
      </c>
      <c r="AA171" s="379" t="s">
        <v>2461</v>
      </c>
      <c r="AB171" s="380">
        <f t="shared" si="2"/>
        <v>0.37358333333333332</v>
      </c>
    </row>
    <row r="172" spans="1:31" outlineLevel="2" x14ac:dyDescent="0.3">
      <c r="A172" s="379">
        <v>431</v>
      </c>
      <c r="B172" s="379">
        <v>770000</v>
      </c>
      <c r="C172" s="379" t="s">
        <v>79</v>
      </c>
      <c r="D172" s="379">
        <v>31127715</v>
      </c>
      <c r="E172" s="379" t="s">
        <v>2603</v>
      </c>
      <c r="F172" s="379" t="s">
        <v>2604</v>
      </c>
      <c r="G172" s="383">
        <v>42856</v>
      </c>
      <c r="H172" s="379">
        <v>120805.18</v>
      </c>
      <c r="I172" s="379">
        <v>6220.65</v>
      </c>
      <c r="J172" s="379">
        <v>21511.89</v>
      </c>
      <c r="K172" s="379">
        <v>9097.6</v>
      </c>
      <c r="L172" s="379"/>
      <c r="M172" s="379">
        <v>416.55</v>
      </c>
      <c r="N172" s="379"/>
      <c r="O172" s="379">
        <v>77873.14</v>
      </c>
      <c r="P172" s="379">
        <v>20040.5</v>
      </c>
      <c r="Q172" s="379">
        <v>2226</v>
      </c>
      <c r="R172" s="379">
        <v>6227.54</v>
      </c>
      <c r="S172" s="379"/>
      <c r="T172" s="379">
        <v>6038</v>
      </c>
      <c r="U172" s="379">
        <v>8400</v>
      </c>
      <c r="V172" s="380">
        <v>158051.87</v>
      </c>
      <c r="W172" s="381">
        <v>12</v>
      </c>
      <c r="X172" s="379"/>
      <c r="Y172" s="379"/>
      <c r="Z172" s="379">
        <v>3011001</v>
      </c>
      <c r="AA172" s="379" t="s">
        <v>2461</v>
      </c>
      <c r="AB172" s="380">
        <f t="shared" si="2"/>
        <v>1</v>
      </c>
    </row>
    <row r="173" spans="1:31" outlineLevel="1" x14ac:dyDescent="0.3">
      <c r="A173" s="379"/>
      <c r="B173" s="384" t="s">
        <v>2605</v>
      </c>
      <c r="C173" s="379"/>
      <c r="D173" s="379"/>
      <c r="E173" s="379"/>
      <c r="F173" s="379"/>
      <c r="G173" s="383"/>
      <c r="H173" s="379"/>
      <c r="I173" s="379"/>
      <c r="J173" s="379"/>
      <c r="K173" s="379"/>
      <c r="L173" s="379"/>
      <c r="M173" s="379"/>
      <c r="N173" s="379"/>
      <c r="O173" s="379"/>
      <c r="P173" s="379"/>
      <c r="Q173" s="379"/>
      <c r="R173" s="379"/>
      <c r="S173" s="379"/>
      <c r="T173" s="379"/>
      <c r="U173" s="379"/>
      <c r="V173" s="380">
        <f>SUBTOTAL(9,V162:V172)</f>
        <v>1675102.94</v>
      </c>
      <c r="W173" s="381">
        <f>SUBTOTAL(9,W162:W172)</f>
        <v>114.416</v>
      </c>
      <c r="X173" s="379"/>
      <c r="Y173" s="379"/>
      <c r="Z173" s="379"/>
      <c r="AA173" s="379"/>
      <c r="AB173" s="380">
        <f>SUBTOTAL(9,AB162:AB172)</f>
        <v>9.5346666666666664</v>
      </c>
    </row>
    <row r="174" spans="1:31" outlineLevel="2" x14ac:dyDescent="0.3">
      <c r="A174" s="379">
        <v>431</v>
      </c>
      <c r="B174" s="379">
        <v>772000</v>
      </c>
      <c r="C174" s="379" t="s">
        <v>78</v>
      </c>
      <c r="D174" s="379">
        <v>20435643</v>
      </c>
      <c r="E174" s="379" t="s">
        <v>2340</v>
      </c>
      <c r="F174" s="379" t="s">
        <v>2606</v>
      </c>
      <c r="G174" s="383">
        <v>43709</v>
      </c>
      <c r="H174" s="379">
        <v>13246.97</v>
      </c>
      <c r="I174" s="379">
        <v>470.26</v>
      </c>
      <c r="J174" s="379">
        <v>2658.94</v>
      </c>
      <c r="K174" s="379">
        <v>993.5</v>
      </c>
      <c r="L174" s="379"/>
      <c r="M174" s="379">
        <v>49.4</v>
      </c>
      <c r="N174" s="379"/>
      <c r="O174" s="379">
        <v>12368.62</v>
      </c>
      <c r="P174" s="379"/>
      <c r="Q174" s="379">
        <v>712.64</v>
      </c>
      <c r="R174" s="379"/>
      <c r="S174" s="379"/>
      <c r="T174" s="379">
        <v>5.91</v>
      </c>
      <c r="U174" s="379">
        <v>159.80000000000001</v>
      </c>
      <c r="V174" s="380">
        <v>17419.07</v>
      </c>
      <c r="W174" s="381">
        <v>2.4</v>
      </c>
      <c r="X174" s="379"/>
      <c r="Y174" s="379"/>
      <c r="Z174" s="379">
        <v>971001</v>
      </c>
      <c r="AA174" s="379" t="s">
        <v>2371</v>
      </c>
      <c r="AB174" s="380">
        <f t="shared" si="2"/>
        <v>0.19999999999999998</v>
      </c>
    </row>
    <row r="175" spans="1:31" outlineLevel="2" x14ac:dyDescent="0.3">
      <c r="A175" s="379">
        <v>431</v>
      </c>
      <c r="B175" s="379">
        <v>772000</v>
      </c>
      <c r="C175" s="379" t="s">
        <v>78</v>
      </c>
      <c r="D175" s="379">
        <v>30577109</v>
      </c>
      <c r="E175" s="379" t="s">
        <v>2607</v>
      </c>
      <c r="F175" s="379" t="s">
        <v>2608</v>
      </c>
      <c r="G175" s="383">
        <v>41122</v>
      </c>
      <c r="H175" s="379">
        <v>81171.45</v>
      </c>
      <c r="I175" s="379">
        <v>3191.58</v>
      </c>
      <c r="J175" s="379">
        <v>16983.169999999998</v>
      </c>
      <c r="K175" s="379">
        <v>6125.07</v>
      </c>
      <c r="L175" s="379"/>
      <c r="M175" s="379">
        <v>286.76</v>
      </c>
      <c r="N175" s="379"/>
      <c r="O175" s="379">
        <v>71482.559999999998</v>
      </c>
      <c r="P175" s="379">
        <v>157.58000000000001</v>
      </c>
      <c r="Q175" s="379">
        <v>2809.2</v>
      </c>
      <c r="R175" s="379">
        <v>54.11</v>
      </c>
      <c r="S175" s="379"/>
      <c r="T175" s="379">
        <v>6038</v>
      </c>
      <c r="U175" s="379">
        <v>630</v>
      </c>
      <c r="V175" s="380">
        <v>107758.03</v>
      </c>
      <c r="W175" s="381">
        <v>12</v>
      </c>
      <c r="X175" s="379"/>
      <c r="Y175" s="379"/>
      <c r="Z175" s="379">
        <v>3202003</v>
      </c>
      <c r="AA175" s="379" t="s">
        <v>2317</v>
      </c>
      <c r="AB175" s="380">
        <f t="shared" si="2"/>
        <v>1</v>
      </c>
    </row>
    <row r="176" spans="1:31" outlineLevel="1" x14ac:dyDescent="0.3">
      <c r="A176" s="379"/>
      <c r="B176" s="384" t="s">
        <v>2609</v>
      </c>
      <c r="C176" s="379"/>
      <c r="D176" s="379"/>
      <c r="E176" s="379"/>
      <c r="F176" s="379"/>
      <c r="G176" s="383"/>
      <c r="H176" s="379"/>
      <c r="I176" s="379"/>
      <c r="J176" s="379"/>
      <c r="K176" s="379"/>
      <c r="L176" s="379"/>
      <c r="M176" s="379"/>
      <c r="N176" s="379"/>
      <c r="O176" s="379"/>
      <c r="P176" s="379"/>
      <c r="Q176" s="379"/>
      <c r="R176" s="379"/>
      <c r="S176" s="379"/>
      <c r="T176" s="379"/>
      <c r="U176" s="379"/>
      <c r="V176" s="380">
        <f>SUBTOTAL(9,V174:V175)</f>
        <v>125177.1</v>
      </c>
      <c r="W176" s="381">
        <f>SUBTOTAL(9,W174:W175)</f>
        <v>14.4</v>
      </c>
      <c r="X176" s="379"/>
      <c r="Y176" s="379"/>
      <c r="Z176" s="379"/>
      <c r="AA176" s="379"/>
      <c r="AB176" s="380">
        <f>SUBTOTAL(9,AB174:AB175)</f>
        <v>1.2</v>
      </c>
    </row>
    <row r="177" spans="1:31" outlineLevel="2" x14ac:dyDescent="0.3">
      <c r="A177" s="379">
        <v>431</v>
      </c>
      <c r="B177" s="379">
        <v>772100</v>
      </c>
      <c r="C177" s="379" t="s">
        <v>2610</v>
      </c>
      <c r="D177" s="379">
        <v>3196056</v>
      </c>
      <c r="E177" s="379" t="s">
        <v>2428</v>
      </c>
      <c r="F177" s="379" t="s">
        <v>2611</v>
      </c>
      <c r="G177" s="383">
        <v>36861</v>
      </c>
      <c r="H177" s="379">
        <v>109400.11</v>
      </c>
      <c r="I177" s="379">
        <v>7560.5</v>
      </c>
      <c r="J177" s="379">
        <v>21471.23</v>
      </c>
      <c r="K177" s="379">
        <v>10420.200000000001</v>
      </c>
      <c r="L177" s="379"/>
      <c r="M177" s="379">
        <v>397.4</v>
      </c>
      <c r="N177" s="379"/>
      <c r="O177" s="379">
        <v>81744.210000000006</v>
      </c>
      <c r="P177" s="379">
        <v>18216.7</v>
      </c>
      <c r="Q177" s="379">
        <v>1319.2</v>
      </c>
      <c r="R177" s="379"/>
      <c r="S177" s="379"/>
      <c r="T177" s="379">
        <v>6902</v>
      </c>
      <c r="U177" s="379">
        <v>1218</v>
      </c>
      <c r="V177" s="380">
        <v>149249.44</v>
      </c>
      <c r="W177" s="381">
        <v>12</v>
      </c>
      <c r="X177" s="379"/>
      <c r="Y177" s="379"/>
      <c r="Z177" s="379">
        <v>3011001</v>
      </c>
      <c r="AA177" s="379" t="s">
        <v>2461</v>
      </c>
      <c r="AB177" s="380">
        <f t="shared" si="2"/>
        <v>1</v>
      </c>
    </row>
    <row r="178" spans="1:31" outlineLevel="2" x14ac:dyDescent="0.3">
      <c r="A178" s="379">
        <v>431</v>
      </c>
      <c r="B178" s="379">
        <v>772100</v>
      </c>
      <c r="C178" s="379" t="s">
        <v>2610</v>
      </c>
      <c r="D178" s="379">
        <v>3634013</v>
      </c>
      <c r="E178" s="379" t="s">
        <v>2511</v>
      </c>
      <c r="F178" s="379" t="s">
        <v>2512</v>
      </c>
      <c r="G178" s="383">
        <v>42795</v>
      </c>
      <c r="H178" s="379">
        <v>36658.589999999997</v>
      </c>
      <c r="I178" s="379">
        <v>2415.91</v>
      </c>
      <c r="J178" s="379">
        <v>6380.72</v>
      </c>
      <c r="K178" s="379">
        <v>3375.3</v>
      </c>
      <c r="L178" s="379"/>
      <c r="M178" s="379">
        <v>132.5</v>
      </c>
      <c r="N178" s="379"/>
      <c r="O178" s="379">
        <v>24996.21</v>
      </c>
      <c r="P178" s="379">
        <v>7478.96</v>
      </c>
      <c r="Q178" s="379">
        <v>340.4</v>
      </c>
      <c r="R178" s="379">
        <v>644.41999999999996</v>
      </c>
      <c r="S178" s="379"/>
      <c r="T178" s="379"/>
      <c r="U178" s="379">
        <v>3198.6</v>
      </c>
      <c r="V178" s="380">
        <v>48963.02</v>
      </c>
      <c r="W178" s="381">
        <v>4</v>
      </c>
      <c r="X178" s="379"/>
      <c r="Y178" s="379"/>
      <c r="Z178" s="379">
        <v>3011001</v>
      </c>
      <c r="AA178" s="379" t="s">
        <v>2461</v>
      </c>
      <c r="AB178" s="380">
        <f t="shared" si="2"/>
        <v>0.33333333333333331</v>
      </c>
    </row>
    <row r="179" spans="1:31" outlineLevel="2" x14ac:dyDescent="0.3">
      <c r="A179" s="379">
        <v>431</v>
      </c>
      <c r="B179" s="379">
        <v>772100</v>
      </c>
      <c r="C179" s="379" t="s">
        <v>2610</v>
      </c>
      <c r="D179" s="379">
        <v>3827875</v>
      </c>
      <c r="E179" s="379" t="s">
        <v>2612</v>
      </c>
      <c r="F179" s="379" t="s">
        <v>2613</v>
      </c>
      <c r="G179" s="383">
        <v>41671</v>
      </c>
      <c r="H179" s="379">
        <v>35132.26</v>
      </c>
      <c r="I179" s="379">
        <v>1333.51</v>
      </c>
      <c r="J179" s="379">
        <v>7062.97</v>
      </c>
      <c r="K179" s="379">
        <v>2568.0500000000002</v>
      </c>
      <c r="L179" s="379"/>
      <c r="M179" s="379">
        <v>127</v>
      </c>
      <c r="N179" s="379"/>
      <c r="O179" s="379">
        <v>29558.89</v>
      </c>
      <c r="P179" s="379">
        <v>69.12</v>
      </c>
      <c r="Q179" s="379">
        <v>1155.92</v>
      </c>
      <c r="R179" s="379">
        <v>2128.0300000000002</v>
      </c>
      <c r="S179" s="379"/>
      <c r="T179" s="379"/>
      <c r="U179" s="379">
        <v>2220.3000000000002</v>
      </c>
      <c r="V179" s="380">
        <v>46223.79</v>
      </c>
      <c r="W179" s="381">
        <v>4.7</v>
      </c>
      <c r="X179" s="379"/>
      <c r="Y179" s="379"/>
      <c r="Z179" s="379">
        <v>3202002</v>
      </c>
      <c r="AA179" s="379" t="s">
        <v>2290</v>
      </c>
      <c r="AB179" s="380">
        <f t="shared" si="2"/>
        <v>0.39166666666666666</v>
      </c>
    </row>
    <row r="180" spans="1:31" outlineLevel="2" x14ac:dyDescent="0.3">
      <c r="A180" s="379">
        <v>431</v>
      </c>
      <c r="B180" s="379">
        <v>772100</v>
      </c>
      <c r="C180" s="379" t="s">
        <v>2610</v>
      </c>
      <c r="D180" s="379">
        <v>3827875</v>
      </c>
      <c r="E180" s="379" t="s">
        <v>2612</v>
      </c>
      <c r="F180" s="379" t="s">
        <v>2613</v>
      </c>
      <c r="G180" s="383">
        <v>41671</v>
      </c>
      <c r="H180" s="379">
        <v>51564.09</v>
      </c>
      <c r="I180" s="379">
        <v>2158.8200000000002</v>
      </c>
      <c r="J180" s="379">
        <v>10561.03</v>
      </c>
      <c r="K180" s="379">
        <v>3867.3</v>
      </c>
      <c r="L180" s="379"/>
      <c r="M180" s="379">
        <v>177.7</v>
      </c>
      <c r="N180" s="379"/>
      <c r="O180" s="379">
        <v>44355.81</v>
      </c>
      <c r="P180" s="379"/>
      <c r="Q180" s="379">
        <v>1638.7</v>
      </c>
      <c r="R180" s="379">
        <v>70.08</v>
      </c>
      <c r="S180" s="379"/>
      <c r="T180" s="379">
        <v>5499.5</v>
      </c>
      <c r="U180" s="379"/>
      <c r="V180" s="380">
        <v>68328.94</v>
      </c>
      <c r="W180" s="381">
        <v>7</v>
      </c>
      <c r="X180" s="379"/>
      <c r="Y180" s="379"/>
      <c r="Z180" s="379">
        <v>3202004</v>
      </c>
      <c r="AA180" s="379" t="s">
        <v>2532</v>
      </c>
      <c r="AB180" s="380">
        <f t="shared" si="2"/>
        <v>0.58333333333333337</v>
      </c>
    </row>
    <row r="181" spans="1:31" outlineLevel="2" x14ac:dyDescent="0.3">
      <c r="A181" s="379">
        <v>431</v>
      </c>
      <c r="B181" s="379">
        <v>772100</v>
      </c>
      <c r="C181" s="379" t="s">
        <v>2610</v>
      </c>
      <c r="D181" s="379">
        <v>5285675</v>
      </c>
      <c r="E181" s="379" t="s">
        <v>2614</v>
      </c>
      <c r="F181" s="379" t="s">
        <v>2615</v>
      </c>
      <c r="G181" s="383">
        <v>41944</v>
      </c>
      <c r="H181" s="379">
        <v>239244.3</v>
      </c>
      <c r="I181" s="379">
        <v>15199.16</v>
      </c>
      <c r="J181" s="379">
        <v>43232.68</v>
      </c>
      <c r="K181" s="379">
        <v>17661.95</v>
      </c>
      <c r="L181" s="379"/>
      <c r="M181" s="379">
        <v>775.5</v>
      </c>
      <c r="N181" s="379"/>
      <c r="O181" s="379">
        <v>187677.58</v>
      </c>
      <c r="P181" s="379"/>
      <c r="Q181" s="379">
        <v>2392.86</v>
      </c>
      <c r="R181" s="379">
        <v>37187.360000000001</v>
      </c>
      <c r="S181" s="379"/>
      <c r="T181" s="379">
        <v>6038</v>
      </c>
      <c r="U181" s="379">
        <v>5948.5</v>
      </c>
      <c r="V181" s="380">
        <v>316113.59000000003</v>
      </c>
      <c r="W181" s="381">
        <v>12</v>
      </c>
      <c r="X181" s="379"/>
      <c r="Y181" s="379"/>
      <c r="Z181" s="379">
        <v>1125017</v>
      </c>
      <c r="AA181" s="379" t="s">
        <v>2395</v>
      </c>
      <c r="AB181" s="380">
        <f t="shared" si="2"/>
        <v>1</v>
      </c>
    </row>
    <row r="182" spans="1:31" outlineLevel="2" x14ac:dyDescent="0.3">
      <c r="A182" s="379">
        <v>431</v>
      </c>
      <c r="B182" s="379">
        <v>772100</v>
      </c>
      <c r="C182" s="379" t="s">
        <v>2610</v>
      </c>
      <c r="D182" s="379">
        <v>5429070</v>
      </c>
      <c r="E182" s="379" t="s">
        <v>2513</v>
      </c>
      <c r="F182" s="379" t="s">
        <v>2514</v>
      </c>
      <c r="G182" s="383">
        <v>31656</v>
      </c>
      <c r="H182" s="379">
        <v>48016.160000000003</v>
      </c>
      <c r="I182" s="379">
        <v>2735.43</v>
      </c>
      <c r="J182" s="379">
        <v>4608.88</v>
      </c>
      <c r="K182" s="379">
        <v>3601.21</v>
      </c>
      <c r="L182" s="379"/>
      <c r="M182" s="379">
        <v>191.04</v>
      </c>
      <c r="N182" s="379"/>
      <c r="O182" s="379">
        <v>42966.44</v>
      </c>
      <c r="P182" s="379">
        <v>4806.5200000000004</v>
      </c>
      <c r="Q182" s="379">
        <v>243.2</v>
      </c>
      <c r="R182" s="379"/>
      <c r="S182" s="379"/>
      <c r="T182" s="379"/>
      <c r="U182" s="379"/>
      <c r="V182" s="380">
        <v>59152.72</v>
      </c>
      <c r="W182" s="381">
        <v>4</v>
      </c>
      <c r="X182" s="379"/>
      <c r="Y182" s="379"/>
      <c r="Z182" s="379">
        <v>1124014</v>
      </c>
      <c r="AA182" s="379" t="s">
        <v>2515</v>
      </c>
      <c r="AB182" s="380">
        <f t="shared" si="2"/>
        <v>0.33333333333333331</v>
      </c>
    </row>
    <row r="183" spans="1:31" outlineLevel="2" x14ac:dyDescent="0.3">
      <c r="A183" s="379">
        <v>431</v>
      </c>
      <c r="B183" s="379">
        <v>772100</v>
      </c>
      <c r="C183" s="379" t="s">
        <v>2610</v>
      </c>
      <c r="D183" s="379">
        <v>5746183</v>
      </c>
      <c r="E183" s="379" t="s">
        <v>2516</v>
      </c>
      <c r="F183" s="379" t="s">
        <v>2517</v>
      </c>
      <c r="G183" s="383">
        <v>34001</v>
      </c>
      <c r="H183" s="379">
        <v>75766.16</v>
      </c>
      <c r="I183" s="379">
        <v>4609.32</v>
      </c>
      <c r="J183" s="379">
        <v>7500.49</v>
      </c>
      <c r="K183" s="379">
        <v>5682.69</v>
      </c>
      <c r="L183" s="379"/>
      <c r="M183" s="379">
        <v>235.98</v>
      </c>
      <c r="N183" s="379"/>
      <c r="O183" s="379">
        <v>43906.44</v>
      </c>
      <c r="P183" s="379"/>
      <c r="Q183" s="379">
        <v>1678.4</v>
      </c>
      <c r="R183" s="379">
        <v>29174.85</v>
      </c>
      <c r="S183" s="379"/>
      <c r="T183" s="379">
        <v>107.87</v>
      </c>
      <c r="U183" s="379">
        <v>898.6</v>
      </c>
      <c r="V183" s="380">
        <v>93794.64</v>
      </c>
      <c r="W183" s="381">
        <v>4</v>
      </c>
      <c r="X183" s="379"/>
      <c r="Y183" s="379"/>
      <c r="Z183" s="379">
        <v>1124015</v>
      </c>
      <c r="AA183" s="379" t="s">
        <v>2489</v>
      </c>
      <c r="AB183" s="380">
        <f t="shared" si="2"/>
        <v>0.33333333333333331</v>
      </c>
    </row>
    <row r="184" spans="1:31" outlineLevel="2" x14ac:dyDescent="0.3">
      <c r="A184" s="379">
        <v>431</v>
      </c>
      <c r="B184" s="379">
        <v>772100</v>
      </c>
      <c r="C184" s="379" t="s">
        <v>2610</v>
      </c>
      <c r="D184" s="379">
        <v>30244314</v>
      </c>
      <c r="E184" s="379" t="s">
        <v>2616</v>
      </c>
      <c r="F184" s="379" t="s">
        <v>2617</v>
      </c>
      <c r="G184" s="383">
        <v>43739</v>
      </c>
      <c r="H184" s="379">
        <v>10837.53</v>
      </c>
      <c r="I184" s="379">
        <v>523.73</v>
      </c>
      <c r="J184" s="379">
        <v>1554.59</v>
      </c>
      <c r="K184" s="379">
        <v>812.8</v>
      </c>
      <c r="L184" s="379"/>
      <c r="M184" s="379">
        <v>34.549999999999997</v>
      </c>
      <c r="N184" s="379"/>
      <c r="O184" s="379">
        <v>8636.0499999999993</v>
      </c>
      <c r="P184" s="379"/>
      <c r="Q184" s="379">
        <v>205.7</v>
      </c>
      <c r="R184" s="379">
        <v>1995.78</v>
      </c>
      <c r="S184" s="379"/>
      <c r="T184" s="379"/>
      <c r="U184" s="379"/>
      <c r="V184" s="380">
        <v>13763.2</v>
      </c>
      <c r="W184" s="381">
        <v>1</v>
      </c>
      <c r="X184" s="379"/>
      <c r="Y184" s="379"/>
      <c r="Z184" s="379">
        <v>1003</v>
      </c>
      <c r="AA184" s="379" t="s">
        <v>2558</v>
      </c>
      <c r="AB184" s="380">
        <f t="shared" si="2"/>
        <v>8.3333333333333329E-2</v>
      </c>
    </row>
    <row r="185" spans="1:31" outlineLevel="2" x14ac:dyDescent="0.3">
      <c r="A185" s="379">
        <v>431</v>
      </c>
      <c r="B185" s="379">
        <v>772100</v>
      </c>
      <c r="C185" s="379" t="s">
        <v>2610</v>
      </c>
      <c r="D185" s="379">
        <v>30297282</v>
      </c>
      <c r="E185" s="379" t="s">
        <v>2618</v>
      </c>
      <c r="F185" s="379" t="s">
        <v>2619</v>
      </c>
      <c r="G185" s="383">
        <v>43101</v>
      </c>
      <c r="H185" s="379">
        <v>129299.64</v>
      </c>
      <c r="I185" s="379">
        <v>6828.26</v>
      </c>
      <c r="J185" s="379">
        <v>24333.71</v>
      </c>
      <c r="K185" s="379">
        <v>9697.4500000000007</v>
      </c>
      <c r="L185" s="379"/>
      <c r="M185" s="379">
        <v>399.05</v>
      </c>
      <c r="N185" s="379"/>
      <c r="O185" s="379">
        <v>87316.01</v>
      </c>
      <c r="P185" s="379"/>
      <c r="Q185" s="379">
        <v>2809.2</v>
      </c>
      <c r="R185" s="379">
        <v>33414.17</v>
      </c>
      <c r="S185" s="379"/>
      <c r="T185" s="379">
        <v>5760.26</v>
      </c>
      <c r="U185" s="379"/>
      <c r="V185" s="380">
        <v>170558.11</v>
      </c>
      <c r="W185" s="381">
        <v>12</v>
      </c>
      <c r="X185" s="379"/>
      <c r="Y185" s="379"/>
      <c r="Z185" s="379">
        <v>971001</v>
      </c>
      <c r="AA185" s="379" t="s">
        <v>2371</v>
      </c>
      <c r="AB185" s="380">
        <f t="shared" si="2"/>
        <v>1</v>
      </c>
    </row>
    <row r="186" spans="1:31" outlineLevel="1" x14ac:dyDescent="0.3">
      <c r="A186" s="379"/>
      <c r="B186" s="384" t="s">
        <v>2620</v>
      </c>
      <c r="C186" s="379"/>
      <c r="D186" s="379"/>
      <c r="E186" s="379"/>
      <c r="F186" s="379"/>
      <c r="G186" s="383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80">
        <f>SUBTOTAL(9,V177:V185)</f>
        <v>966147.45</v>
      </c>
      <c r="W186" s="381">
        <f>SUBTOTAL(9,W177:W185)</f>
        <v>60.7</v>
      </c>
      <c r="X186" s="379"/>
      <c r="Y186" s="379"/>
      <c r="Z186" s="379"/>
      <c r="AA186" s="379"/>
      <c r="AB186" s="380">
        <f>SUBTOTAL(9,AB177:AB185)</f>
        <v>5.0583333333333336</v>
      </c>
      <c r="AC186" s="385">
        <f>V186+V176+V173</f>
        <v>2766427.49</v>
      </c>
      <c r="AD186" s="385">
        <f>W186+W176+W173</f>
        <v>189.51600000000002</v>
      </c>
      <c r="AE186" s="385">
        <f>AB186+AB176+AB173</f>
        <v>15.792999999999999</v>
      </c>
    </row>
    <row r="187" spans="1:31" outlineLevel="2" x14ac:dyDescent="0.3">
      <c r="A187" s="379">
        <v>431</v>
      </c>
      <c r="B187" s="379">
        <v>781000</v>
      </c>
      <c r="C187" s="379" t="s">
        <v>1238</v>
      </c>
      <c r="D187" s="379">
        <v>2244315</v>
      </c>
      <c r="E187" s="379" t="s">
        <v>2318</v>
      </c>
      <c r="F187" s="379" t="s">
        <v>2319</v>
      </c>
      <c r="G187" s="383">
        <v>42278</v>
      </c>
      <c r="H187" s="379">
        <v>26152.82</v>
      </c>
      <c r="I187" s="379">
        <v>965.76</v>
      </c>
      <c r="J187" s="379">
        <v>5550.36</v>
      </c>
      <c r="K187" s="379">
        <v>1998.05</v>
      </c>
      <c r="L187" s="379"/>
      <c r="M187" s="379">
        <v>87.2</v>
      </c>
      <c r="N187" s="379"/>
      <c r="O187" s="379">
        <v>21884.99</v>
      </c>
      <c r="P187" s="379"/>
      <c r="Q187" s="379">
        <v>2080.1999999999998</v>
      </c>
      <c r="R187" s="379"/>
      <c r="S187" s="379"/>
      <c r="T187" s="379">
        <v>2187.63</v>
      </c>
      <c r="U187" s="379"/>
      <c r="V187" s="380">
        <v>34754.19</v>
      </c>
      <c r="W187" s="381">
        <v>3.649</v>
      </c>
      <c r="X187" s="379"/>
      <c r="Y187" s="379"/>
      <c r="Z187" s="379">
        <v>5931001</v>
      </c>
      <c r="AA187" s="379" t="s">
        <v>2320</v>
      </c>
      <c r="AB187" s="380">
        <f t="shared" si="2"/>
        <v>0.30408333333333332</v>
      </c>
    </row>
    <row r="188" spans="1:31" outlineLevel="2" x14ac:dyDescent="0.3">
      <c r="A188" s="379">
        <v>431</v>
      </c>
      <c r="B188" s="379">
        <v>781000</v>
      </c>
      <c r="C188" s="379" t="s">
        <v>1238</v>
      </c>
      <c r="D188" s="379">
        <v>2371283</v>
      </c>
      <c r="E188" s="379" t="s">
        <v>2303</v>
      </c>
      <c r="F188" s="379" t="s">
        <v>2304</v>
      </c>
      <c r="G188" s="383">
        <v>41821</v>
      </c>
      <c r="H188" s="379">
        <v>120273.9</v>
      </c>
      <c r="I188" s="379">
        <v>6179.51</v>
      </c>
      <c r="J188" s="379">
        <v>22128.25</v>
      </c>
      <c r="K188" s="379">
        <v>9057.65</v>
      </c>
      <c r="L188" s="379"/>
      <c r="M188" s="379">
        <v>405.25</v>
      </c>
      <c r="N188" s="379"/>
      <c r="O188" s="379">
        <v>78298.39</v>
      </c>
      <c r="P188" s="379">
        <v>21297.5</v>
      </c>
      <c r="Q188" s="379">
        <v>2809.2</v>
      </c>
      <c r="R188" s="379">
        <v>1702.81</v>
      </c>
      <c r="S188" s="379"/>
      <c r="T188" s="379">
        <v>7766</v>
      </c>
      <c r="U188" s="379">
        <v>8400</v>
      </c>
      <c r="V188" s="380">
        <v>158044.56</v>
      </c>
      <c r="W188" s="381">
        <v>12</v>
      </c>
      <c r="X188" s="379"/>
      <c r="Y188" s="379"/>
      <c r="Z188" s="379">
        <v>3011002</v>
      </c>
      <c r="AA188" s="379" t="s">
        <v>2594</v>
      </c>
      <c r="AB188" s="380">
        <f t="shared" si="2"/>
        <v>1</v>
      </c>
    </row>
    <row r="189" spans="1:31" outlineLevel="2" x14ac:dyDescent="0.3">
      <c r="A189" s="379">
        <v>431</v>
      </c>
      <c r="B189" s="379">
        <v>781000</v>
      </c>
      <c r="C189" s="379" t="s">
        <v>1238</v>
      </c>
      <c r="D189" s="379">
        <v>2468106</v>
      </c>
      <c r="E189" s="379" t="s">
        <v>2621</v>
      </c>
      <c r="F189" s="379" t="s">
        <v>2452</v>
      </c>
      <c r="G189" s="383">
        <v>42461</v>
      </c>
      <c r="H189" s="379">
        <v>122396.44</v>
      </c>
      <c r="I189" s="379">
        <v>6341.55</v>
      </c>
      <c r="J189" s="379">
        <v>22432.04</v>
      </c>
      <c r="K189" s="379">
        <v>9216.9500000000007</v>
      </c>
      <c r="L189" s="379"/>
      <c r="M189" s="379">
        <v>420.5</v>
      </c>
      <c r="N189" s="379"/>
      <c r="O189" s="379">
        <v>80507.23</v>
      </c>
      <c r="P189" s="379">
        <v>21859.5</v>
      </c>
      <c r="Q189" s="379">
        <v>2809.2</v>
      </c>
      <c r="R189" s="379">
        <v>2782.51</v>
      </c>
      <c r="S189" s="379"/>
      <c r="T189" s="379">
        <v>6038</v>
      </c>
      <c r="U189" s="379">
        <v>8400</v>
      </c>
      <c r="V189" s="380">
        <v>160807.48000000001</v>
      </c>
      <c r="W189" s="381">
        <v>12</v>
      </c>
      <c r="X189" s="379"/>
      <c r="Y189" s="379"/>
      <c r="Z189" s="379">
        <v>3011002</v>
      </c>
      <c r="AA189" s="379" t="s">
        <v>2594</v>
      </c>
      <c r="AB189" s="380">
        <f t="shared" si="2"/>
        <v>1</v>
      </c>
    </row>
    <row r="190" spans="1:31" outlineLevel="2" x14ac:dyDescent="0.3">
      <c r="A190" s="379">
        <v>431</v>
      </c>
      <c r="B190" s="379">
        <v>781000</v>
      </c>
      <c r="C190" s="379" t="s">
        <v>1238</v>
      </c>
      <c r="D190" s="379">
        <v>3633957</v>
      </c>
      <c r="E190" s="379" t="s">
        <v>2451</v>
      </c>
      <c r="F190" s="379" t="s">
        <v>2622</v>
      </c>
      <c r="G190" s="383">
        <v>43647</v>
      </c>
      <c r="H190" s="379">
        <v>48177.760000000002</v>
      </c>
      <c r="I190" s="379">
        <v>2163.64</v>
      </c>
      <c r="J190" s="379">
        <v>5756.36</v>
      </c>
      <c r="K190" s="379">
        <v>3613.35</v>
      </c>
      <c r="L190" s="379"/>
      <c r="M190" s="379">
        <v>170.6</v>
      </c>
      <c r="N190" s="379"/>
      <c r="O190" s="379">
        <v>33177.279999999999</v>
      </c>
      <c r="P190" s="379">
        <v>9462.27</v>
      </c>
      <c r="Q190" s="379">
        <v>1360.82</v>
      </c>
      <c r="R190" s="379"/>
      <c r="S190" s="379"/>
      <c r="T190" s="379"/>
      <c r="U190" s="379">
        <v>4177.3900000000003</v>
      </c>
      <c r="V190" s="380">
        <v>59881.71</v>
      </c>
      <c r="W190" s="381">
        <v>5.9669999999999996</v>
      </c>
      <c r="X190" s="379"/>
      <c r="Y190" s="379"/>
      <c r="Z190" s="379">
        <v>3011002</v>
      </c>
      <c r="AA190" s="379" t="s">
        <v>2594</v>
      </c>
      <c r="AB190" s="380">
        <f t="shared" si="2"/>
        <v>0.49724999999999997</v>
      </c>
    </row>
    <row r="191" spans="1:31" outlineLevel="2" x14ac:dyDescent="0.3">
      <c r="A191" s="379">
        <v>431</v>
      </c>
      <c r="B191" s="379">
        <v>781000</v>
      </c>
      <c r="C191" s="379" t="s">
        <v>1238</v>
      </c>
      <c r="D191" s="379">
        <v>3634013</v>
      </c>
      <c r="E191" s="379" t="s">
        <v>2511</v>
      </c>
      <c r="F191" s="379" t="s">
        <v>2512</v>
      </c>
      <c r="G191" s="383">
        <v>42795</v>
      </c>
      <c r="H191" s="379">
        <v>2917.48</v>
      </c>
      <c r="I191" s="379">
        <v>142.41999999999999</v>
      </c>
      <c r="J191" s="379">
        <v>262.39</v>
      </c>
      <c r="K191" s="379">
        <v>218.87</v>
      </c>
      <c r="L191" s="379"/>
      <c r="M191" s="379">
        <v>8.18</v>
      </c>
      <c r="N191" s="379"/>
      <c r="O191" s="379">
        <v>132.63999999999999</v>
      </c>
      <c r="P191" s="379">
        <v>1706.5</v>
      </c>
      <c r="Q191" s="379">
        <v>185.5</v>
      </c>
      <c r="R191" s="379">
        <v>192.84</v>
      </c>
      <c r="S191" s="379"/>
      <c r="T191" s="379"/>
      <c r="U191" s="379">
        <v>700</v>
      </c>
      <c r="V191" s="380">
        <v>3549.34</v>
      </c>
      <c r="W191" s="381"/>
      <c r="X191" s="379"/>
      <c r="Y191" s="379"/>
      <c r="Z191" s="379">
        <v>3011001</v>
      </c>
      <c r="AA191" s="379" t="s">
        <v>2461</v>
      </c>
      <c r="AB191" s="380">
        <f t="shared" si="2"/>
        <v>0</v>
      </c>
    </row>
    <row r="192" spans="1:31" outlineLevel="2" x14ac:dyDescent="0.3">
      <c r="A192" s="379">
        <v>431</v>
      </c>
      <c r="B192" s="379">
        <v>781000</v>
      </c>
      <c r="C192" s="379" t="s">
        <v>1238</v>
      </c>
      <c r="D192" s="379">
        <v>3634013</v>
      </c>
      <c r="E192" s="379" t="s">
        <v>2511</v>
      </c>
      <c r="F192" s="379" t="s">
        <v>2512</v>
      </c>
      <c r="G192" s="383">
        <v>42795</v>
      </c>
      <c r="H192" s="379">
        <v>26773.200000000001</v>
      </c>
      <c r="I192" s="379">
        <v>1285.83</v>
      </c>
      <c r="J192" s="379">
        <v>4566.88</v>
      </c>
      <c r="K192" s="379">
        <v>2008</v>
      </c>
      <c r="L192" s="379"/>
      <c r="M192" s="379">
        <v>95.9</v>
      </c>
      <c r="N192" s="379"/>
      <c r="O192" s="379">
        <v>18376.37</v>
      </c>
      <c r="P192" s="379">
        <v>4969</v>
      </c>
      <c r="Q192" s="379">
        <v>702.3</v>
      </c>
      <c r="R192" s="379">
        <v>625.53</v>
      </c>
      <c r="S192" s="379"/>
      <c r="T192" s="379"/>
      <c r="U192" s="379">
        <v>2100</v>
      </c>
      <c r="V192" s="380">
        <v>34729.81</v>
      </c>
      <c r="W192" s="381">
        <v>3</v>
      </c>
      <c r="X192" s="379"/>
      <c r="Y192" s="379"/>
      <c r="Z192" s="379">
        <v>3011002</v>
      </c>
      <c r="AA192" s="379" t="s">
        <v>2594</v>
      </c>
      <c r="AB192" s="380">
        <f t="shared" si="2"/>
        <v>0.25</v>
      </c>
    </row>
    <row r="193" spans="1:31" outlineLevel="2" x14ac:dyDescent="0.3">
      <c r="A193" s="379">
        <v>431</v>
      </c>
      <c r="B193" s="379">
        <v>781000</v>
      </c>
      <c r="C193" s="379" t="s">
        <v>1238</v>
      </c>
      <c r="D193" s="379">
        <v>5268120</v>
      </c>
      <c r="E193" s="379" t="s">
        <v>2623</v>
      </c>
      <c r="F193" s="379" t="s">
        <v>2624</v>
      </c>
      <c r="G193" s="383">
        <v>42248</v>
      </c>
      <c r="H193" s="379">
        <v>74312.73</v>
      </c>
      <c r="I193" s="379">
        <v>2910.07</v>
      </c>
      <c r="J193" s="379">
        <v>15165.39</v>
      </c>
      <c r="K193" s="379">
        <v>5610.61</v>
      </c>
      <c r="L193" s="379"/>
      <c r="M193" s="379">
        <v>257.3</v>
      </c>
      <c r="N193" s="379"/>
      <c r="O193" s="379">
        <v>63312.31</v>
      </c>
      <c r="P193" s="379">
        <v>258.8</v>
      </c>
      <c r="Q193" s="379">
        <v>2387.86</v>
      </c>
      <c r="R193" s="379">
        <v>758.81</v>
      </c>
      <c r="S193" s="379"/>
      <c r="T193" s="379">
        <v>4486.2299999999996</v>
      </c>
      <c r="U193" s="379">
        <v>3108.72</v>
      </c>
      <c r="V193" s="380">
        <v>98256.1</v>
      </c>
      <c r="W193" s="381">
        <v>10.964</v>
      </c>
      <c r="X193" s="379"/>
      <c r="Y193" s="379"/>
      <c r="Z193" s="379">
        <v>1123014</v>
      </c>
      <c r="AA193" s="379" t="s">
        <v>2625</v>
      </c>
      <c r="AB193" s="380">
        <f t="shared" si="2"/>
        <v>0.91366666666666674</v>
      </c>
    </row>
    <row r="194" spans="1:31" outlineLevel="2" x14ac:dyDescent="0.3">
      <c r="A194" s="379">
        <v>431</v>
      </c>
      <c r="B194" s="379">
        <v>781000</v>
      </c>
      <c r="C194" s="379" t="s">
        <v>1238</v>
      </c>
      <c r="D194" s="379">
        <v>5429070</v>
      </c>
      <c r="E194" s="379" t="s">
        <v>2513</v>
      </c>
      <c r="F194" s="379" t="s">
        <v>2514</v>
      </c>
      <c r="G194" s="383">
        <v>31656</v>
      </c>
      <c r="H194" s="379">
        <v>36646.33</v>
      </c>
      <c r="I194" s="379">
        <v>2008.53</v>
      </c>
      <c r="J194" s="379">
        <v>3551.75</v>
      </c>
      <c r="K194" s="379">
        <v>2748.5</v>
      </c>
      <c r="L194" s="379"/>
      <c r="M194" s="379">
        <v>144.53</v>
      </c>
      <c r="N194" s="379"/>
      <c r="O194" s="379">
        <v>31413.63</v>
      </c>
      <c r="P194" s="379">
        <v>4715.8</v>
      </c>
      <c r="Q194" s="379">
        <v>516.9</v>
      </c>
      <c r="R194" s="379"/>
      <c r="S194" s="379"/>
      <c r="T194" s="379"/>
      <c r="U194" s="379"/>
      <c r="V194" s="380">
        <v>45099.64</v>
      </c>
      <c r="W194" s="381">
        <v>3</v>
      </c>
      <c r="X194" s="379"/>
      <c r="Y194" s="379"/>
      <c r="Z194" s="379">
        <v>1124014</v>
      </c>
      <c r="AA194" s="379" t="s">
        <v>2515</v>
      </c>
      <c r="AB194" s="380">
        <f t="shared" si="2"/>
        <v>0.25</v>
      </c>
    </row>
    <row r="195" spans="1:31" outlineLevel="2" x14ac:dyDescent="0.3">
      <c r="A195" s="379">
        <v>431</v>
      </c>
      <c r="B195" s="379">
        <v>781000</v>
      </c>
      <c r="C195" s="379" t="s">
        <v>1238</v>
      </c>
      <c r="D195" s="379">
        <v>5716916</v>
      </c>
      <c r="E195" s="379" t="s">
        <v>2626</v>
      </c>
      <c r="F195" s="379" t="s">
        <v>2627</v>
      </c>
      <c r="G195" s="383">
        <v>31747</v>
      </c>
      <c r="H195" s="379">
        <v>188121.51</v>
      </c>
      <c r="I195" s="379">
        <v>13901.89</v>
      </c>
      <c r="J195" s="379">
        <v>18738.09</v>
      </c>
      <c r="K195" s="379">
        <v>16680.25</v>
      </c>
      <c r="L195" s="379"/>
      <c r="M195" s="379">
        <v>714.9</v>
      </c>
      <c r="N195" s="379"/>
      <c r="O195" s="379">
        <v>139693.03</v>
      </c>
      <c r="P195" s="379">
        <v>32009.52</v>
      </c>
      <c r="Q195" s="379">
        <v>1617.2</v>
      </c>
      <c r="R195" s="379"/>
      <c r="S195" s="379"/>
      <c r="T195" s="379">
        <v>14801.76</v>
      </c>
      <c r="U195" s="379"/>
      <c r="V195" s="380">
        <v>238156.64</v>
      </c>
      <c r="W195" s="381">
        <v>12</v>
      </c>
      <c r="X195" s="379"/>
      <c r="Y195" s="379"/>
      <c r="Z195" s="379">
        <v>1125017</v>
      </c>
      <c r="AA195" s="379" t="s">
        <v>2395</v>
      </c>
      <c r="AB195" s="380">
        <f t="shared" si="2"/>
        <v>1</v>
      </c>
    </row>
    <row r="196" spans="1:31" outlineLevel="2" x14ac:dyDescent="0.3">
      <c r="A196" s="379">
        <v>431</v>
      </c>
      <c r="B196" s="379">
        <v>781000</v>
      </c>
      <c r="C196" s="379" t="s">
        <v>1238</v>
      </c>
      <c r="D196" s="379">
        <v>30577109</v>
      </c>
      <c r="E196" s="379" t="s">
        <v>2607</v>
      </c>
      <c r="F196" s="379" t="s">
        <v>2608</v>
      </c>
      <c r="G196" s="383">
        <v>41122</v>
      </c>
      <c r="H196" s="379">
        <v>73.22</v>
      </c>
      <c r="I196" s="379">
        <v>2.71</v>
      </c>
      <c r="J196" s="379">
        <v>15.34</v>
      </c>
      <c r="K196" s="379">
        <v>5.48</v>
      </c>
      <c r="L196" s="379"/>
      <c r="M196" s="379">
        <v>0.28999999999999998</v>
      </c>
      <c r="N196" s="379"/>
      <c r="O196" s="379">
        <v>73.22</v>
      </c>
      <c r="P196" s="379"/>
      <c r="Q196" s="379"/>
      <c r="R196" s="379"/>
      <c r="S196" s="379"/>
      <c r="T196" s="379"/>
      <c r="U196" s="379"/>
      <c r="V196" s="380">
        <v>97.04</v>
      </c>
      <c r="W196" s="381"/>
      <c r="X196" s="379"/>
      <c r="Y196" s="379"/>
      <c r="Z196" s="379">
        <v>3202003</v>
      </c>
      <c r="AA196" s="379" t="s">
        <v>2317</v>
      </c>
      <c r="AB196" s="380">
        <f t="shared" si="2"/>
        <v>0</v>
      </c>
    </row>
    <row r="197" spans="1:31" outlineLevel="2" x14ac:dyDescent="0.3">
      <c r="A197" s="379">
        <v>654</v>
      </c>
      <c r="B197" s="379">
        <v>781000</v>
      </c>
      <c r="C197" s="379" t="s">
        <v>1238</v>
      </c>
      <c r="D197" s="379">
        <v>5586165</v>
      </c>
      <c r="E197" s="379" t="s">
        <v>2375</v>
      </c>
      <c r="F197" s="379" t="s">
        <v>2376</v>
      </c>
      <c r="G197" s="383">
        <v>40878</v>
      </c>
      <c r="H197" s="379">
        <v>1948.02</v>
      </c>
      <c r="I197" s="379">
        <v>70.680000000000007</v>
      </c>
      <c r="J197" s="379">
        <v>409.32</v>
      </c>
      <c r="K197" s="379">
        <v>146.12</v>
      </c>
      <c r="L197" s="379"/>
      <c r="M197" s="379">
        <v>5.83</v>
      </c>
      <c r="N197" s="379"/>
      <c r="O197" s="379">
        <v>1424.42</v>
      </c>
      <c r="P197" s="379"/>
      <c r="Q197" s="379"/>
      <c r="R197" s="379"/>
      <c r="S197" s="379"/>
      <c r="T197" s="379">
        <v>523.6</v>
      </c>
      <c r="U197" s="379"/>
      <c r="V197" s="380">
        <v>2579.9699999999998</v>
      </c>
      <c r="W197" s="381">
        <v>0.25</v>
      </c>
      <c r="X197" s="379"/>
      <c r="Y197" s="379"/>
      <c r="Z197" s="379">
        <v>5923001</v>
      </c>
      <c r="AA197" s="379" t="s">
        <v>2354</v>
      </c>
      <c r="AB197" s="380">
        <f t="shared" si="2"/>
        <v>2.0833333333333332E-2</v>
      </c>
    </row>
    <row r="198" spans="1:31" outlineLevel="1" x14ac:dyDescent="0.3">
      <c r="A198" s="379"/>
      <c r="B198" s="384" t="s">
        <v>2628</v>
      </c>
      <c r="C198" s="379"/>
      <c r="D198" s="379"/>
      <c r="E198" s="379"/>
      <c r="F198" s="379"/>
      <c r="G198" s="383"/>
      <c r="H198" s="379"/>
      <c r="I198" s="379"/>
      <c r="J198" s="379"/>
      <c r="K198" s="379"/>
      <c r="L198" s="379"/>
      <c r="M198" s="379"/>
      <c r="N198" s="379"/>
      <c r="O198" s="379"/>
      <c r="P198" s="379"/>
      <c r="Q198" s="379"/>
      <c r="R198" s="379"/>
      <c r="S198" s="379"/>
      <c r="T198" s="379"/>
      <c r="U198" s="379"/>
      <c r="V198" s="380">
        <f>SUBTOTAL(9,V187:V197)</f>
        <v>835956.4800000001</v>
      </c>
      <c r="W198" s="381">
        <f>SUBTOTAL(9,W187:W197)</f>
        <v>62.83</v>
      </c>
      <c r="X198" s="379"/>
      <c r="Y198" s="379"/>
      <c r="Z198" s="379"/>
      <c r="AA198" s="379"/>
      <c r="AB198" s="380">
        <f>SUBTOTAL(9,AB187:AB197)</f>
        <v>5.2358333333333329</v>
      </c>
      <c r="AC198" s="385">
        <f>V198</f>
        <v>835956.4800000001</v>
      </c>
      <c r="AD198" s="385">
        <f>W198</f>
        <v>62.83</v>
      </c>
      <c r="AE198" s="385">
        <f>AB198</f>
        <v>5.2358333333333329</v>
      </c>
    </row>
    <row r="199" spans="1:31" outlineLevel="2" x14ac:dyDescent="0.3">
      <c r="A199" s="379">
        <v>654</v>
      </c>
      <c r="B199" s="379">
        <v>811000</v>
      </c>
      <c r="C199" s="379" t="s">
        <v>1089</v>
      </c>
      <c r="D199" s="379">
        <v>2155137</v>
      </c>
      <c r="E199" s="379" t="s">
        <v>2315</v>
      </c>
      <c r="F199" s="379" t="s">
        <v>2316</v>
      </c>
      <c r="G199" s="383">
        <v>39692</v>
      </c>
      <c r="H199" s="379">
        <v>6297.28</v>
      </c>
      <c r="I199" s="379">
        <v>228.95</v>
      </c>
      <c r="J199" s="379">
        <v>1219.72</v>
      </c>
      <c r="K199" s="379">
        <v>472.3</v>
      </c>
      <c r="L199" s="379"/>
      <c r="M199" s="379">
        <v>23.15</v>
      </c>
      <c r="N199" s="379"/>
      <c r="O199" s="379">
        <v>5508.77</v>
      </c>
      <c r="P199" s="379">
        <v>275.77</v>
      </c>
      <c r="Q199" s="379">
        <v>229.24</v>
      </c>
      <c r="R199" s="379"/>
      <c r="S199" s="379"/>
      <c r="T199" s="379"/>
      <c r="U199" s="379">
        <v>283.5</v>
      </c>
      <c r="V199" s="380">
        <v>8241.4</v>
      </c>
      <c r="W199" s="381">
        <v>0.9</v>
      </c>
      <c r="X199" s="379"/>
      <c r="Y199" s="379"/>
      <c r="Z199" s="379">
        <v>3202003</v>
      </c>
      <c r="AA199" s="379" t="s">
        <v>2317</v>
      </c>
      <c r="AB199" s="380">
        <f t="shared" si="2"/>
        <v>7.4999999999999997E-2</v>
      </c>
    </row>
    <row r="200" spans="1:31" outlineLevel="2" x14ac:dyDescent="0.3">
      <c r="A200" s="379">
        <v>654</v>
      </c>
      <c r="B200" s="379">
        <v>811000</v>
      </c>
      <c r="C200" s="379" t="s">
        <v>1089</v>
      </c>
      <c r="D200" s="379">
        <v>2528055</v>
      </c>
      <c r="E200" s="379" t="s">
        <v>2355</v>
      </c>
      <c r="F200" s="379" t="s">
        <v>2629</v>
      </c>
      <c r="G200" s="383">
        <v>35765</v>
      </c>
      <c r="H200" s="379">
        <v>118522.09</v>
      </c>
      <c r="I200" s="379">
        <v>6044.31</v>
      </c>
      <c r="J200" s="379">
        <v>10237.030000000001</v>
      </c>
      <c r="K200" s="379">
        <v>8926.35</v>
      </c>
      <c r="L200" s="379"/>
      <c r="M200" s="379">
        <v>356.55</v>
      </c>
      <c r="N200" s="379"/>
      <c r="O200" s="379">
        <v>88808.85</v>
      </c>
      <c r="P200" s="379">
        <v>333.61</v>
      </c>
      <c r="Q200" s="379">
        <v>2809.2</v>
      </c>
      <c r="R200" s="379">
        <v>19136.830000000002</v>
      </c>
      <c r="S200" s="379"/>
      <c r="T200" s="379">
        <v>7334</v>
      </c>
      <c r="U200" s="379">
        <v>99.6</v>
      </c>
      <c r="V200" s="380">
        <v>144086.32999999999</v>
      </c>
      <c r="W200" s="381">
        <v>12</v>
      </c>
      <c r="X200" s="379">
        <v>55</v>
      </c>
      <c r="Y200" s="379" t="s">
        <v>2453</v>
      </c>
      <c r="Z200" s="379">
        <v>3202002</v>
      </c>
      <c r="AA200" s="379" t="s">
        <v>2290</v>
      </c>
      <c r="AB200" s="380">
        <f t="shared" si="2"/>
        <v>1</v>
      </c>
    </row>
    <row r="201" spans="1:31" outlineLevel="2" x14ac:dyDescent="0.3">
      <c r="A201" s="379">
        <v>654</v>
      </c>
      <c r="B201" s="379">
        <v>811000</v>
      </c>
      <c r="C201" s="379" t="s">
        <v>1089</v>
      </c>
      <c r="D201" s="379">
        <v>2885775</v>
      </c>
      <c r="E201" s="379" t="s">
        <v>2630</v>
      </c>
      <c r="F201" s="379" t="s">
        <v>2631</v>
      </c>
      <c r="G201" s="383">
        <v>36770</v>
      </c>
      <c r="H201" s="379">
        <v>27689.86</v>
      </c>
      <c r="I201" s="379">
        <v>1105.8599999999999</v>
      </c>
      <c r="J201" s="379">
        <v>2053.35</v>
      </c>
      <c r="K201" s="379">
        <v>2076.8000000000002</v>
      </c>
      <c r="L201" s="379"/>
      <c r="M201" s="379">
        <v>107</v>
      </c>
      <c r="N201" s="379"/>
      <c r="O201" s="379">
        <v>26753.46</v>
      </c>
      <c r="P201" s="379"/>
      <c r="Q201" s="379">
        <v>936.4</v>
      </c>
      <c r="R201" s="379"/>
      <c r="S201" s="379"/>
      <c r="T201" s="379"/>
      <c r="U201" s="379"/>
      <c r="V201" s="380">
        <v>33032.870000000003</v>
      </c>
      <c r="W201" s="381">
        <v>4</v>
      </c>
      <c r="X201" s="379">
        <v>21</v>
      </c>
      <c r="Y201" s="379" t="s">
        <v>2632</v>
      </c>
      <c r="Z201" s="379">
        <v>3202002</v>
      </c>
      <c r="AA201" s="379" t="s">
        <v>2290</v>
      </c>
      <c r="AB201" s="380">
        <f t="shared" si="2"/>
        <v>0.33333333333333331</v>
      </c>
    </row>
    <row r="202" spans="1:31" outlineLevel="2" x14ac:dyDescent="0.3">
      <c r="A202" s="379">
        <v>654</v>
      </c>
      <c r="B202" s="379">
        <v>811000</v>
      </c>
      <c r="C202" s="379" t="s">
        <v>1089</v>
      </c>
      <c r="D202" s="379">
        <v>2887922</v>
      </c>
      <c r="E202" s="379" t="s">
        <v>2621</v>
      </c>
      <c r="F202" s="379" t="s">
        <v>2633</v>
      </c>
      <c r="G202" s="383">
        <v>36220</v>
      </c>
      <c r="H202" s="379">
        <v>93279.48</v>
      </c>
      <c r="I202" s="379">
        <v>4128.1099999999997</v>
      </c>
      <c r="J202" s="379">
        <v>7279.39</v>
      </c>
      <c r="K202" s="379">
        <v>7033.15</v>
      </c>
      <c r="L202" s="379"/>
      <c r="M202" s="379">
        <v>309.7</v>
      </c>
      <c r="N202" s="379"/>
      <c r="O202" s="379">
        <v>77171.48</v>
      </c>
      <c r="P202" s="379">
        <v>268.8</v>
      </c>
      <c r="Q202" s="379">
        <v>8505.2000000000007</v>
      </c>
      <c r="R202" s="379"/>
      <c r="S202" s="379"/>
      <c r="T202" s="379">
        <v>7334</v>
      </c>
      <c r="U202" s="379"/>
      <c r="V202" s="380">
        <v>112029.83</v>
      </c>
      <c r="W202" s="381">
        <v>12</v>
      </c>
      <c r="X202" s="379">
        <v>64</v>
      </c>
      <c r="Y202" s="379" t="s">
        <v>2311</v>
      </c>
      <c r="Z202" s="379">
        <v>3202007</v>
      </c>
      <c r="AA202" s="379" t="s">
        <v>2312</v>
      </c>
      <c r="AB202" s="380">
        <f t="shared" si="2"/>
        <v>1</v>
      </c>
    </row>
    <row r="203" spans="1:31" outlineLevel="2" x14ac:dyDescent="0.3">
      <c r="A203" s="379">
        <v>654</v>
      </c>
      <c r="B203" s="379">
        <v>811000</v>
      </c>
      <c r="C203" s="379" t="s">
        <v>1089</v>
      </c>
      <c r="D203" s="379">
        <v>2889056</v>
      </c>
      <c r="E203" s="379" t="s">
        <v>2303</v>
      </c>
      <c r="F203" s="379" t="s">
        <v>2634</v>
      </c>
      <c r="G203" s="383">
        <v>36434</v>
      </c>
      <c r="H203" s="379">
        <v>123493.86</v>
      </c>
      <c r="I203" s="379">
        <v>6444</v>
      </c>
      <c r="J203" s="379">
        <v>23858.34</v>
      </c>
      <c r="K203" s="379">
        <v>9287.2099999999991</v>
      </c>
      <c r="L203" s="379"/>
      <c r="M203" s="379">
        <v>400.85</v>
      </c>
      <c r="N203" s="379"/>
      <c r="O203" s="379">
        <v>99798.16</v>
      </c>
      <c r="P203" s="379">
        <v>408.69</v>
      </c>
      <c r="Q203" s="379">
        <v>2517.6</v>
      </c>
      <c r="R203" s="379">
        <v>12743.81</v>
      </c>
      <c r="S203" s="379"/>
      <c r="T203" s="379">
        <v>7766</v>
      </c>
      <c r="U203" s="379">
        <v>259.60000000000002</v>
      </c>
      <c r="V203" s="380">
        <v>163484.26</v>
      </c>
      <c r="W203" s="381">
        <v>12</v>
      </c>
      <c r="X203" s="379"/>
      <c r="Y203" s="379"/>
      <c r="Z203" s="379">
        <v>621002</v>
      </c>
      <c r="AA203" s="379" t="s">
        <v>2635</v>
      </c>
      <c r="AB203" s="380">
        <f t="shared" si="2"/>
        <v>1</v>
      </c>
    </row>
    <row r="204" spans="1:31" outlineLevel="2" x14ac:dyDescent="0.3">
      <c r="A204" s="379">
        <v>654</v>
      </c>
      <c r="B204" s="379">
        <v>811000</v>
      </c>
      <c r="C204" s="379" t="s">
        <v>1089</v>
      </c>
      <c r="D204" s="379">
        <v>2908886</v>
      </c>
      <c r="E204" s="379" t="s">
        <v>2340</v>
      </c>
      <c r="F204" s="379" t="s">
        <v>2636</v>
      </c>
      <c r="G204" s="383">
        <v>35278</v>
      </c>
      <c r="H204" s="379">
        <v>282324.25</v>
      </c>
      <c r="I204" s="379">
        <v>18785.53</v>
      </c>
      <c r="J204" s="379">
        <v>17762.650000000001</v>
      </c>
      <c r="K204" s="379">
        <v>21498.6</v>
      </c>
      <c r="L204" s="379"/>
      <c r="M204" s="379">
        <v>955.5</v>
      </c>
      <c r="N204" s="379"/>
      <c r="O204" s="379">
        <v>238863.15</v>
      </c>
      <c r="P204" s="379"/>
      <c r="Q204" s="379">
        <v>3328</v>
      </c>
      <c r="R204" s="379">
        <v>24913.3</v>
      </c>
      <c r="S204" s="379"/>
      <c r="T204" s="379">
        <v>7334</v>
      </c>
      <c r="U204" s="379">
        <v>7885.8</v>
      </c>
      <c r="V204" s="380">
        <v>341326.53</v>
      </c>
      <c r="W204" s="381">
        <v>12</v>
      </c>
      <c r="X204" s="379"/>
      <c r="Y204" s="379"/>
      <c r="Z204" s="379">
        <v>1125017</v>
      </c>
      <c r="AA204" s="379" t="s">
        <v>2395</v>
      </c>
      <c r="AB204" s="380">
        <f t="shared" si="2"/>
        <v>1</v>
      </c>
    </row>
    <row r="205" spans="1:31" outlineLevel="2" x14ac:dyDescent="0.3">
      <c r="A205" s="379">
        <v>654</v>
      </c>
      <c r="B205" s="379">
        <v>811000</v>
      </c>
      <c r="C205" s="379" t="s">
        <v>1089</v>
      </c>
      <c r="D205" s="379">
        <v>3237149</v>
      </c>
      <c r="E205" s="379" t="s">
        <v>2637</v>
      </c>
      <c r="F205" s="379" t="s">
        <v>2410</v>
      </c>
      <c r="G205" s="383">
        <v>36465</v>
      </c>
      <c r="H205" s="379">
        <v>63084.51</v>
      </c>
      <c r="I205" s="379">
        <v>3834.24</v>
      </c>
      <c r="J205" s="379">
        <v>5429.8</v>
      </c>
      <c r="K205" s="379">
        <v>4768.17</v>
      </c>
      <c r="L205" s="379"/>
      <c r="M205" s="379">
        <v>220.41</v>
      </c>
      <c r="N205" s="379"/>
      <c r="O205" s="379">
        <v>50964.36</v>
      </c>
      <c r="P205" s="379">
        <v>4203.12</v>
      </c>
      <c r="Q205" s="379">
        <v>1258.8</v>
      </c>
      <c r="R205" s="379">
        <v>245.73</v>
      </c>
      <c r="S205" s="379">
        <v>3820.5</v>
      </c>
      <c r="T205" s="379">
        <v>2592</v>
      </c>
      <c r="U205" s="379"/>
      <c r="V205" s="380">
        <v>77337.13</v>
      </c>
      <c r="W205" s="381">
        <v>6</v>
      </c>
      <c r="X205" s="379"/>
      <c r="Y205" s="379"/>
      <c r="Z205" s="379">
        <v>1002501</v>
      </c>
      <c r="AA205" s="379" t="s">
        <v>2638</v>
      </c>
      <c r="AB205" s="380">
        <f t="shared" si="2"/>
        <v>0.5</v>
      </c>
    </row>
    <row r="206" spans="1:31" outlineLevel="2" x14ac:dyDescent="0.3">
      <c r="A206" s="379">
        <v>654</v>
      </c>
      <c r="B206" s="379">
        <v>811000</v>
      </c>
      <c r="C206" s="379" t="s">
        <v>1089</v>
      </c>
      <c r="D206" s="379">
        <v>3469330</v>
      </c>
      <c r="E206" s="379" t="s">
        <v>2639</v>
      </c>
      <c r="F206" s="379" t="s">
        <v>2640</v>
      </c>
      <c r="G206" s="383">
        <v>43770</v>
      </c>
      <c r="H206" s="379">
        <v>1466</v>
      </c>
      <c r="I206" s="379">
        <v>52.04</v>
      </c>
      <c r="J206" s="379">
        <v>195.08</v>
      </c>
      <c r="K206" s="379">
        <v>109.95</v>
      </c>
      <c r="L206" s="379"/>
      <c r="M206" s="379"/>
      <c r="N206" s="379"/>
      <c r="O206" s="379"/>
      <c r="P206" s="379">
        <v>1445</v>
      </c>
      <c r="Q206" s="379">
        <v>21</v>
      </c>
      <c r="R206" s="379"/>
      <c r="S206" s="379"/>
      <c r="T206" s="379"/>
      <c r="U206" s="379"/>
      <c r="V206" s="380">
        <v>1823.07</v>
      </c>
      <c r="W206" s="381"/>
      <c r="X206" s="379"/>
      <c r="Y206" s="379"/>
      <c r="Z206" s="379">
        <v>1126001</v>
      </c>
      <c r="AA206" s="379" t="s">
        <v>2504</v>
      </c>
      <c r="AB206" s="380">
        <f t="shared" si="2"/>
        <v>0</v>
      </c>
    </row>
    <row r="207" spans="1:31" outlineLevel="2" x14ac:dyDescent="0.3">
      <c r="A207" s="379">
        <v>654</v>
      </c>
      <c r="B207" s="379">
        <v>811000</v>
      </c>
      <c r="C207" s="379" t="s">
        <v>1089</v>
      </c>
      <c r="D207" s="379">
        <v>5324353</v>
      </c>
      <c r="E207" s="379" t="s">
        <v>2641</v>
      </c>
      <c r="F207" s="379" t="s">
        <v>2554</v>
      </c>
      <c r="G207" s="383">
        <v>30195</v>
      </c>
      <c r="H207" s="379">
        <v>187770.17</v>
      </c>
      <c r="I207" s="379">
        <v>11306.38</v>
      </c>
      <c r="J207" s="379">
        <v>32909.86</v>
      </c>
      <c r="K207" s="379">
        <v>14120</v>
      </c>
      <c r="L207" s="379"/>
      <c r="M207" s="379">
        <v>513.29999999999995</v>
      </c>
      <c r="N207" s="379"/>
      <c r="O207" s="379">
        <v>125169.09</v>
      </c>
      <c r="P207" s="379"/>
      <c r="Q207" s="379">
        <v>2523.6</v>
      </c>
      <c r="R207" s="379">
        <v>29959.39</v>
      </c>
      <c r="S207" s="379">
        <v>15511.8</v>
      </c>
      <c r="T207" s="379">
        <v>14606.29</v>
      </c>
      <c r="U207" s="379"/>
      <c r="V207" s="380">
        <v>246619.71</v>
      </c>
      <c r="W207" s="381">
        <v>12</v>
      </c>
      <c r="X207" s="379"/>
      <c r="Y207" s="379"/>
      <c r="Z207" s="379">
        <v>1028</v>
      </c>
      <c r="AA207" s="379" t="s">
        <v>2642</v>
      </c>
      <c r="AB207" s="380">
        <f t="shared" si="2"/>
        <v>1</v>
      </c>
    </row>
    <row r="208" spans="1:31" outlineLevel="2" x14ac:dyDescent="0.3">
      <c r="A208" s="379">
        <v>654</v>
      </c>
      <c r="B208" s="379">
        <v>811000</v>
      </c>
      <c r="C208" s="379" t="s">
        <v>1089</v>
      </c>
      <c r="D208" s="379">
        <v>5593761</v>
      </c>
      <c r="E208" s="379" t="s">
        <v>2643</v>
      </c>
      <c r="F208" s="379" t="s">
        <v>2644</v>
      </c>
      <c r="G208" s="383">
        <v>33848</v>
      </c>
      <c r="H208" s="379">
        <v>84593.05</v>
      </c>
      <c r="I208" s="379">
        <v>3467.95</v>
      </c>
      <c r="J208" s="379">
        <v>7800.18</v>
      </c>
      <c r="K208" s="379">
        <v>6381.75</v>
      </c>
      <c r="L208" s="379"/>
      <c r="M208" s="379">
        <v>303.2</v>
      </c>
      <c r="N208" s="379"/>
      <c r="O208" s="379">
        <v>69401.86</v>
      </c>
      <c r="P208" s="379"/>
      <c r="Q208" s="379">
        <v>5577.72</v>
      </c>
      <c r="R208" s="379"/>
      <c r="S208" s="379"/>
      <c r="T208" s="379">
        <v>9613.4699999999993</v>
      </c>
      <c r="U208" s="379"/>
      <c r="V208" s="380">
        <v>102546.13</v>
      </c>
      <c r="W208" s="381">
        <v>10.199999999999999</v>
      </c>
      <c r="X208" s="379">
        <v>1</v>
      </c>
      <c r="Y208" s="379" t="s">
        <v>2353</v>
      </c>
      <c r="Z208" s="379">
        <v>5923001</v>
      </c>
      <c r="AA208" s="379" t="s">
        <v>2354</v>
      </c>
      <c r="AB208" s="380">
        <f t="shared" si="2"/>
        <v>0.85</v>
      </c>
    </row>
    <row r="209" spans="1:28" outlineLevel="2" x14ac:dyDescent="0.3">
      <c r="A209" s="379">
        <v>654</v>
      </c>
      <c r="B209" s="379">
        <v>811000</v>
      </c>
      <c r="C209" s="379" t="s">
        <v>1089</v>
      </c>
      <c r="D209" s="379">
        <v>6801655</v>
      </c>
      <c r="E209" s="379" t="s">
        <v>2645</v>
      </c>
      <c r="F209" s="379" t="s">
        <v>2585</v>
      </c>
      <c r="G209" s="383">
        <v>35462</v>
      </c>
      <c r="H209" s="379">
        <v>167712.47</v>
      </c>
      <c r="I209" s="379">
        <v>9850.7900000000009</v>
      </c>
      <c r="J209" s="379">
        <v>12286.71</v>
      </c>
      <c r="K209" s="379">
        <v>12683.25</v>
      </c>
      <c r="L209" s="379"/>
      <c r="M209" s="379">
        <v>508.85</v>
      </c>
      <c r="N209" s="379"/>
      <c r="O209" s="379">
        <v>111588.48</v>
      </c>
      <c r="P209" s="379">
        <v>10045.49</v>
      </c>
      <c r="Q209" s="379">
        <v>2517.6</v>
      </c>
      <c r="R209" s="379">
        <v>30219.15</v>
      </c>
      <c r="S209" s="379"/>
      <c r="T209" s="379">
        <v>13341.75</v>
      </c>
      <c r="U209" s="379"/>
      <c r="V209" s="380">
        <v>203042.07</v>
      </c>
      <c r="W209" s="381">
        <v>12</v>
      </c>
      <c r="X209" s="379">
        <v>19</v>
      </c>
      <c r="Y209" s="379" t="s">
        <v>2646</v>
      </c>
      <c r="Z209" s="379">
        <v>4201001</v>
      </c>
      <c r="AA209" s="379" t="s">
        <v>2647</v>
      </c>
      <c r="AB209" s="380">
        <f t="shared" si="2"/>
        <v>1</v>
      </c>
    </row>
    <row r="210" spans="1:28" outlineLevel="2" x14ac:dyDescent="0.3">
      <c r="A210" s="379">
        <v>654</v>
      </c>
      <c r="B210" s="379">
        <v>811000</v>
      </c>
      <c r="C210" s="379" t="s">
        <v>1089</v>
      </c>
      <c r="D210" s="379">
        <v>30549007</v>
      </c>
      <c r="E210" s="379" t="s">
        <v>2597</v>
      </c>
      <c r="F210" s="379" t="s">
        <v>2424</v>
      </c>
      <c r="G210" s="383">
        <v>42614</v>
      </c>
      <c r="H210" s="379">
        <v>13855.82</v>
      </c>
      <c r="I210" s="379">
        <v>590.07000000000005</v>
      </c>
      <c r="J210" s="379">
        <v>6360.93</v>
      </c>
      <c r="K210" s="379">
        <v>1075.05</v>
      </c>
      <c r="L210" s="379"/>
      <c r="M210" s="379">
        <v>47.3</v>
      </c>
      <c r="N210" s="379"/>
      <c r="O210" s="379">
        <v>12331.62</v>
      </c>
      <c r="P210" s="379"/>
      <c r="Q210" s="379">
        <v>468.2</v>
      </c>
      <c r="R210" s="379"/>
      <c r="S210" s="379"/>
      <c r="T210" s="379"/>
      <c r="U210" s="379">
        <v>1056</v>
      </c>
      <c r="V210" s="380">
        <v>21929.17</v>
      </c>
      <c r="W210" s="381">
        <v>2</v>
      </c>
      <c r="X210" s="379"/>
      <c r="Y210" s="379"/>
      <c r="Z210" s="379">
        <v>1422001</v>
      </c>
      <c r="AA210" s="379" t="s">
        <v>2648</v>
      </c>
      <c r="AB210" s="380">
        <f t="shared" si="2"/>
        <v>0.16666666666666666</v>
      </c>
    </row>
    <row r="211" spans="1:28" outlineLevel="1" x14ac:dyDescent="0.3">
      <c r="A211" s="379"/>
      <c r="B211" s="384" t="s">
        <v>2649</v>
      </c>
      <c r="C211" s="379"/>
      <c r="D211" s="379"/>
      <c r="E211" s="379"/>
      <c r="F211" s="379"/>
      <c r="G211" s="383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  <c r="S211" s="379"/>
      <c r="T211" s="379"/>
      <c r="U211" s="379"/>
      <c r="V211" s="380">
        <f>SUBTOTAL(9,V199:V210)</f>
        <v>1455498.4999999998</v>
      </c>
      <c r="W211" s="381">
        <f>SUBTOTAL(9,W199:W210)</f>
        <v>95.100000000000009</v>
      </c>
      <c r="X211" s="379"/>
      <c r="Y211" s="379"/>
      <c r="Z211" s="379"/>
      <c r="AA211" s="379"/>
      <c r="AB211" s="380">
        <f>SUBTOTAL(9,AB199:AB210)</f>
        <v>7.9249999999999998</v>
      </c>
    </row>
    <row r="212" spans="1:28" outlineLevel="2" x14ac:dyDescent="0.3">
      <c r="A212" s="379">
        <v>654</v>
      </c>
      <c r="B212" s="379">
        <v>812100</v>
      </c>
      <c r="C212" s="379" t="s">
        <v>2650</v>
      </c>
      <c r="D212" s="379">
        <v>6862622</v>
      </c>
      <c r="E212" s="379" t="s">
        <v>2406</v>
      </c>
      <c r="F212" s="379" t="s">
        <v>2376</v>
      </c>
      <c r="G212" s="383">
        <v>28034</v>
      </c>
      <c r="H212" s="379">
        <v>140337.69</v>
      </c>
      <c r="I212" s="379">
        <v>7702.59</v>
      </c>
      <c r="J212" s="379">
        <v>12480.16</v>
      </c>
      <c r="K212" s="379">
        <v>10562.6</v>
      </c>
      <c r="L212" s="379"/>
      <c r="M212" s="379">
        <v>437.95</v>
      </c>
      <c r="N212" s="379"/>
      <c r="O212" s="379">
        <v>87595.01</v>
      </c>
      <c r="P212" s="379">
        <v>17406.009999999998</v>
      </c>
      <c r="Q212" s="379">
        <v>2362.1999999999998</v>
      </c>
      <c r="R212" s="379">
        <v>19042.89</v>
      </c>
      <c r="S212" s="379"/>
      <c r="T212" s="379">
        <v>12259.58</v>
      </c>
      <c r="U212" s="379">
        <v>1672</v>
      </c>
      <c r="V212" s="380">
        <v>171520.99</v>
      </c>
      <c r="W212" s="381">
        <v>12</v>
      </c>
      <c r="X212" s="379">
        <v>80</v>
      </c>
      <c r="Y212" s="379" t="s">
        <v>2651</v>
      </c>
      <c r="Z212" s="379">
        <v>1026</v>
      </c>
      <c r="AA212" s="379" t="s">
        <v>2508</v>
      </c>
      <c r="AB212" s="380">
        <f t="shared" si="2"/>
        <v>1</v>
      </c>
    </row>
    <row r="213" spans="1:28" outlineLevel="1" x14ac:dyDescent="0.3">
      <c r="A213" s="379"/>
      <c r="B213" s="384" t="s">
        <v>2652</v>
      </c>
      <c r="C213" s="379"/>
      <c r="D213" s="379"/>
      <c r="E213" s="379"/>
      <c r="F213" s="379"/>
      <c r="G213" s="383"/>
      <c r="H213" s="379"/>
      <c r="I213" s="379"/>
      <c r="J213" s="379"/>
      <c r="K213" s="379"/>
      <c r="L213" s="379"/>
      <c r="M213" s="379"/>
      <c r="N213" s="379"/>
      <c r="O213" s="379"/>
      <c r="P213" s="379"/>
      <c r="Q213" s="379"/>
      <c r="R213" s="379"/>
      <c r="S213" s="379"/>
      <c r="T213" s="379"/>
      <c r="U213" s="379"/>
      <c r="V213" s="380">
        <f>SUBTOTAL(9,V212:V212)</f>
        <v>171520.99</v>
      </c>
      <c r="W213" s="381">
        <f>SUBTOTAL(9,W212:W212)</f>
        <v>12</v>
      </c>
      <c r="X213" s="379"/>
      <c r="Y213" s="379"/>
      <c r="Z213" s="379"/>
      <c r="AA213" s="379"/>
      <c r="AB213" s="380">
        <f>SUBTOTAL(9,AB212:AB212)</f>
        <v>1</v>
      </c>
    </row>
    <row r="214" spans="1:28" outlineLevel="2" x14ac:dyDescent="0.3">
      <c r="A214" s="379">
        <v>432</v>
      </c>
      <c r="B214" s="379">
        <v>812200</v>
      </c>
      <c r="C214" s="379"/>
      <c r="D214" s="379">
        <v>6909407</v>
      </c>
      <c r="E214" s="379" t="s">
        <v>2653</v>
      </c>
      <c r="F214" s="379" t="s">
        <v>2654</v>
      </c>
      <c r="G214" s="383">
        <v>29830</v>
      </c>
      <c r="H214" s="379">
        <v>3445.15</v>
      </c>
      <c r="I214" s="379">
        <v>228.27</v>
      </c>
      <c r="J214" s="379"/>
      <c r="K214" s="379">
        <v>258.38</v>
      </c>
      <c r="L214" s="379"/>
      <c r="M214" s="379"/>
      <c r="N214" s="379"/>
      <c r="O214" s="379"/>
      <c r="P214" s="379"/>
      <c r="Q214" s="379"/>
      <c r="R214" s="379"/>
      <c r="S214" s="379"/>
      <c r="T214" s="379">
        <v>3445.15</v>
      </c>
      <c r="U214" s="379"/>
      <c r="V214" s="380">
        <v>3931.8</v>
      </c>
      <c r="W214" s="381"/>
      <c r="X214" s="379"/>
      <c r="Y214" s="379"/>
      <c r="Z214" s="379">
        <v>5821001</v>
      </c>
      <c r="AA214" s="379" t="s">
        <v>2427</v>
      </c>
      <c r="AB214" s="380">
        <f t="shared" si="2"/>
        <v>0</v>
      </c>
    </row>
    <row r="215" spans="1:28" outlineLevel="2" x14ac:dyDescent="0.3">
      <c r="A215" s="379">
        <v>654</v>
      </c>
      <c r="B215" s="379">
        <v>812200</v>
      </c>
      <c r="C215" s="379" t="s">
        <v>963</v>
      </c>
      <c r="D215" s="379">
        <v>2154879</v>
      </c>
      <c r="E215" s="379" t="s">
        <v>2655</v>
      </c>
      <c r="F215" s="379" t="s">
        <v>2656</v>
      </c>
      <c r="G215" s="383">
        <v>43405</v>
      </c>
      <c r="H215" s="379">
        <v>3038.5</v>
      </c>
      <c r="I215" s="379">
        <v>116.86</v>
      </c>
      <c r="J215" s="379">
        <v>410.19</v>
      </c>
      <c r="K215" s="379">
        <v>227.89</v>
      </c>
      <c r="L215" s="379"/>
      <c r="M215" s="379">
        <v>12.16</v>
      </c>
      <c r="N215" s="379"/>
      <c r="O215" s="379"/>
      <c r="P215" s="379">
        <v>3038.5</v>
      </c>
      <c r="Q215" s="379"/>
      <c r="R215" s="379"/>
      <c r="S215" s="379"/>
      <c r="T215" s="379"/>
      <c r="U215" s="379"/>
      <c r="V215" s="380">
        <v>3805.6</v>
      </c>
      <c r="W215" s="381"/>
      <c r="X215" s="379"/>
      <c r="Y215" s="379"/>
      <c r="Z215" s="379">
        <v>1401202</v>
      </c>
      <c r="AA215" s="379" t="s">
        <v>2380</v>
      </c>
      <c r="AB215" s="380">
        <f t="shared" si="2"/>
        <v>0</v>
      </c>
    </row>
    <row r="216" spans="1:28" outlineLevel="2" x14ac:dyDescent="0.3">
      <c r="A216" s="379">
        <v>654</v>
      </c>
      <c r="B216" s="379">
        <v>812200</v>
      </c>
      <c r="C216" s="379" t="s">
        <v>963</v>
      </c>
      <c r="D216" s="379">
        <v>2200514</v>
      </c>
      <c r="E216" s="379" t="s">
        <v>2657</v>
      </c>
      <c r="F216" s="379" t="s">
        <v>2658</v>
      </c>
      <c r="G216" s="383">
        <v>34243</v>
      </c>
      <c r="H216" s="379">
        <v>121621.46</v>
      </c>
      <c r="I216" s="379">
        <v>6280.58</v>
      </c>
      <c r="J216" s="379">
        <v>10656.92</v>
      </c>
      <c r="K216" s="379">
        <v>9158.75</v>
      </c>
      <c r="L216" s="379"/>
      <c r="M216" s="379">
        <v>404.3</v>
      </c>
      <c r="N216" s="379"/>
      <c r="O216" s="379">
        <v>105313.32</v>
      </c>
      <c r="P216" s="379">
        <v>636.79</v>
      </c>
      <c r="Q216" s="379">
        <v>2809.2</v>
      </c>
      <c r="R216" s="379"/>
      <c r="S216" s="379"/>
      <c r="T216" s="379">
        <v>12862.15</v>
      </c>
      <c r="U216" s="379"/>
      <c r="V216" s="380">
        <v>148122.01</v>
      </c>
      <c r="W216" s="381">
        <v>12</v>
      </c>
      <c r="X216" s="379"/>
      <c r="Y216" s="379"/>
      <c r="Z216" s="379">
        <v>5821001</v>
      </c>
      <c r="AA216" s="379" t="s">
        <v>2427</v>
      </c>
      <c r="AB216" s="380">
        <f t="shared" si="2"/>
        <v>1</v>
      </c>
    </row>
    <row r="217" spans="1:28" outlineLevel="2" x14ac:dyDescent="0.3">
      <c r="A217" s="379">
        <v>654</v>
      </c>
      <c r="B217" s="379">
        <v>812200</v>
      </c>
      <c r="C217" s="379" t="s">
        <v>963</v>
      </c>
      <c r="D217" s="379">
        <v>2212276</v>
      </c>
      <c r="E217" s="379" t="s">
        <v>2659</v>
      </c>
      <c r="F217" s="379" t="s">
        <v>2660</v>
      </c>
      <c r="G217" s="383">
        <v>39692</v>
      </c>
      <c r="H217" s="379">
        <v>98245.08</v>
      </c>
      <c r="I217" s="379">
        <v>4505.8999999999996</v>
      </c>
      <c r="J217" s="379">
        <v>19109.97</v>
      </c>
      <c r="K217" s="379">
        <v>7405.7</v>
      </c>
      <c r="L217" s="379"/>
      <c r="M217" s="379">
        <v>317.64999999999998</v>
      </c>
      <c r="N217" s="379"/>
      <c r="O217" s="379">
        <v>88436.18</v>
      </c>
      <c r="P217" s="379">
        <v>529.70000000000005</v>
      </c>
      <c r="Q217" s="379">
        <v>2809.2</v>
      </c>
      <c r="R217" s="379"/>
      <c r="S217" s="379"/>
      <c r="T217" s="379">
        <v>6470</v>
      </c>
      <c r="U217" s="379"/>
      <c r="V217" s="380">
        <v>129584.3</v>
      </c>
      <c r="W217" s="381">
        <v>12</v>
      </c>
      <c r="X217" s="379"/>
      <c r="Y217" s="379"/>
      <c r="Z217" s="379">
        <v>5821001</v>
      </c>
      <c r="AA217" s="379" t="s">
        <v>2427</v>
      </c>
      <c r="AB217" s="380">
        <f t="shared" si="2"/>
        <v>1</v>
      </c>
    </row>
    <row r="218" spans="1:28" outlineLevel="2" x14ac:dyDescent="0.3">
      <c r="A218" s="379">
        <v>654</v>
      </c>
      <c r="B218" s="379">
        <v>812200</v>
      </c>
      <c r="C218" s="379" t="s">
        <v>963</v>
      </c>
      <c r="D218" s="379">
        <v>2232651</v>
      </c>
      <c r="E218" s="379" t="s">
        <v>2384</v>
      </c>
      <c r="F218" s="379" t="s">
        <v>2327</v>
      </c>
      <c r="G218" s="383">
        <v>41944</v>
      </c>
      <c r="H218" s="379">
        <v>56403.99</v>
      </c>
      <c r="I218" s="379">
        <v>2035.21</v>
      </c>
      <c r="J218" s="379">
        <v>10341.030000000001</v>
      </c>
      <c r="K218" s="379">
        <v>4267.51</v>
      </c>
      <c r="L218" s="379"/>
      <c r="M218" s="379">
        <v>180.45</v>
      </c>
      <c r="N218" s="379"/>
      <c r="O218" s="379">
        <v>49050.93</v>
      </c>
      <c r="P218" s="379">
        <v>2628.14</v>
      </c>
      <c r="Q218" s="379">
        <v>2010.92</v>
      </c>
      <c r="R218" s="379"/>
      <c r="S218" s="379"/>
      <c r="T218" s="379">
        <v>2714</v>
      </c>
      <c r="U218" s="379"/>
      <c r="V218" s="380">
        <v>73228.19</v>
      </c>
      <c r="W218" s="381">
        <v>7.2489999999999997</v>
      </c>
      <c r="X218" s="379"/>
      <c r="Y218" s="379"/>
      <c r="Z218" s="379">
        <v>5821001</v>
      </c>
      <c r="AA218" s="379" t="s">
        <v>2427</v>
      </c>
      <c r="AB218" s="380">
        <f t="shared" si="2"/>
        <v>0.60408333333333331</v>
      </c>
    </row>
    <row r="219" spans="1:28" outlineLevel="2" x14ac:dyDescent="0.3">
      <c r="A219" s="379">
        <v>654</v>
      </c>
      <c r="B219" s="379">
        <v>812200</v>
      </c>
      <c r="C219" s="379" t="s">
        <v>963</v>
      </c>
      <c r="D219" s="379">
        <v>2244005</v>
      </c>
      <c r="E219" s="379" t="s">
        <v>2661</v>
      </c>
      <c r="F219" s="379" t="s">
        <v>2352</v>
      </c>
      <c r="G219" s="383">
        <v>38231</v>
      </c>
      <c r="H219" s="379">
        <v>99852.61</v>
      </c>
      <c r="I219" s="379">
        <v>4628.09</v>
      </c>
      <c r="J219" s="379">
        <v>19479.62</v>
      </c>
      <c r="K219" s="379">
        <v>7526.15</v>
      </c>
      <c r="L219" s="379"/>
      <c r="M219" s="379">
        <v>323.95</v>
      </c>
      <c r="N219" s="379"/>
      <c r="O219" s="379">
        <v>90573.41</v>
      </c>
      <c r="P219" s="379"/>
      <c r="Q219" s="379">
        <v>2809.2</v>
      </c>
      <c r="R219" s="379"/>
      <c r="S219" s="379"/>
      <c r="T219" s="379">
        <v>6470</v>
      </c>
      <c r="U219" s="379"/>
      <c r="V219" s="380">
        <v>131810.42000000001</v>
      </c>
      <c r="W219" s="381">
        <v>12</v>
      </c>
      <c r="X219" s="379"/>
      <c r="Y219" s="379"/>
      <c r="Z219" s="379">
        <v>5821001</v>
      </c>
      <c r="AA219" s="379" t="s">
        <v>2427</v>
      </c>
      <c r="AB219" s="380">
        <f t="shared" si="2"/>
        <v>1</v>
      </c>
    </row>
    <row r="220" spans="1:28" outlineLevel="2" x14ac:dyDescent="0.3">
      <c r="A220" s="379">
        <v>654</v>
      </c>
      <c r="B220" s="379">
        <v>812200</v>
      </c>
      <c r="C220" s="379" t="s">
        <v>963</v>
      </c>
      <c r="D220" s="379">
        <v>2244162</v>
      </c>
      <c r="E220" s="379" t="s">
        <v>2538</v>
      </c>
      <c r="F220" s="379" t="s">
        <v>2662</v>
      </c>
      <c r="G220" s="383">
        <v>39692</v>
      </c>
      <c r="H220" s="379">
        <v>103598.72</v>
      </c>
      <c r="I220" s="379">
        <v>4938.8599999999997</v>
      </c>
      <c r="J220" s="379">
        <v>19607.419999999998</v>
      </c>
      <c r="K220" s="379">
        <v>7807.13</v>
      </c>
      <c r="L220" s="379"/>
      <c r="M220" s="379">
        <v>333.8</v>
      </c>
      <c r="N220" s="379"/>
      <c r="O220" s="379">
        <v>91274.02</v>
      </c>
      <c r="P220" s="379">
        <v>4120.5</v>
      </c>
      <c r="Q220" s="379">
        <v>2809.2</v>
      </c>
      <c r="R220" s="379"/>
      <c r="S220" s="379"/>
      <c r="T220" s="379">
        <v>5395</v>
      </c>
      <c r="U220" s="379"/>
      <c r="V220" s="380">
        <v>136285.93</v>
      </c>
      <c r="W220" s="381">
        <v>12</v>
      </c>
      <c r="X220" s="379"/>
      <c r="Y220" s="379"/>
      <c r="Z220" s="379">
        <v>5821001</v>
      </c>
      <c r="AA220" s="379" t="s">
        <v>2427</v>
      </c>
      <c r="AB220" s="380">
        <f t="shared" si="2"/>
        <v>1</v>
      </c>
    </row>
    <row r="221" spans="1:28" outlineLevel="2" x14ac:dyDescent="0.3">
      <c r="A221" s="379">
        <v>654</v>
      </c>
      <c r="B221" s="379">
        <v>812200</v>
      </c>
      <c r="C221" s="379" t="s">
        <v>963</v>
      </c>
      <c r="D221" s="379">
        <v>2256759</v>
      </c>
      <c r="E221" s="379" t="s">
        <v>2663</v>
      </c>
      <c r="F221" s="379" t="s">
        <v>2416</v>
      </c>
      <c r="G221" s="383">
        <v>38231</v>
      </c>
      <c r="H221" s="379">
        <v>99547.07</v>
      </c>
      <c r="I221" s="379">
        <v>4604.87</v>
      </c>
      <c r="J221" s="379">
        <v>19415.47</v>
      </c>
      <c r="K221" s="379">
        <v>7503.25</v>
      </c>
      <c r="L221" s="379"/>
      <c r="M221" s="379">
        <v>322.60000000000002</v>
      </c>
      <c r="N221" s="379"/>
      <c r="O221" s="379">
        <v>89824.71</v>
      </c>
      <c r="P221" s="379">
        <v>443.16</v>
      </c>
      <c r="Q221" s="379">
        <v>2809.2</v>
      </c>
      <c r="R221" s="379"/>
      <c r="S221" s="379"/>
      <c r="T221" s="379">
        <v>6470</v>
      </c>
      <c r="U221" s="379"/>
      <c r="V221" s="380">
        <v>131393.26</v>
      </c>
      <c r="W221" s="381">
        <v>12</v>
      </c>
      <c r="X221" s="379"/>
      <c r="Y221" s="379"/>
      <c r="Z221" s="379">
        <v>5821001</v>
      </c>
      <c r="AA221" s="379" t="s">
        <v>2427</v>
      </c>
      <c r="AB221" s="380">
        <f t="shared" si="2"/>
        <v>1</v>
      </c>
    </row>
    <row r="222" spans="1:28" outlineLevel="2" x14ac:dyDescent="0.3">
      <c r="A222" s="379">
        <v>654</v>
      </c>
      <c r="B222" s="379">
        <v>812200</v>
      </c>
      <c r="C222" s="379" t="s">
        <v>963</v>
      </c>
      <c r="D222" s="379">
        <v>2304033</v>
      </c>
      <c r="E222" s="379" t="s">
        <v>2303</v>
      </c>
      <c r="F222" s="379" t="s">
        <v>2664</v>
      </c>
      <c r="G222" s="383">
        <v>40057</v>
      </c>
      <c r="H222" s="379">
        <v>30178.62</v>
      </c>
      <c r="I222" s="379">
        <v>1327.77</v>
      </c>
      <c r="J222" s="379">
        <v>5678.27</v>
      </c>
      <c r="K222" s="379">
        <v>2263.4499999999998</v>
      </c>
      <c r="L222" s="379"/>
      <c r="M222" s="379">
        <v>104.2</v>
      </c>
      <c r="N222" s="379"/>
      <c r="O222" s="379">
        <v>28721.81</v>
      </c>
      <c r="P222" s="379">
        <v>520.41</v>
      </c>
      <c r="Q222" s="379">
        <v>936.4</v>
      </c>
      <c r="R222" s="379"/>
      <c r="S222" s="379"/>
      <c r="T222" s="379"/>
      <c r="U222" s="379"/>
      <c r="V222" s="380">
        <v>39552.31</v>
      </c>
      <c r="W222" s="381">
        <v>4</v>
      </c>
      <c r="X222" s="379"/>
      <c r="Y222" s="379"/>
      <c r="Z222" s="379">
        <v>5821001</v>
      </c>
      <c r="AA222" s="379" t="s">
        <v>2427</v>
      </c>
      <c r="AB222" s="380">
        <f t="shared" si="2"/>
        <v>0.33333333333333331</v>
      </c>
    </row>
    <row r="223" spans="1:28" outlineLevel="2" x14ac:dyDescent="0.3">
      <c r="A223" s="379">
        <v>654</v>
      </c>
      <c r="B223" s="379">
        <v>812200</v>
      </c>
      <c r="C223" s="379" t="s">
        <v>963</v>
      </c>
      <c r="D223" s="379">
        <v>2304394</v>
      </c>
      <c r="E223" s="379" t="s">
        <v>2665</v>
      </c>
      <c r="F223" s="379" t="s">
        <v>2333</v>
      </c>
      <c r="G223" s="383">
        <v>39692</v>
      </c>
      <c r="H223" s="379">
        <v>99744.16</v>
      </c>
      <c r="I223" s="379">
        <v>4649.59</v>
      </c>
      <c r="J223" s="379">
        <v>19435.97</v>
      </c>
      <c r="K223" s="379">
        <v>7518.1</v>
      </c>
      <c r="L223" s="379"/>
      <c r="M223" s="379">
        <v>323.57</v>
      </c>
      <c r="N223" s="379"/>
      <c r="O223" s="379">
        <v>90084.09</v>
      </c>
      <c r="P223" s="379">
        <v>380.87</v>
      </c>
      <c r="Q223" s="379">
        <v>2809.2</v>
      </c>
      <c r="R223" s="379"/>
      <c r="S223" s="379"/>
      <c r="T223" s="379">
        <v>6470</v>
      </c>
      <c r="U223" s="379"/>
      <c r="V223" s="380">
        <v>131671.39000000001</v>
      </c>
      <c r="W223" s="381">
        <v>12</v>
      </c>
      <c r="X223" s="379">
        <v>5</v>
      </c>
      <c r="Y223" s="379" t="s">
        <v>2666</v>
      </c>
      <c r="Z223" s="379">
        <v>931001</v>
      </c>
      <c r="AA223" s="379" t="s">
        <v>2667</v>
      </c>
      <c r="AB223" s="380">
        <f t="shared" si="2"/>
        <v>1</v>
      </c>
    </row>
    <row r="224" spans="1:28" outlineLevel="2" x14ac:dyDescent="0.3">
      <c r="A224" s="379">
        <v>654</v>
      </c>
      <c r="B224" s="379">
        <v>812200</v>
      </c>
      <c r="C224" s="379" t="s">
        <v>963</v>
      </c>
      <c r="D224" s="379">
        <v>2375001</v>
      </c>
      <c r="E224" s="379" t="s">
        <v>2668</v>
      </c>
      <c r="F224" s="379" t="s">
        <v>2669</v>
      </c>
      <c r="G224" s="383">
        <v>37135</v>
      </c>
      <c r="H224" s="379">
        <v>32191.23</v>
      </c>
      <c r="I224" s="379">
        <v>1447.95</v>
      </c>
      <c r="J224" s="379">
        <v>5863.94</v>
      </c>
      <c r="K224" s="379">
        <v>2414.35</v>
      </c>
      <c r="L224" s="379"/>
      <c r="M224" s="379">
        <v>111.85</v>
      </c>
      <c r="N224" s="379"/>
      <c r="O224" s="379">
        <v>30880.720000000001</v>
      </c>
      <c r="P224" s="379">
        <v>374.11</v>
      </c>
      <c r="Q224" s="379">
        <v>936.4</v>
      </c>
      <c r="R224" s="379"/>
      <c r="S224" s="379"/>
      <c r="T224" s="379"/>
      <c r="U224" s="379"/>
      <c r="V224" s="380">
        <v>42029.32</v>
      </c>
      <c r="W224" s="381">
        <v>4</v>
      </c>
      <c r="X224" s="379"/>
      <c r="Y224" s="379"/>
      <c r="Z224" s="379">
        <v>5821001</v>
      </c>
      <c r="AA224" s="379" t="s">
        <v>2427</v>
      </c>
      <c r="AB224" s="380">
        <f t="shared" si="2"/>
        <v>0.33333333333333331</v>
      </c>
    </row>
    <row r="225" spans="1:28" outlineLevel="2" x14ac:dyDescent="0.3">
      <c r="A225" s="379">
        <v>654</v>
      </c>
      <c r="B225" s="379">
        <v>812200</v>
      </c>
      <c r="C225" s="379" t="s">
        <v>963</v>
      </c>
      <c r="D225" s="379">
        <v>2391369</v>
      </c>
      <c r="E225" s="379" t="s">
        <v>2670</v>
      </c>
      <c r="F225" s="379" t="s">
        <v>2379</v>
      </c>
      <c r="G225" s="383">
        <v>38261</v>
      </c>
      <c r="H225" s="379">
        <v>98710.69</v>
      </c>
      <c r="I225" s="379">
        <v>4541.26</v>
      </c>
      <c r="J225" s="379">
        <v>18626.02</v>
      </c>
      <c r="K225" s="379">
        <v>7440.45</v>
      </c>
      <c r="L225" s="379"/>
      <c r="M225" s="379">
        <v>319.5</v>
      </c>
      <c r="N225" s="379"/>
      <c r="O225" s="379">
        <v>88874.37</v>
      </c>
      <c r="P225" s="379">
        <v>557.12</v>
      </c>
      <c r="Q225" s="379">
        <v>2809.2</v>
      </c>
      <c r="R225" s="379"/>
      <c r="S225" s="379"/>
      <c r="T225" s="379">
        <v>6470</v>
      </c>
      <c r="U225" s="379"/>
      <c r="V225" s="380">
        <v>129637.92</v>
      </c>
      <c r="W225" s="381">
        <v>12</v>
      </c>
      <c r="X225" s="379">
        <v>5</v>
      </c>
      <c r="Y225" s="379" t="s">
        <v>2666</v>
      </c>
      <c r="Z225" s="379">
        <v>3202002</v>
      </c>
      <c r="AA225" s="379" t="s">
        <v>2290</v>
      </c>
      <c r="AB225" s="380">
        <f t="shared" ref="AB225:AB288" si="3">W225/12</f>
        <v>1</v>
      </c>
    </row>
    <row r="226" spans="1:28" outlineLevel="2" x14ac:dyDescent="0.3">
      <c r="A226" s="379">
        <v>654</v>
      </c>
      <c r="B226" s="379">
        <v>812200</v>
      </c>
      <c r="C226" s="379" t="s">
        <v>963</v>
      </c>
      <c r="D226" s="379">
        <v>2391728</v>
      </c>
      <c r="E226" s="379" t="s">
        <v>2671</v>
      </c>
      <c r="F226" s="379" t="s">
        <v>2672</v>
      </c>
      <c r="G226" s="383">
        <v>39692</v>
      </c>
      <c r="H226" s="379">
        <v>109003.89</v>
      </c>
      <c r="I226" s="379">
        <v>5351.33</v>
      </c>
      <c r="J226" s="379">
        <v>20706.77</v>
      </c>
      <c r="K226" s="379">
        <v>8212.41</v>
      </c>
      <c r="L226" s="379"/>
      <c r="M226" s="379">
        <v>362.51</v>
      </c>
      <c r="N226" s="379"/>
      <c r="O226" s="379">
        <v>99034.559999999998</v>
      </c>
      <c r="P226" s="379">
        <v>1122.1300000000001</v>
      </c>
      <c r="Q226" s="379">
        <v>2809.2</v>
      </c>
      <c r="R226" s="379"/>
      <c r="S226" s="379"/>
      <c r="T226" s="379">
        <v>6038</v>
      </c>
      <c r="U226" s="379"/>
      <c r="V226" s="380">
        <v>143636.91</v>
      </c>
      <c r="W226" s="381">
        <v>12</v>
      </c>
      <c r="X226" s="379"/>
      <c r="Y226" s="379"/>
      <c r="Z226" s="379">
        <v>5821001</v>
      </c>
      <c r="AA226" s="379" t="s">
        <v>2427</v>
      </c>
      <c r="AB226" s="380">
        <f t="shared" si="3"/>
        <v>1</v>
      </c>
    </row>
    <row r="227" spans="1:28" outlineLevel="2" x14ac:dyDescent="0.3">
      <c r="A227" s="379">
        <v>654</v>
      </c>
      <c r="B227" s="379">
        <v>812200</v>
      </c>
      <c r="C227" s="379" t="s">
        <v>963</v>
      </c>
      <c r="D227" s="379">
        <v>2418269</v>
      </c>
      <c r="E227" s="379" t="s">
        <v>2384</v>
      </c>
      <c r="F227" s="379" t="s">
        <v>2673</v>
      </c>
      <c r="G227" s="383">
        <v>42705</v>
      </c>
      <c r="H227" s="379">
        <v>45520.11</v>
      </c>
      <c r="I227" s="379">
        <v>1633.56</v>
      </c>
      <c r="J227" s="379">
        <v>8806.49</v>
      </c>
      <c r="K227" s="379">
        <v>3451.2</v>
      </c>
      <c r="L227" s="379"/>
      <c r="M227" s="379">
        <v>141.72</v>
      </c>
      <c r="N227" s="379"/>
      <c r="O227" s="379">
        <v>39403.71</v>
      </c>
      <c r="P227" s="379">
        <v>1027.2</v>
      </c>
      <c r="Q227" s="379">
        <v>1599</v>
      </c>
      <c r="R227" s="379"/>
      <c r="S227" s="379"/>
      <c r="T227" s="379">
        <v>3490.2</v>
      </c>
      <c r="U227" s="379"/>
      <c r="V227" s="380">
        <v>59553.08</v>
      </c>
      <c r="W227" s="381">
        <v>5.94</v>
      </c>
      <c r="X227" s="379"/>
      <c r="Y227" s="379"/>
      <c r="Z227" s="379">
        <v>5821001</v>
      </c>
      <c r="AA227" s="379" t="s">
        <v>2427</v>
      </c>
      <c r="AB227" s="380">
        <f t="shared" si="3"/>
        <v>0.49500000000000005</v>
      </c>
    </row>
    <row r="228" spans="1:28" outlineLevel="2" x14ac:dyDescent="0.3">
      <c r="A228" s="379">
        <v>654</v>
      </c>
      <c r="B228" s="379">
        <v>812200</v>
      </c>
      <c r="C228" s="379" t="s">
        <v>963</v>
      </c>
      <c r="D228" s="379">
        <v>2418369</v>
      </c>
      <c r="E228" s="379" t="s">
        <v>2674</v>
      </c>
      <c r="F228" s="379" t="s">
        <v>2445</v>
      </c>
      <c r="G228" s="383">
        <v>37165</v>
      </c>
      <c r="H228" s="379">
        <v>36156.699999999997</v>
      </c>
      <c r="I228" s="379">
        <v>1568.49</v>
      </c>
      <c r="J228" s="379">
        <v>5914.81</v>
      </c>
      <c r="K228" s="379">
        <v>2711.73</v>
      </c>
      <c r="L228" s="379"/>
      <c r="M228" s="379">
        <v>102.7</v>
      </c>
      <c r="N228" s="379"/>
      <c r="O228" s="379">
        <v>34205.910000000003</v>
      </c>
      <c r="P228" s="379">
        <v>1014.39</v>
      </c>
      <c r="Q228" s="379">
        <v>936.4</v>
      </c>
      <c r="R228" s="379"/>
      <c r="S228" s="379"/>
      <c r="T228" s="379"/>
      <c r="U228" s="379"/>
      <c r="V228" s="380">
        <v>46454.43</v>
      </c>
      <c r="W228" s="381">
        <v>4</v>
      </c>
      <c r="X228" s="379"/>
      <c r="Y228" s="379"/>
      <c r="Z228" s="379">
        <v>5821001</v>
      </c>
      <c r="AA228" s="379" t="s">
        <v>2427</v>
      </c>
      <c r="AB228" s="380">
        <f t="shared" si="3"/>
        <v>0.33333333333333331</v>
      </c>
    </row>
    <row r="229" spans="1:28" outlineLevel="2" x14ac:dyDescent="0.3">
      <c r="A229" s="379">
        <v>654</v>
      </c>
      <c r="B229" s="379">
        <v>812200</v>
      </c>
      <c r="C229" s="379" t="s">
        <v>963</v>
      </c>
      <c r="D229" s="379">
        <v>2458074</v>
      </c>
      <c r="E229" s="379" t="s">
        <v>2675</v>
      </c>
      <c r="F229" s="379" t="s">
        <v>2673</v>
      </c>
      <c r="G229" s="383">
        <v>42401</v>
      </c>
      <c r="H229" s="379">
        <v>6290</v>
      </c>
      <c r="I229" s="379">
        <v>229.22</v>
      </c>
      <c r="J229" s="379">
        <v>821.87</v>
      </c>
      <c r="K229" s="379">
        <v>471.75</v>
      </c>
      <c r="L229" s="379"/>
      <c r="M229" s="379"/>
      <c r="N229" s="379"/>
      <c r="O229" s="379"/>
      <c r="P229" s="379">
        <v>5369</v>
      </c>
      <c r="Q229" s="379">
        <v>202</v>
      </c>
      <c r="R229" s="379"/>
      <c r="S229" s="379"/>
      <c r="T229" s="379">
        <v>719</v>
      </c>
      <c r="U229" s="379"/>
      <c r="V229" s="380">
        <v>7812.84</v>
      </c>
      <c r="W229" s="381"/>
      <c r="X229" s="379"/>
      <c r="Y229" s="379"/>
      <c r="Z229" s="379">
        <v>5821001</v>
      </c>
      <c r="AA229" s="379" t="s">
        <v>2427</v>
      </c>
      <c r="AB229" s="380">
        <f t="shared" si="3"/>
        <v>0</v>
      </c>
    </row>
    <row r="230" spans="1:28" outlineLevel="2" x14ac:dyDescent="0.3">
      <c r="A230" s="379">
        <v>654</v>
      </c>
      <c r="B230" s="379">
        <v>812200</v>
      </c>
      <c r="C230" s="379" t="s">
        <v>963</v>
      </c>
      <c r="D230" s="379">
        <v>2458101</v>
      </c>
      <c r="E230" s="379" t="s">
        <v>2387</v>
      </c>
      <c r="F230" s="379" t="s">
        <v>2676</v>
      </c>
      <c r="G230" s="383">
        <v>41974</v>
      </c>
      <c r="H230" s="379">
        <v>309.75</v>
      </c>
      <c r="I230" s="379">
        <v>10.99</v>
      </c>
      <c r="J230" s="379">
        <v>41.82</v>
      </c>
      <c r="K230" s="379">
        <v>23.24</v>
      </c>
      <c r="L230" s="379"/>
      <c r="M230" s="379"/>
      <c r="N230" s="379"/>
      <c r="O230" s="379"/>
      <c r="P230" s="379">
        <v>309.75</v>
      </c>
      <c r="Q230" s="379"/>
      <c r="R230" s="379"/>
      <c r="S230" s="379"/>
      <c r="T230" s="379"/>
      <c r="U230" s="379"/>
      <c r="V230" s="380">
        <v>385.8</v>
      </c>
      <c r="W230" s="381"/>
      <c r="X230" s="379"/>
      <c r="Y230" s="379"/>
      <c r="Z230" s="379">
        <v>1041001</v>
      </c>
      <c r="AA230" s="379" t="s">
        <v>2677</v>
      </c>
      <c r="AB230" s="380">
        <f t="shared" si="3"/>
        <v>0</v>
      </c>
    </row>
    <row r="231" spans="1:28" outlineLevel="2" x14ac:dyDescent="0.3">
      <c r="A231" s="379">
        <v>654</v>
      </c>
      <c r="B231" s="379">
        <v>812200</v>
      </c>
      <c r="C231" s="379" t="s">
        <v>963</v>
      </c>
      <c r="D231" s="379">
        <v>2459485</v>
      </c>
      <c r="E231" s="379" t="s">
        <v>2678</v>
      </c>
      <c r="F231" s="379" t="s">
        <v>2636</v>
      </c>
      <c r="G231" s="383">
        <v>40422</v>
      </c>
      <c r="H231" s="379">
        <v>97444.32</v>
      </c>
      <c r="I231" s="379">
        <v>4479.67</v>
      </c>
      <c r="J231" s="379">
        <v>17931.53</v>
      </c>
      <c r="K231" s="379">
        <v>7345.51</v>
      </c>
      <c r="L231" s="379"/>
      <c r="M231" s="379">
        <v>315.2</v>
      </c>
      <c r="N231" s="379"/>
      <c r="O231" s="379">
        <v>93367</v>
      </c>
      <c r="P231" s="379"/>
      <c r="Q231" s="379">
        <v>2809.2</v>
      </c>
      <c r="R231" s="379"/>
      <c r="S231" s="379"/>
      <c r="T231" s="379">
        <v>1268.1199999999999</v>
      </c>
      <c r="U231" s="379"/>
      <c r="V231" s="380">
        <v>127516.23</v>
      </c>
      <c r="W231" s="381">
        <v>12</v>
      </c>
      <c r="X231" s="379"/>
      <c r="Y231" s="379"/>
      <c r="Z231" s="379">
        <v>5821001</v>
      </c>
      <c r="AA231" s="379" t="s">
        <v>2427</v>
      </c>
      <c r="AB231" s="380">
        <f t="shared" si="3"/>
        <v>1</v>
      </c>
    </row>
    <row r="232" spans="1:28" outlineLevel="2" x14ac:dyDescent="0.3">
      <c r="A232" s="379">
        <v>654</v>
      </c>
      <c r="B232" s="379">
        <v>812200</v>
      </c>
      <c r="C232" s="379" t="s">
        <v>963</v>
      </c>
      <c r="D232" s="379">
        <v>2459958</v>
      </c>
      <c r="E232" s="379" t="s">
        <v>2679</v>
      </c>
      <c r="F232" s="379" t="s">
        <v>2680</v>
      </c>
      <c r="G232" s="383">
        <v>40787</v>
      </c>
      <c r="H232" s="379">
        <v>100123.03</v>
      </c>
      <c r="I232" s="379">
        <v>4648.42</v>
      </c>
      <c r="J232" s="379">
        <v>19202.669999999998</v>
      </c>
      <c r="K232" s="379">
        <v>7546.35</v>
      </c>
      <c r="L232" s="379"/>
      <c r="M232" s="379">
        <v>328.15</v>
      </c>
      <c r="N232" s="379"/>
      <c r="O232" s="379">
        <v>87422.06</v>
      </c>
      <c r="P232" s="379">
        <v>4159.7700000000004</v>
      </c>
      <c r="Q232" s="379">
        <v>2809.2</v>
      </c>
      <c r="R232" s="379"/>
      <c r="S232" s="379"/>
      <c r="T232" s="379">
        <v>6902</v>
      </c>
      <c r="U232" s="379">
        <v>-1170</v>
      </c>
      <c r="V232" s="380">
        <v>131848.62</v>
      </c>
      <c r="W232" s="381">
        <v>12</v>
      </c>
      <c r="X232" s="379"/>
      <c r="Y232" s="379"/>
      <c r="Z232" s="379">
        <v>5821001</v>
      </c>
      <c r="AA232" s="379" t="s">
        <v>2427</v>
      </c>
      <c r="AB232" s="380">
        <f t="shared" si="3"/>
        <v>1</v>
      </c>
    </row>
    <row r="233" spans="1:28" outlineLevel="2" x14ac:dyDescent="0.3">
      <c r="A233" s="379">
        <v>654</v>
      </c>
      <c r="B233" s="379">
        <v>812200</v>
      </c>
      <c r="C233" s="379" t="s">
        <v>963</v>
      </c>
      <c r="D233" s="379">
        <v>2468054</v>
      </c>
      <c r="E233" s="379" t="s">
        <v>2457</v>
      </c>
      <c r="F233" s="379" t="s">
        <v>2385</v>
      </c>
      <c r="G233" s="383">
        <v>41122</v>
      </c>
      <c r="H233" s="379">
        <v>100283.52</v>
      </c>
      <c r="I233" s="379">
        <v>4721.72</v>
      </c>
      <c r="J233" s="379">
        <v>19492</v>
      </c>
      <c r="K233" s="379">
        <v>7558.47</v>
      </c>
      <c r="L233" s="379"/>
      <c r="M233" s="379">
        <v>325.36</v>
      </c>
      <c r="N233" s="379"/>
      <c r="O233" s="379">
        <v>86639.18</v>
      </c>
      <c r="P233" s="379">
        <v>4239.1400000000003</v>
      </c>
      <c r="Q233" s="379">
        <v>2809.2</v>
      </c>
      <c r="R233" s="379"/>
      <c r="S233" s="379"/>
      <c r="T233" s="379">
        <v>7766</v>
      </c>
      <c r="U233" s="379">
        <v>-1170</v>
      </c>
      <c r="V233" s="380">
        <v>132381.07</v>
      </c>
      <c r="W233" s="381">
        <v>12</v>
      </c>
      <c r="X233" s="379"/>
      <c r="Y233" s="379"/>
      <c r="Z233" s="379">
        <v>5821001</v>
      </c>
      <c r="AA233" s="379" t="s">
        <v>2427</v>
      </c>
      <c r="AB233" s="380">
        <f t="shared" si="3"/>
        <v>1</v>
      </c>
    </row>
    <row r="234" spans="1:28" outlineLevel="2" x14ac:dyDescent="0.3">
      <c r="A234" s="379">
        <v>654</v>
      </c>
      <c r="B234" s="379">
        <v>812200</v>
      </c>
      <c r="C234" s="379" t="s">
        <v>963</v>
      </c>
      <c r="D234" s="379">
        <v>2468334</v>
      </c>
      <c r="E234" s="379" t="s">
        <v>2681</v>
      </c>
      <c r="F234" s="379" t="s">
        <v>2636</v>
      </c>
      <c r="G234" s="383">
        <v>39692</v>
      </c>
      <c r="H234" s="379">
        <v>104226.26</v>
      </c>
      <c r="I234" s="379">
        <v>4998.6099999999997</v>
      </c>
      <c r="J234" s="379">
        <v>20160.68</v>
      </c>
      <c r="K234" s="379">
        <v>7854.15</v>
      </c>
      <c r="L234" s="379"/>
      <c r="M234" s="379">
        <v>348.74</v>
      </c>
      <c r="N234" s="379"/>
      <c r="O234" s="379">
        <v>90757.23</v>
      </c>
      <c r="P234" s="379">
        <v>6767</v>
      </c>
      <c r="Q234" s="379">
        <v>2782</v>
      </c>
      <c r="R234" s="379"/>
      <c r="S234" s="379"/>
      <c r="T234" s="379">
        <v>5090.03</v>
      </c>
      <c r="U234" s="379">
        <v>-1170</v>
      </c>
      <c r="V234" s="380">
        <v>137588.44</v>
      </c>
      <c r="W234" s="381">
        <v>11.44</v>
      </c>
      <c r="X234" s="379">
        <v>5</v>
      </c>
      <c r="Y234" s="379" t="s">
        <v>2666</v>
      </c>
      <c r="Z234" s="379">
        <v>1401202</v>
      </c>
      <c r="AA234" s="379" t="s">
        <v>2380</v>
      </c>
      <c r="AB234" s="380">
        <f t="shared" si="3"/>
        <v>0.95333333333333325</v>
      </c>
    </row>
    <row r="235" spans="1:28" outlineLevel="2" x14ac:dyDescent="0.3">
      <c r="A235" s="379">
        <v>654</v>
      </c>
      <c r="B235" s="379">
        <v>812200</v>
      </c>
      <c r="C235" s="379" t="s">
        <v>963</v>
      </c>
      <c r="D235" s="379">
        <v>2541377</v>
      </c>
      <c r="E235" s="379" t="s">
        <v>2682</v>
      </c>
      <c r="F235" s="379" t="s">
        <v>2512</v>
      </c>
      <c r="G235" s="383">
        <v>41244</v>
      </c>
      <c r="H235" s="379">
        <v>2209</v>
      </c>
      <c r="I235" s="379">
        <v>78.42</v>
      </c>
      <c r="J235" s="379">
        <v>286.74</v>
      </c>
      <c r="K235" s="379">
        <v>165.7</v>
      </c>
      <c r="L235" s="379"/>
      <c r="M235" s="379"/>
      <c r="N235" s="379"/>
      <c r="O235" s="379"/>
      <c r="P235" s="379">
        <v>2124</v>
      </c>
      <c r="Q235" s="379">
        <v>85</v>
      </c>
      <c r="R235" s="379"/>
      <c r="S235" s="379"/>
      <c r="T235" s="379"/>
      <c r="U235" s="379"/>
      <c r="V235" s="380">
        <v>2739.86</v>
      </c>
      <c r="W235" s="381"/>
      <c r="X235" s="379"/>
      <c r="Y235" s="379"/>
      <c r="Z235" s="379">
        <v>5821001</v>
      </c>
      <c r="AA235" s="379" t="s">
        <v>2427</v>
      </c>
      <c r="AB235" s="380">
        <f t="shared" si="3"/>
        <v>0</v>
      </c>
    </row>
    <row r="236" spans="1:28" outlineLevel="2" x14ac:dyDescent="0.3">
      <c r="A236" s="379">
        <v>654</v>
      </c>
      <c r="B236" s="379">
        <v>812200</v>
      </c>
      <c r="C236" s="379" t="s">
        <v>963</v>
      </c>
      <c r="D236" s="379">
        <v>2565111</v>
      </c>
      <c r="E236" s="379" t="s">
        <v>2323</v>
      </c>
      <c r="F236" s="379" t="s">
        <v>2310</v>
      </c>
      <c r="G236" s="383">
        <v>42887</v>
      </c>
      <c r="H236" s="379">
        <v>14943.1</v>
      </c>
      <c r="I236" s="379">
        <v>530.48</v>
      </c>
      <c r="J236" s="379">
        <v>1915.6</v>
      </c>
      <c r="K236" s="379">
        <v>1120.8</v>
      </c>
      <c r="L236" s="379"/>
      <c r="M236" s="379"/>
      <c r="N236" s="379"/>
      <c r="O236" s="379"/>
      <c r="P236" s="379">
        <v>14189.5</v>
      </c>
      <c r="Q236" s="379">
        <v>753.6</v>
      </c>
      <c r="R236" s="379"/>
      <c r="S236" s="379"/>
      <c r="T236" s="379"/>
      <c r="U236" s="379"/>
      <c r="V236" s="380">
        <v>18509.98</v>
      </c>
      <c r="W236" s="381"/>
      <c r="X236" s="379"/>
      <c r="Y236" s="379"/>
      <c r="Z236" s="379">
        <v>5821001</v>
      </c>
      <c r="AA236" s="379" t="s">
        <v>2427</v>
      </c>
      <c r="AB236" s="380">
        <f t="shared" si="3"/>
        <v>0</v>
      </c>
    </row>
    <row r="237" spans="1:28" outlineLevel="2" x14ac:dyDescent="0.3">
      <c r="A237" s="379">
        <v>654</v>
      </c>
      <c r="B237" s="379">
        <v>812200</v>
      </c>
      <c r="C237" s="379" t="s">
        <v>963</v>
      </c>
      <c r="D237" s="379">
        <v>2655453</v>
      </c>
      <c r="E237" s="379" t="s">
        <v>2377</v>
      </c>
      <c r="F237" s="379" t="s">
        <v>2422</v>
      </c>
      <c r="G237" s="383">
        <v>42186</v>
      </c>
      <c r="H237" s="379">
        <v>2374</v>
      </c>
      <c r="I237" s="379">
        <v>84.28</v>
      </c>
      <c r="J237" s="379"/>
      <c r="K237" s="379">
        <v>178.05</v>
      </c>
      <c r="L237" s="379"/>
      <c r="M237" s="379"/>
      <c r="N237" s="379"/>
      <c r="O237" s="379"/>
      <c r="P237" s="379">
        <v>2183</v>
      </c>
      <c r="Q237" s="379">
        <v>191</v>
      </c>
      <c r="R237" s="379"/>
      <c r="S237" s="379"/>
      <c r="T237" s="379"/>
      <c r="U237" s="379"/>
      <c r="V237" s="380">
        <v>2636.33</v>
      </c>
      <c r="W237" s="381"/>
      <c r="X237" s="379"/>
      <c r="Y237" s="379"/>
      <c r="Z237" s="379">
        <v>1041001</v>
      </c>
      <c r="AA237" s="379" t="s">
        <v>2677</v>
      </c>
      <c r="AB237" s="380">
        <f t="shared" si="3"/>
        <v>0</v>
      </c>
    </row>
    <row r="238" spans="1:28" outlineLevel="2" x14ac:dyDescent="0.3">
      <c r="A238" s="379">
        <v>654</v>
      </c>
      <c r="B238" s="379">
        <v>812200</v>
      </c>
      <c r="C238" s="379" t="s">
        <v>963</v>
      </c>
      <c r="D238" s="379">
        <v>2660822</v>
      </c>
      <c r="E238" s="379" t="s">
        <v>2683</v>
      </c>
      <c r="F238" s="379" t="s">
        <v>2684</v>
      </c>
      <c r="G238" s="383">
        <v>42430</v>
      </c>
      <c r="H238" s="379">
        <v>70081.06</v>
      </c>
      <c r="I238" s="379">
        <v>3216.51</v>
      </c>
      <c r="J238" s="379">
        <v>17022.84</v>
      </c>
      <c r="K238" s="379">
        <v>5334.75</v>
      </c>
      <c r="L238" s="379"/>
      <c r="M238" s="379">
        <v>219.16</v>
      </c>
      <c r="N238" s="379"/>
      <c r="O238" s="379">
        <v>58377.85</v>
      </c>
      <c r="P238" s="379">
        <v>3201.93</v>
      </c>
      <c r="Q238" s="379">
        <v>1954.17</v>
      </c>
      <c r="R238" s="379"/>
      <c r="S238" s="379"/>
      <c r="T238" s="379">
        <v>3998.28</v>
      </c>
      <c r="U238" s="379">
        <v>2548.83</v>
      </c>
      <c r="V238" s="380">
        <v>95874.32</v>
      </c>
      <c r="W238" s="381">
        <v>8.6660000000000004</v>
      </c>
      <c r="X238" s="379"/>
      <c r="Y238" s="379"/>
      <c r="Z238" s="379">
        <v>5821001</v>
      </c>
      <c r="AA238" s="379" t="s">
        <v>2427</v>
      </c>
      <c r="AB238" s="380">
        <f t="shared" si="3"/>
        <v>0.72216666666666673</v>
      </c>
    </row>
    <row r="239" spans="1:28" outlineLevel="2" x14ac:dyDescent="0.3">
      <c r="A239" s="379">
        <v>654</v>
      </c>
      <c r="B239" s="379">
        <v>812200</v>
      </c>
      <c r="C239" s="379" t="s">
        <v>963</v>
      </c>
      <c r="D239" s="379">
        <v>2733478</v>
      </c>
      <c r="E239" s="379" t="s">
        <v>2307</v>
      </c>
      <c r="F239" s="379" t="s">
        <v>2633</v>
      </c>
      <c r="G239" s="383">
        <v>41640</v>
      </c>
      <c r="H239" s="379">
        <v>7963.5</v>
      </c>
      <c r="I239" s="379">
        <v>282.73</v>
      </c>
      <c r="J239" s="379">
        <v>1007.57</v>
      </c>
      <c r="K239" s="379">
        <v>597.32000000000005</v>
      </c>
      <c r="L239" s="379"/>
      <c r="M239" s="379"/>
      <c r="N239" s="379"/>
      <c r="O239" s="379"/>
      <c r="P239" s="379">
        <v>7463.5</v>
      </c>
      <c r="Q239" s="379">
        <v>500</v>
      </c>
      <c r="R239" s="379"/>
      <c r="S239" s="379"/>
      <c r="T239" s="379"/>
      <c r="U239" s="379"/>
      <c r="V239" s="380">
        <v>9851.1200000000008</v>
      </c>
      <c r="W239" s="381"/>
      <c r="X239" s="379"/>
      <c r="Y239" s="379"/>
      <c r="Z239" s="379">
        <v>5821001</v>
      </c>
      <c r="AA239" s="379" t="s">
        <v>2427</v>
      </c>
      <c r="AB239" s="380">
        <f t="shared" si="3"/>
        <v>0</v>
      </c>
    </row>
    <row r="240" spans="1:28" outlineLevel="2" x14ac:dyDescent="0.3">
      <c r="A240" s="379">
        <v>654</v>
      </c>
      <c r="B240" s="379">
        <v>812200</v>
      </c>
      <c r="C240" s="379" t="s">
        <v>963</v>
      </c>
      <c r="D240" s="379">
        <v>2733536</v>
      </c>
      <c r="E240" s="379" t="s">
        <v>2685</v>
      </c>
      <c r="F240" s="379" t="s">
        <v>2686</v>
      </c>
      <c r="G240" s="383">
        <v>40452</v>
      </c>
      <c r="H240" s="379">
        <v>97707.63</v>
      </c>
      <c r="I240" s="379">
        <v>4490.68</v>
      </c>
      <c r="J240" s="379">
        <v>19033.48</v>
      </c>
      <c r="K240" s="379">
        <v>7365.16</v>
      </c>
      <c r="L240" s="379"/>
      <c r="M240" s="379">
        <v>317.14999999999998</v>
      </c>
      <c r="N240" s="379"/>
      <c r="O240" s="379">
        <v>86357.75</v>
      </c>
      <c r="P240" s="379">
        <v>2502.6799999999998</v>
      </c>
      <c r="Q240" s="379">
        <v>2809.2</v>
      </c>
      <c r="R240" s="379"/>
      <c r="S240" s="379"/>
      <c r="T240" s="379">
        <v>6038</v>
      </c>
      <c r="U240" s="379"/>
      <c r="V240" s="380">
        <v>128914.1</v>
      </c>
      <c r="W240" s="381">
        <v>12</v>
      </c>
      <c r="X240" s="379">
        <v>5</v>
      </c>
      <c r="Y240" s="379" t="s">
        <v>2666</v>
      </c>
      <c r="Z240" s="379">
        <v>1401202</v>
      </c>
      <c r="AA240" s="379" t="s">
        <v>2380</v>
      </c>
      <c r="AB240" s="380">
        <f t="shared" si="3"/>
        <v>1</v>
      </c>
    </row>
    <row r="241" spans="1:28" outlineLevel="2" x14ac:dyDescent="0.3">
      <c r="A241" s="379">
        <v>654</v>
      </c>
      <c r="B241" s="379">
        <v>812200</v>
      </c>
      <c r="C241" s="379" t="s">
        <v>963</v>
      </c>
      <c r="D241" s="379">
        <v>2733941</v>
      </c>
      <c r="E241" s="379" t="s">
        <v>2469</v>
      </c>
      <c r="F241" s="379" t="s">
        <v>2687</v>
      </c>
      <c r="G241" s="383">
        <v>41883</v>
      </c>
      <c r="H241" s="379">
        <v>86029.05</v>
      </c>
      <c r="I241" s="379">
        <v>3684.04</v>
      </c>
      <c r="J241" s="379">
        <v>15558.66</v>
      </c>
      <c r="K241" s="379">
        <v>6489.23</v>
      </c>
      <c r="L241" s="379"/>
      <c r="M241" s="379">
        <v>255.12</v>
      </c>
      <c r="N241" s="379"/>
      <c r="O241" s="379">
        <v>68803.53</v>
      </c>
      <c r="P241" s="379">
        <v>11895.76</v>
      </c>
      <c r="Q241" s="379">
        <v>2157.36</v>
      </c>
      <c r="R241" s="379"/>
      <c r="S241" s="379"/>
      <c r="T241" s="379">
        <v>4342.3999999999996</v>
      </c>
      <c r="U241" s="379">
        <v>-1170</v>
      </c>
      <c r="V241" s="380">
        <v>112016.1</v>
      </c>
      <c r="W241" s="381">
        <v>9.6</v>
      </c>
      <c r="X241" s="379"/>
      <c r="Y241" s="379"/>
      <c r="Z241" s="379">
        <v>1027</v>
      </c>
      <c r="AA241" s="379" t="s">
        <v>2383</v>
      </c>
      <c r="AB241" s="380">
        <f t="shared" si="3"/>
        <v>0.79999999999999993</v>
      </c>
    </row>
    <row r="242" spans="1:28" outlineLevel="2" x14ac:dyDescent="0.3">
      <c r="A242" s="379">
        <v>654</v>
      </c>
      <c r="B242" s="379">
        <v>812200</v>
      </c>
      <c r="C242" s="379" t="s">
        <v>963</v>
      </c>
      <c r="D242" s="379">
        <v>2733964</v>
      </c>
      <c r="E242" s="379" t="s">
        <v>2688</v>
      </c>
      <c r="F242" s="379" t="s">
        <v>2396</v>
      </c>
      <c r="G242" s="383">
        <v>42309</v>
      </c>
      <c r="H242" s="379">
        <v>90791.9</v>
      </c>
      <c r="I242" s="379">
        <v>4219.25</v>
      </c>
      <c r="J242" s="379">
        <v>17692.84</v>
      </c>
      <c r="K242" s="379">
        <v>6846.61</v>
      </c>
      <c r="L242" s="379"/>
      <c r="M242" s="379">
        <v>300.37</v>
      </c>
      <c r="N242" s="379"/>
      <c r="O242" s="379">
        <v>80841.31</v>
      </c>
      <c r="P242" s="379">
        <v>3000.49</v>
      </c>
      <c r="Q242" s="379">
        <v>2575.1</v>
      </c>
      <c r="R242" s="379"/>
      <c r="S242" s="379"/>
      <c r="T242" s="379">
        <v>5428</v>
      </c>
      <c r="U242" s="379">
        <v>-1053</v>
      </c>
      <c r="V242" s="380">
        <v>119850.97</v>
      </c>
      <c r="W242" s="381">
        <v>11</v>
      </c>
      <c r="X242" s="379">
        <v>501</v>
      </c>
      <c r="Y242" s="379" t="s">
        <v>2689</v>
      </c>
      <c r="Z242" s="379">
        <v>5821001</v>
      </c>
      <c r="AA242" s="379" t="s">
        <v>2427</v>
      </c>
      <c r="AB242" s="380">
        <f t="shared" si="3"/>
        <v>0.91666666666666663</v>
      </c>
    </row>
    <row r="243" spans="1:28" outlineLevel="2" x14ac:dyDescent="0.3">
      <c r="A243" s="379">
        <v>654</v>
      </c>
      <c r="B243" s="379">
        <v>812200</v>
      </c>
      <c r="C243" s="379" t="s">
        <v>963</v>
      </c>
      <c r="D243" s="379">
        <v>2887665</v>
      </c>
      <c r="E243" s="379" t="s">
        <v>2690</v>
      </c>
      <c r="F243" s="379" t="s">
        <v>2512</v>
      </c>
      <c r="G243" s="383">
        <v>33329</v>
      </c>
      <c r="H243" s="379">
        <v>38442.699999999997</v>
      </c>
      <c r="I243" s="379">
        <v>1824.89</v>
      </c>
      <c r="J243" s="379">
        <v>3172.82</v>
      </c>
      <c r="K243" s="379">
        <v>2883.2</v>
      </c>
      <c r="L243" s="379"/>
      <c r="M243" s="379">
        <v>121.3</v>
      </c>
      <c r="N243" s="379"/>
      <c r="O243" s="379">
        <v>37300.400000000001</v>
      </c>
      <c r="P243" s="379">
        <v>205.9</v>
      </c>
      <c r="Q243" s="379">
        <v>936.4</v>
      </c>
      <c r="R243" s="379"/>
      <c r="S243" s="379"/>
      <c r="T243" s="379"/>
      <c r="U243" s="379"/>
      <c r="V243" s="380">
        <v>46444.91</v>
      </c>
      <c r="W243" s="381">
        <v>4</v>
      </c>
      <c r="X243" s="379"/>
      <c r="Y243" s="379"/>
      <c r="Z243" s="379">
        <v>5821001</v>
      </c>
      <c r="AA243" s="379" t="s">
        <v>2427</v>
      </c>
      <c r="AB243" s="380">
        <f t="shared" si="3"/>
        <v>0.33333333333333331</v>
      </c>
    </row>
    <row r="244" spans="1:28" outlineLevel="2" x14ac:dyDescent="0.3">
      <c r="A244" s="379">
        <v>654</v>
      </c>
      <c r="B244" s="379">
        <v>812200</v>
      </c>
      <c r="C244" s="379" t="s">
        <v>963</v>
      </c>
      <c r="D244" s="379">
        <v>2887997</v>
      </c>
      <c r="E244" s="379" t="s">
        <v>2590</v>
      </c>
      <c r="F244" s="379" t="s">
        <v>2634</v>
      </c>
      <c r="G244" s="383">
        <v>40544</v>
      </c>
      <c r="H244" s="379">
        <v>95983.16</v>
      </c>
      <c r="I244" s="379">
        <v>4361.3999999999996</v>
      </c>
      <c r="J244" s="379">
        <v>18674.75</v>
      </c>
      <c r="K244" s="379">
        <v>7236.15</v>
      </c>
      <c r="L244" s="379"/>
      <c r="M244" s="379">
        <v>306.8</v>
      </c>
      <c r="N244" s="379"/>
      <c r="O244" s="379">
        <v>86271.96</v>
      </c>
      <c r="P244" s="379"/>
      <c r="Q244" s="379">
        <v>2809.2</v>
      </c>
      <c r="R244" s="379"/>
      <c r="S244" s="379"/>
      <c r="T244" s="379">
        <v>6902</v>
      </c>
      <c r="U244" s="379"/>
      <c r="V244" s="380">
        <v>126562.26</v>
      </c>
      <c r="W244" s="381">
        <v>12</v>
      </c>
      <c r="X244" s="379"/>
      <c r="Y244" s="379"/>
      <c r="Z244" s="379">
        <v>5821001</v>
      </c>
      <c r="AA244" s="379" t="s">
        <v>2427</v>
      </c>
      <c r="AB244" s="380">
        <f t="shared" si="3"/>
        <v>1</v>
      </c>
    </row>
    <row r="245" spans="1:28" outlineLevel="2" x14ac:dyDescent="0.3">
      <c r="A245" s="379">
        <v>654</v>
      </c>
      <c r="B245" s="379">
        <v>812200</v>
      </c>
      <c r="C245" s="379" t="s">
        <v>963</v>
      </c>
      <c r="D245" s="379">
        <v>2888652</v>
      </c>
      <c r="E245" s="379" t="s">
        <v>2691</v>
      </c>
      <c r="F245" s="379" t="s">
        <v>2631</v>
      </c>
      <c r="G245" s="383">
        <v>42614</v>
      </c>
      <c r="H245" s="379">
        <v>7327.5</v>
      </c>
      <c r="I245" s="379">
        <v>295.62</v>
      </c>
      <c r="J245" s="379">
        <v>896.08</v>
      </c>
      <c r="K245" s="379">
        <v>624.53</v>
      </c>
      <c r="L245" s="379"/>
      <c r="M245" s="379"/>
      <c r="N245" s="379"/>
      <c r="O245" s="379"/>
      <c r="P245" s="379">
        <v>6637.5</v>
      </c>
      <c r="Q245" s="379">
        <v>690</v>
      </c>
      <c r="R245" s="379"/>
      <c r="S245" s="379"/>
      <c r="T245" s="379"/>
      <c r="U245" s="379"/>
      <c r="V245" s="380">
        <v>9143.73</v>
      </c>
      <c r="W245" s="381"/>
      <c r="X245" s="379"/>
      <c r="Y245" s="379"/>
      <c r="Z245" s="379">
        <v>5821001</v>
      </c>
      <c r="AA245" s="379" t="s">
        <v>2427</v>
      </c>
      <c r="AB245" s="380">
        <f t="shared" si="3"/>
        <v>0</v>
      </c>
    </row>
    <row r="246" spans="1:28" outlineLevel="2" x14ac:dyDescent="0.3">
      <c r="A246" s="379">
        <v>654</v>
      </c>
      <c r="B246" s="379">
        <v>812200</v>
      </c>
      <c r="C246" s="379" t="s">
        <v>963</v>
      </c>
      <c r="D246" s="379">
        <v>3190147</v>
      </c>
      <c r="E246" s="379" t="s">
        <v>2332</v>
      </c>
      <c r="F246" s="379" t="s">
        <v>2310</v>
      </c>
      <c r="G246" s="383">
        <v>43739</v>
      </c>
      <c r="H246" s="379">
        <v>5216.5</v>
      </c>
      <c r="I246" s="379">
        <v>185.19</v>
      </c>
      <c r="J246" s="379">
        <v>688.5</v>
      </c>
      <c r="K246" s="379">
        <v>391.25</v>
      </c>
      <c r="L246" s="379"/>
      <c r="M246" s="379"/>
      <c r="N246" s="379"/>
      <c r="O246" s="379"/>
      <c r="P246" s="379">
        <v>5100</v>
      </c>
      <c r="Q246" s="379">
        <v>116.5</v>
      </c>
      <c r="R246" s="379"/>
      <c r="S246" s="379"/>
      <c r="T246" s="379"/>
      <c r="U246" s="379"/>
      <c r="V246" s="380">
        <v>6481.44</v>
      </c>
      <c r="W246" s="381"/>
      <c r="X246" s="379"/>
      <c r="Y246" s="379"/>
      <c r="Z246" s="379">
        <v>5821001</v>
      </c>
      <c r="AA246" s="379" t="s">
        <v>2427</v>
      </c>
      <c r="AB246" s="380">
        <f t="shared" si="3"/>
        <v>0</v>
      </c>
    </row>
    <row r="247" spans="1:28" outlineLevel="2" x14ac:dyDescent="0.3">
      <c r="A247" s="379">
        <v>654</v>
      </c>
      <c r="B247" s="379">
        <v>812200</v>
      </c>
      <c r="C247" s="379" t="s">
        <v>963</v>
      </c>
      <c r="D247" s="379">
        <v>3196368</v>
      </c>
      <c r="E247" s="379" t="s">
        <v>2340</v>
      </c>
      <c r="F247" s="379" t="s">
        <v>2654</v>
      </c>
      <c r="G247" s="383">
        <v>40787</v>
      </c>
      <c r="H247" s="379">
        <v>94445.54</v>
      </c>
      <c r="I247" s="379">
        <v>4219.82</v>
      </c>
      <c r="J247" s="379">
        <v>17716.330000000002</v>
      </c>
      <c r="K247" s="379">
        <v>7120.65</v>
      </c>
      <c r="L247" s="379"/>
      <c r="M247" s="379">
        <v>403.5</v>
      </c>
      <c r="N247" s="379"/>
      <c r="O247" s="379">
        <v>85038.61</v>
      </c>
      <c r="P247" s="379">
        <v>299.88</v>
      </c>
      <c r="Q247" s="379">
        <v>2809.2</v>
      </c>
      <c r="R247" s="379"/>
      <c r="S247" s="379"/>
      <c r="T247" s="379">
        <v>2517.85</v>
      </c>
      <c r="U247" s="379">
        <v>3780</v>
      </c>
      <c r="V247" s="380">
        <v>123905.84</v>
      </c>
      <c r="W247" s="381">
        <v>12</v>
      </c>
      <c r="X247" s="379"/>
      <c r="Y247" s="379"/>
      <c r="Z247" s="379">
        <v>5821001</v>
      </c>
      <c r="AA247" s="379" t="s">
        <v>2427</v>
      </c>
      <c r="AB247" s="380">
        <f t="shared" si="3"/>
        <v>1</v>
      </c>
    </row>
    <row r="248" spans="1:28" outlineLevel="2" x14ac:dyDescent="0.3">
      <c r="A248" s="379">
        <v>654</v>
      </c>
      <c r="B248" s="379">
        <v>812200</v>
      </c>
      <c r="C248" s="379" t="s">
        <v>963</v>
      </c>
      <c r="D248" s="379">
        <v>3196428</v>
      </c>
      <c r="E248" s="379" t="s">
        <v>2465</v>
      </c>
      <c r="F248" s="379" t="s">
        <v>2692</v>
      </c>
      <c r="G248" s="383">
        <v>41153</v>
      </c>
      <c r="H248" s="379">
        <v>98527.07</v>
      </c>
      <c r="I248" s="379">
        <v>4648.5600000000004</v>
      </c>
      <c r="J248" s="379">
        <v>18823.72</v>
      </c>
      <c r="K248" s="379">
        <v>7426.72</v>
      </c>
      <c r="L248" s="379"/>
      <c r="M248" s="379">
        <v>324.68</v>
      </c>
      <c r="N248" s="379"/>
      <c r="O248" s="379">
        <v>86477.45</v>
      </c>
      <c r="P248" s="379">
        <v>4240.42</v>
      </c>
      <c r="Q248" s="379">
        <v>2941.2</v>
      </c>
      <c r="R248" s="379"/>
      <c r="S248" s="379"/>
      <c r="T248" s="379">
        <v>6038</v>
      </c>
      <c r="U248" s="379">
        <v>-1170</v>
      </c>
      <c r="V248" s="380">
        <v>129750.75</v>
      </c>
      <c r="W248" s="381">
        <v>12</v>
      </c>
      <c r="X248" s="379"/>
      <c r="Y248" s="379"/>
      <c r="Z248" s="379">
        <v>5821001</v>
      </c>
      <c r="AA248" s="379" t="s">
        <v>2427</v>
      </c>
      <c r="AB248" s="380">
        <f t="shared" si="3"/>
        <v>1</v>
      </c>
    </row>
    <row r="249" spans="1:28" outlineLevel="2" x14ac:dyDescent="0.3">
      <c r="A249" s="379">
        <v>654</v>
      </c>
      <c r="B249" s="379">
        <v>812200</v>
      </c>
      <c r="C249" s="379" t="s">
        <v>963</v>
      </c>
      <c r="D249" s="379">
        <v>3287783</v>
      </c>
      <c r="E249" s="379" t="s">
        <v>2693</v>
      </c>
      <c r="F249" s="379" t="s">
        <v>2694</v>
      </c>
      <c r="G249" s="383">
        <v>39692</v>
      </c>
      <c r="H249" s="379">
        <v>99628.9</v>
      </c>
      <c r="I249" s="379">
        <v>4672.3</v>
      </c>
      <c r="J249" s="379">
        <v>19417.330000000002</v>
      </c>
      <c r="K249" s="379">
        <v>7509.45</v>
      </c>
      <c r="L249" s="379"/>
      <c r="M249" s="379">
        <v>322.57</v>
      </c>
      <c r="N249" s="379"/>
      <c r="O249" s="379">
        <v>89686.58</v>
      </c>
      <c r="P249" s="379">
        <v>663.12</v>
      </c>
      <c r="Q249" s="379">
        <v>2809.2</v>
      </c>
      <c r="R249" s="379"/>
      <c r="S249" s="379"/>
      <c r="T249" s="379">
        <v>6470</v>
      </c>
      <c r="U249" s="379"/>
      <c r="V249" s="380">
        <v>131550.54999999999</v>
      </c>
      <c r="W249" s="381">
        <v>12</v>
      </c>
      <c r="X249" s="379"/>
      <c r="Y249" s="379"/>
      <c r="Z249" s="379">
        <v>5821001</v>
      </c>
      <c r="AA249" s="379" t="s">
        <v>2427</v>
      </c>
      <c r="AB249" s="380">
        <f t="shared" si="3"/>
        <v>1</v>
      </c>
    </row>
    <row r="250" spans="1:28" outlineLevel="2" x14ac:dyDescent="0.3">
      <c r="A250" s="379">
        <v>654</v>
      </c>
      <c r="B250" s="379">
        <v>812200</v>
      </c>
      <c r="C250" s="379" t="s">
        <v>963</v>
      </c>
      <c r="D250" s="379">
        <v>3311754</v>
      </c>
      <c r="E250" s="379" t="s">
        <v>2695</v>
      </c>
      <c r="F250" s="379" t="s">
        <v>2673</v>
      </c>
      <c r="G250" s="383">
        <v>40057</v>
      </c>
      <c r="H250" s="379">
        <v>3330.9</v>
      </c>
      <c r="I250" s="379"/>
      <c r="J250" s="379"/>
      <c r="K250" s="379">
        <v>249.8</v>
      </c>
      <c r="L250" s="379"/>
      <c r="M250" s="379"/>
      <c r="N250" s="379"/>
      <c r="O250" s="379"/>
      <c r="P250" s="379"/>
      <c r="Q250" s="379"/>
      <c r="R250" s="379"/>
      <c r="S250" s="379">
        <v>3330.9</v>
      </c>
      <c r="T250" s="379"/>
      <c r="U250" s="379"/>
      <c r="V250" s="380">
        <v>3580.7</v>
      </c>
      <c r="W250" s="381"/>
      <c r="X250" s="379"/>
      <c r="Y250" s="379"/>
      <c r="Z250" s="379">
        <v>5821001</v>
      </c>
      <c r="AA250" s="379" t="s">
        <v>2427</v>
      </c>
      <c r="AB250" s="380">
        <f t="shared" si="3"/>
        <v>0</v>
      </c>
    </row>
    <row r="251" spans="1:28" outlineLevel="2" x14ac:dyDescent="0.3">
      <c r="A251" s="379">
        <v>654</v>
      </c>
      <c r="B251" s="379">
        <v>812200</v>
      </c>
      <c r="C251" s="379" t="s">
        <v>963</v>
      </c>
      <c r="D251" s="379">
        <v>3330675</v>
      </c>
      <c r="E251" s="379" t="s">
        <v>2519</v>
      </c>
      <c r="F251" s="379" t="s">
        <v>2696</v>
      </c>
      <c r="G251" s="383">
        <v>41821</v>
      </c>
      <c r="H251" s="379">
        <v>50335.26</v>
      </c>
      <c r="I251" s="379">
        <v>1804.53</v>
      </c>
      <c r="J251" s="379">
        <v>9964.1299999999992</v>
      </c>
      <c r="K251" s="379">
        <v>3812.3</v>
      </c>
      <c r="L251" s="379"/>
      <c r="M251" s="379">
        <v>159</v>
      </c>
      <c r="N251" s="379"/>
      <c r="O251" s="379">
        <v>44605.32</v>
      </c>
      <c r="P251" s="379">
        <v>906.3</v>
      </c>
      <c r="Q251" s="379">
        <v>1588.92</v>
      </c>
      <c r="R251" s="379"/>
      <c r="S251" s="379"/>
      <c r="T251" s="379">
        <v>3234.72</v>
      </c>
      <c r="U251" s="379"/>
      <c r="V251" s="380">
        <v>66075.22</v>
      </c>
      <c r="W251" s="381">
        <v>6.4589999999999996</v>
      </c>
      <c r="X251" s="379"/>
      <c r="Y251" s="379"/>
      <c r="Z251" s="379">
        <v>5821001</v>
      </c>
      <c r="AA251" s="379" t="s">
        <v>2427</v>
      </c>
      <c r="AB251" s="380">
        <f t="shared" si="3"/>
        <v>0.53825000000000001</v>
      </c>
    </row>
    <row r="252" spans="1:28" outlineLevel="2" x14ac:dyDescent="0.3">
      <c r="A252" s="379">
        <v>654</v>
      </c>
      <c r="B252" s="379">
        <v>812200</v>
      </c>
      <c r="C252" s="379" t="s">
        <v>963</v>
      </c>
      <c r="D252" s="379">
        <v>3584767</v>
      </c>
      <c r="E252" s="379" t="s">
        <v>2697</v>
      </c>
      <c r="F252" s="379" t="s">
        <v>2528</v>
      </c>
      <c r="G252" s="383">
        <v>42675</v>
      </c>
      <c r="H252" s="379">
        <v>58116.54</v>
      </c>
      <c r="I252" s="379">
        <v>2093.71</v>
      </c>
      <c r="J252" s="379">
        <v>10242.99</v>
      </c>
      <c r="K252" s="379">
        <v>4395.7299999999996</v>
      </c>
      <c r="L252" s="379"/>
      <c r="M252" s="379">
        <v>161.22999999999999</v>
      </c>
      <c r="N252" s="379"/>
      <c r="O252" s="379">
        <v>47156.82</v>
      </c>
      <c r="P252" s="379">
        <v>5603.6</v>
      </c>
      <c r="Q252" s="379">
        <v>2495.56</v>
      </c>
      <c r="R252" s="379"/>
      <c r="S252" s="379"/>
      <c r="T252" s="379">
        <v>2860.56</v>
      </c>
      <c r="U252" s="379"/>
      <c r="V252" s="380">
        <v>75010.2</v>
      </c>
      <c r="W252" s="381">
        <v>6.6</v>
      </c>
      <c r="X252" s="379"/>
      <c r="Y252" s="379"/>
      <c r="Z252" s="379">
        <v>1401202</v>
      </c>
      <c r="AA252" s="379" t="s">
        <v>2380</v>
      </c>
      <c r="AB252" s="380">
        <f t="shared" si="3"/>
        <v>0.54999999999999993</v>
      </c>
    </row>
    <row r="253" spans="1:28" outlineLevel="2" x14ac:dyDescent="0.3">
      <c r="A253" s="379">
        <v>654</v>
      </c>
      <c r="B253" s="379">
        <v>812200</v>
      </c>
      <c r="C253" s="379" t="s">
        <v>963</v>
      </c>
      <c r="D253" s="379">
        <v>3594485</v>
      </c>
      <c r="E253" s="379" t="s">
        <v>2698</v>
      </c>
      <c r="F253" s="379" t="s">
        <v>2699</v>
      </c>
      <c r="G253" s="383">
        <v>42826</v>
      </c>
      <c r="H253" s="379">
        <v>63387.97</v>
      </c>
      <c r="I253" s="379">
        <v>2368.61</v>
      </c>
      <c r="J253" s="379">
        <v>11815.29</v>
      </c>
      <c r="K253" s="379">
        <v>4791.22</v>
      </c>
      <c r="L253" s="379"/>
      <c r="M253" s="379">
        <v>201.62</v>
      </c>
      <c r="N253" s="379"/>
      <c r="O253" s="379">
        <v>52728.84</v>
      </c>
      <c r="P253" s="379">
        <v>7863.46</v>
      </c>
      <c r="Q253" s="379">
        <v>1431.54</v>
      </c>
      <c r="R253" s="379"/>
      <c r="S253" s="379"/>
      <c r="T253" s="379">
        <v>2594.5100000000002</v>
      </c>
      <c r="U253" s="379">
        <v>-1230.3800000000001</v>
      </c>
      <c r="V253" s="380">
        <v>82564.710000000006</v>
      </c>
      <c r="W253" s="381">
        <v>7.5919999999999996</v>
      </c>
      <c r="X253" s="379"/>
      <c r="Y253" s="379"/>
      <c r="Z253" s="379">
        <v>5821001</v>
      </c>
      <c r="AA253" s="379" t="s">
        <v>2427</v>
      </c>
      <c r="AB253" s="380">
        <f t="shared" si="3"/>
        <v>0.6326666666666666</v>
      </c>
    </row>
    <row r="254" spans="1:28" outlineLevel="2" x14ac:dyDescent="0.3">
      <c r="A254" s="379">
        <v>654</v>
      </c>
      <c r="B254" s="379">
        <v>812200</v>
      </c>
      <c r="C254" s="379" t="s">
        <v>963</v>
      </c>
      <c r="D254" s="379">
        <v>3827854</v>
      </c>
      <c r="E254" s="379" t="s">
        <v>2700</v>
      </c>
      <c r="F254" s="379" t="s">
        <v>2701</v>
      </c>
      <c r="G254" s="383">
        <v>40909</v>
      </c>
      <c r="H254" s="379">
        <v>105902.53</v>
      </c>
      <c r="I254" s="379">
        <v>5149.53</v>
      </c>
      <c r="J254" s="379">
        <v>20353.91</v>
      </c>
      <c r="K254" s="379">
        <v>7979.91</v>
      </c>
      <c r="L254" s="379"/>
      <c r="M254" s="379">
        <v>354.84</v>
      </c>
      <c r="N254" s="379"/>
      <c r="O254" s="379">
        <v>88449.57</v>
      </c>
      <c r="P254" s="379">
        <v>10750.93</v>
      </c>
      <c r="Q254" s="379">
        <v>2782</v>
      </c>
      <c r="R254" s="379"/>
      <c r="S254" s="379"/>
      <c r="T254" s="379">
        <v>5090.03</v>
      </c>
      <c r="U254" s="379">
        <v>-1170</v>
      </c>
      <c r="V254" s="380">
        <v>139740.72</v>
      </c>
      <c r="W254" s="381">
        <v>11.44</v>
      </c>
      <c r="X254" s="379"/>
      <c r="Y254" s="379"/>
      <c r="Z254" s="379">
        <v>1401202</v>
      </c>
      <c r="AA254" s="379" t="s">
        <v>2380</v>
      </c>
      <c r="AB254" s="380">
        <f t="shared" si="3"/>
        <v>0.95333333333333325</v>
      </c>
    </row>
    <row r="255" spans="1:28" outlineLevel="2" x14ac:dyDescent="0.3">
      <c r="A255" s="379">
        <v>654</v>
      </c>
      <c r="B255" s="379">
        <v>812200</v>
      </c>
      <c r="C255" s="379" t="s">
        <v>963</v>
      </c>
      <c r="D255" s="379">
        <v>3845294</v>
      </c>
      <c r="E255" s="379" t="s">
        <v>2702</v>
      </c>
      <c r="F255" s="379" t="s">
        <v>2703</v>
      </c>
      <c r="G255" s="383">
        <v>41487</v>
      </c>
      <c r="H255" s="379">
        <v>97892.88</v>
      </c>
      <c r="I255" s="379">
        <v>4478.9399999999996</v>
      </c>
      <c r="J255" s="379">
        <v>19142.330000000002</v>
      </c>
      <c r="K255" s="379">
        <v>7379.1</v>
      </c>
      <c r="L255" s="379"/>
      <c r="M255" s="379">
        <v>320.25</v>
      </c>
      <c r="N255" s="379"/>
      <c r="O255" s="379">
        <v>86726.37</v>
      </c>
      <c r="P255" s="379">
        <v>2923.31</v>
      </c>
      <c r="Q255" s="379">
        <v>2511.1999999999998</v>
      </c>
      <c r="R255" s="379"/>
      <c r="S255" s="379"/>
      <c r="T255" s="379">
        <v>6902</v>
      </c>
      <c r="U255" s="379">
        <v>-1170</v>
      </c>
      <c r="V255" s="380">
        <v>129213.5</v>
      </c>
      <c r="W255" s="381">
        <v>12</v>
      </c>
      <c r="X255" s="379"/>
      <c r="Y255" s="379"/>
      <c r="Z255" s="379">
        <v>5821001</v>
      </c>
      <c r="AA255" s="379" t="s">
        <v>2427</v>
      </c>
      <c r="AB255" s="380">
        <f t="shared" si="3"/>
        <v>1</v>
      </c>
    </row>
    <row r="256" spans="1:28" outlineLevel="2" x14ac:dyDescent="0.3">
      <c r="A256" s="379">
        <v>654</v>
      </c>
      <c r="B256" s="379">
        <v>812200</v>
      </c>
      <c r="C256" s="379" t="s">
        <v>963</v>
      </c>
      <c r="D256" s="379">
        <v>3873651</v>
      </c>
      <c r="E256" s="379" t="s">
        <v>2704</v>
      </c>
      <c r="F256" s="379" t="s">
        <v>2443</v>
      </c>
      <c r="G256" s="383">
        <v>43221</v>
      </c>
      <c r="H256" s="379">
        <v>57826.5</v>
      </c>
      <c r="I256" s="379">
        <v>2144.16</v>
      </c>
      <c r="J256" s="379">
        <v>8860.92</v>
      </c>
      <c r="K256" s="379">
        <v>4374.21</v>
      </c>
      <c r="L256" s="379"/>
      <c r="M256" s="379">
        <v>178.22</v>
      </c>
      <c r="N256" s="379"/>
      <c r="O256" s="379">
        <v>51705.09</v>
      </c>
      <c r="P256" s="379">
        <v>223.23</v>
      </c>
      <c r="Q256" s="379">
        <v>1718.26</v>
      </c>
      <c r="R256" s="379"/>
      <c r="S256" s="379"/>
      <c r="T256" s="379">
        <v>1628.4</v>
      </c>
      <c r="U256" s="379">
        <v>2551.52</v>
      </c>
      <c r="V256" s="380">
        <v>73384.009999999995</v>
      </c>
      <c r="W256" s="381">
        <v>8.1999999999999993</v>
      </c>
      <c r="X256" s="379"/>
      <c r="Y256" s="379"/>
      <c r="Z256" s="379">
        <v>5821001</v>
      </c>
      <c r="AA256" s="379" t="s">
        <v>2427</v>
      </c>
      <c r="AB256" s="380">
        <f t="shared" si="3"/>
        <v>0.68333333333333324</v>
      </c>
    </row>
    <row r="257" spans="1:28" outlineLevel="2" x14ac:dyDescent="0.3">
      <c r="A257" s="379">
        <v>654</v>
      </c>
      <c r="B257" s="379">
        <v>812200</v>
      </c>
      <c r="C257" s="379" t="s">
        <v>963</v>
      </c>
      <c r="D257" s="379">
        <v>3873846</v>
      </c>
      <c r="E257" s="379" t="s">
        <v>2332</v>
      </c>
      <c r="F257" s="379" t="s">
        <v>2416</v>
      </c>
      <c r="G257" s="383">
        <v>42248</v>
      </c>
      <c r="H257" s="379">
        <v>102711.8</v>
      </c>
      <c r="I257" s="379">
        <v>4904.6000000000004</v>
      </c>
      <c r="J257" s="379">
        <v>20014.77</v>
      </c>
      <c r="K257" s="379">
        <v>7740.62</v>
      </c>
      <c r="L257" s="379"/>
      <c r="M257" s="379">
        <v>339.22</v>
      </c>
      <c r="N257" s="379"/>
      <c r="O257" s="379">
        <v>90553.53</v>
      </c>
      <c r="P257" s="379">
        <v>3795.07</v>
      </c>
      <c r="Q257" s="379">
        <v>2809.2</v>
      </c>
      <c r="R257" s="379"/>
      <c r="S257" s="379"/>
      <c r="T257" s="379">
        <v>6724</v>
      </c>
      <c r="U257" s="379">
        <v>-1170</v>
      </c>
      <c r="V257" s="380">
        <v>135711.01</v>
      </c>
      <c r="W257" s="381">
        <v>12</v>
      </c>
      <c r="X257" s="379"/>
      <c r="Y257" s="379"/>
      <c r="Z257" s="379">
        <v>5821001</v>
      </c>
      <c r="AA257" s="379" t="s">
        <v>2427</v>
      </c>
      <c r="AB257" s="380">
        <f t="shared" si="3"/>
        <v>1</v>
      </c>
    </row>
    <row r="258" spans="1:28" outlineLevel="2" x14ac:dyDescent="0.3">
      <c r="A258" s="379">
        <v>654</v>
      </c>
      <c r="B258" s="379">
        <v>812200</v>
      </c>
      <c r="C258" s="379" t="s">
        <v>963</v>
      </c>
      <c r="D258" s="379">
        <v>3951777</v>
      </c>
      <c r="E258" s="379" t="s">
        <v>2318</v>
      </c>
      <c r="F258" s="379" t="s">
        <v>2424</v>
      </c>
      <c r="G258" s="383">
        <v>43525</v>
      </c>
      <c r="H258" s="379">
        <v>22542.02</v>
      </c>
      <c r="I258" s="379">
        <v>800.25</v>
      </c>
      <c r="J258" s="379">
        <v>2574.83</v>
      </c>
      <c r="K258" s="379">
        <v>1690.63</v>
      </c>
      <c r="L258" s="379"/>
      <c r="M258" s="379">
        <v>49.2</v>
      </c>
      <c r="N258" s="379"/>
      <c r="O258" s="379">
        <v>14307.2</v>
      </c>
      <c r="P258" s="379">
        <v>6755.5</v>
      </c>
      <c r="Q258" s="379">
        <v>806.81</v>
      </c>
      <c r="R258" s="379"/>
      <c r="S258" s="379"/>
      <c r="T258" s="379"/>
      <c r="U258" s="379">
        <v>672.51</v>
      </c>
      <c r="V258" s="380">
        <v>27656.93</v>
      </c>
      <c r="W258" s="381">
        <v>2.1349999999999998</v>
      </c>
      <c r="X258" s="379"/>
      <c r="Y258" s="379"/>
      <c r="Z258" s="379">
        <v>5821001</v>
      </c>
      <c r="AA258" s="379" t="s">
        <v>2427</v>
      </c>
      <c r="AB258" s="380">
        <f t="shared" si="3"/>
        <v>0.17791666666666664</v>
      </c>
    </row>
    <row r="259" spans="1:28" outlineLevel="2" x14ac:dyDescent="0.3">
      <c r="A259" s="379">
        <v>654</v>
      </c>
      <c r="B259" s="379">
        <v>812200</v>
      </c>
      <c r="C259" s="379" t="s">
        <v>963</v>
      </c>
      <c r="D259" s="379">
        <v>4059999</v>
      </c>
      <c r="E259" s="379" t="s">
        <v>2340</v>
      </c>
      <c r="F259" s="379" t="s">
        <v>2696</v>
      </c>
      <c r="G259" s="383">
        <v>41609</v>
      </c>
      <c r="H259" s="379">
        <v>105259.22</v>
      </c>
      <c r="I259" s="379">
        <v>5039.1499999999996</v>
      </c>
      <c r="J259" s="379">
        <v>18926.53</v>
      </c>
      <c r="K259" s="379">
        <v>7931.6</v>
      </c>
      <c r="L259" s="379"/>
      <c r="M259" s="379">
        <v>317.2</v>
      </c>
      <c r="N259" s="379"/>
      <c r="O259" s="379">
        <v>88062.58</v>
      </c>
      <c r="P259" s="379">
        <v>3183.44</v>
      </c>
      <c r="Q259" s="379">
        <v>2809.2</v>
      </c>
      <c r="R259" s="379"/>
      <c r="S259" s="379"/>
      <c r="T259" s="379">
        <v>6038</v>
      </c>
      <c r="U259" s="379">
        <v>5166</v>
      </c>
      <c r="V259" s="380">
        <v>137473.70000000001</v>
      </c>
      <c r="W259" s="381">
        <v>12</v>
      </c>
      <c r="X259" s="379"/>
      <c r="Y259" s="379"/>
      <c r="Z259" s="379">
        <v>5821001</v>
      </c>
      <c r="AA259" s="379" t="s">
        <v>2427</v>
      </c>
      <c r="AB259" s="380">
        <f t="shared" si="3"/>
        <v>1</v>
      </c>
    </row>
    <row r="260" spans="1:28" outlineLevel="2" x14ac:dyDescent="0.3">
      <c r="A260" s="379">
        <v>654</v>
      </c>
      <c r="B260" s="379">
        <v>812200</v>
      </c>
      <c r="C260" s="379" t="s">
        <v>963</v>
      </c>
      <c r="D260" s="379">
        <v>4060328</v>
      </c>
      <c r="E260" s="379" t="s">
        <v>2705</v>
      </c>
      <c r="F260" s="379" t="s">
        <v>2706</v>
      </c>
      <c r="G260" s="383">
        <v>41883</v>
      </c>
      <c r="H260" s="379">
        <v>94979.85</v>
      </c>
      <c r="I260" s="379">
        <v>4315.17</v>
      </c>
      <c r="J260" s="379">
        <v>18386.29</v>
      </c>
      <c r="K260" s="379">
        <v>7160.77</v>
      </c>
      <c r="L260" s="379"/>
      <c r="M260" s="379">
        <v>306</v>
      </c>
      <c r="N260" s="379"/>
      <c r="O260" s="379">
        <v>85107.82</v>
      </c>
      <c r="P260" s="379">
        <v>943.38</v>
      </c>
      <c r="Q260" s="379">
        <v>2809.2</v>
      </c>
      <c r="R260" s="379"/>
      <c r="S260" s="379"/>
      <c r="T260" s="379">
        <v>5633.45</v>
      </c>
      <c r="U260" s="379">
        <v>486</v>
      </c>
      <c r="V260" s="380">
        <v>125148.08</v>
      </c>
      <c r="W260" s="381">
        <v>12</v>
      </c>
      <c r="X260" s="379"/>
      <c r="Y260" s="379"/>
      <c r="Z260" s="379">
        <v>5821001</v>
      </c>
      <c r="AA260" s="379" t="s">
        <v>2427</v>
      </c>
      <c r="AB260" s="380">
        <f t="shared" si="3"/>
        <v>1</v>
      </c>
    </row>
    <row r="261" spans="1:28" outlineLevel="2" x14ac:dyDescent="0.3">
      <c r="A261" s="379">
        <v>654</v>
      </c>
      <c r="B261" s="379">
        <v>812200</v>
      </c>
      <c r="C261" s="379" t="s">
        <v>963</v>
      </c>
      <c r="D261" s="379">
        <v>5285917</v>
      </c>
      <c r="E261" s="379" t="s">
        <v>2524</v>
      </c>
      <c r="F261" s="379" t="s">
        <v>2707</v>
      </c>
      <c r="G261" s="383">
        <v>40787</v>
      </c>
      <c r="H261" s="379">
        <v>98485.03</v>
      </c>
      <c r="I261" s="379">
        <v>4523.66</v>
      </c>
      <c r="J261" s="379">
        <v>18818.099999999999</v>
      </c>
      <c r="K261" s="379">
        <v>7423.45</v>
      </c>
      <c r="L261" s="379"/>
      <c r="M261" s="379">
        <v>310.8</v>
      </c>
      <c r="N261" s="379"/>
      <c r="O261" s="379">
        <v>89637.83</v>
      </c>
      <c r="P261" s="379"/>
      <c r="Q261" s="379">
        <v>2809.2</v>
      </c>
      <c r="R261" s="379"/>
      <c r="S261" s="379"/>
      <c r="T261" s="379">
        <v>6038</v>
      </c>
      <c r="U261" s="379"/>
      <c r="V261" s="380">
        <v>129561.04</v>
      </c>
      <c r="W261" s="381">
        <v>12</v>
      </c>
      <c r="X261" s="379"/>
      <c r="Y261" s="379"/>
      <c r="Z261" s="379">
        <v>5821001</v>
      </c>
      <c r="AA261" s="379" t="s">
        <v>2427</v>
      </c>
      <c r="AB261" s="380">
        <f t="shared" si="3"/>
        <v>1</v>
      </c>
    </row>
    <row r="262" spans="1:28" outlineLevel="2" x14ac:dyDescent="0.3">
      <c r="A262" s="379">
        <v>654</v>
      </c>
      <c r="B262" s="379">
        <v>812200</v>
      </c>
      <c r="C262" s="379" t="s">
        <v>963</v>
      </c>
      <c r="D262" s="379">
        <v>5322080</v>
      </c>
      <c r="E262" s="379" t="s">
        <v>2340</v>
      </c>
      <c r="F262" s="379" t="s">
        <v>2654</v>
      </c>
      <c r="G262" s="383">
        <v>40269</v>
      </c>
      <c r="H262" s="379">
        <v>3451.5</v>
      </c>
      <c r="I262" s="379">
        <v>16.54</v>
      </c>
      <c r="J262" s="379">
        <v>547.80999999999995</v>
      </c>
      <c r="K262" s="379">
        <v>258.83999999999997</v>
      </c>
      <c r="L262" s="379"/>
      <c r="M262" s="379"/>
      <c r="N262" s="379"/>
      <c r="O262" s="379"/>
      <c r="P262" s="379">
        <v>3451.5</v>
      </c>
      <c r="Q262" s="379">
        <v>0</v>
      </c>
      <c r="R262" s="379"/>
      <c r="S262" s="379"/>
      <c r="T262" s="379"/>
      <c r="U262" s="379"/>
      <c r="V262" s="380">
        <v>4274.6899999999996</v>
      </c>
      <c r="W262" s="381"/>
      <c r="X262" s="379"/>
      <c r="Y262" s="379"/>
      <c r="Z262" s="379">
        <v>1401202</v>
      </c>
      <c r="AA262" s="379" t="s">
        <v>2380</v>
      </c>
      <c r="AB262" s="380">
        <f t="shared" si="3"/>
        <v>0</v>
      </c>
    </row>
    <row r="263" spans="1:28" outlineLevel="2" x14ac:dyDescent="0.3">
      <c r="A263" s="379">
        <v>654</v>
      </c>
      <c r="B263" s="379">
        <v>812200</v>
      </c>
      <c r="C263" s="379" t="s">
        <v>963</v>
      </c>
      <c r="D263" s="379">
        <v>5399578</v>
      </c>
      <c r="E263" s="379" t="s">
        <v>2708</v>
      </c>
      <c r="F263" s="379" t="s">
        <v>2707</v>
      </c>
      <c r="G263" s="383">
        <v>41548</v>
      </c>
      <c r="H263" s="379">
        <v>17656.54</v>
      </c>
      <c r="I263" s="379">
        <v>573.84</v>
      </c>
      <c r="J263" s="379">
        <v>3021.47</v>
      </c>
      <c r="K263" s="379">
        <v>1324.3</v>
      </c>
      <c r="L263" s="379"/>
      <c r="M263" s="379"/>
      <c r="N263" s="379"/>
      <c r="O263" s="379"/>
      <c r="P263" s="379">
        <v>16785.54</v>
      </c>
      <c r="Q263" s="379">
        <v>871</v>
      </c>
      <c r="R263" s="379"/>
      <c r="S263" s="379"/>
      <c r="T263" s="379"/>
      <c r="U263" s="379"/>
      <c r="V263" s="380">
        <v>22576.15</v>
      </c>
      <c r="W263" s="381"/>
      <c r="X263" s="379"/>
      <c r="Y263" s="379"/>
      <c r="Z263" s="379">
        <v>5821001</v>
      </c>
      <c r="AA263" s="379" t="s">
        <v>2427</v>
      </c>
      <c r="AB263" s="380">
        <f t="shared" si="3"/>
        <v>0</v>
      </c>
    </row>
    <row r="264" spans="1:28" outlineLevel="2" x14ac:dyDescent="0.3">
      <c r="A264" s="379">
        <v>654</v>
      </c>
      <c r="B264" s="379">
        <v>812200</v>
      </c>
      <c r="C264" s="379" t="s">
        <v>963</v>
      </c>
      <c r="D264" s="379">
        <v>5429071</v>
      </c>
      <c r="E264" s="379" t="s">
        <v>2355</v>
      </c>
      <c r="F264" s="379" t="s">
        <v>2709</v>
      </c>
      <c r="G264" s="383">
        <v>43070</v>
      </c>
      <c r="H264" s="379">
        <v>4957.5</v>
      </c>
      <c r="I264" s="379">
        <v>169</v>
      </c>
      <c r="J264" s="379">
        <v>649.16999999999996</v>
      </c>
      <c r="K264" s="379">
        <v>371.84</v>
      </c>
      <c r="L264" s="379"/>
      <c r="M264" s="379"/>
      <c r="N264" s="379"/>
      <c r="O264" s="379"/>
      <c r="P264" s="379">
        <v>4808.5</v>
      </c>
      <c r="Q264" s="379">
        <v>149</v>
      </c>
      <c r="R264" s="379"/>
      <c r="S264" s="379"/>
      <c r="T264" s="379"/>
      <c r="U264" s="379"/>
      <c r="V264" s="380">
        <v>6147.51</v>
      </c>
      <c r="W264" s="381"/>
      <c r="X264" s="379"/>
      <c r="Y264" s="379"/>
      <c r="Z264" s="379">
        <v>1401202</v>
      </c>
      <c r="AA264" s="379" t="s">
        <v>2380</v>
      </c>
      <c r="AB264" s="380">
        <f t="shared" si="3"/>
        <v>0</v>
      </c>
    </row>
    <row r="265" spans="1:28" outlineLevel="2" x14ac:dyDescent="0.3">
      <c r="A265" s="379">
        <v>654</v>
      </c>
      <c r="B265" s="379">
        <v>812200</v>
      </c>
      <c r="C265" s="379" t="s">
        <v>963</v>
      </c>
      <c r="D265" s="379">
        <v>5450732</v>
      </c>
      <c r="E265" s="379" t="s">
        <v>2323</v>
      </c>
      <c r="F265" s="379" t="s">
        <v>2434</v>
      </c>
      <c r="G265" s="383">
        <v>40725</v>
      </c>
      <c r="H265" s="379">
        <v>102096.95</v>
      </c>
      <c r="I265" s="379">
        <v>4460.72</v>
      </c>
      <c r="J265" s="379">
        <v>18839.04</v>
      </c>
      <c r="K265" s="379">
        <v>7694.6</v>
      </c>
      <c r="L265" s="379"/>
      <c r="M265" s="379">
        <v>318.42</v>
      </c>
      <c r="N265" s="379"/>
      <c r="O265" s="379">
        <v>91521.75</v>
      </c>
      <c r="P265" s="379"/>
      <c r="Q265" s="379">
        <v>2809.2</v>
      </c>
      <c r="R265" s="379"/>
      <c r="S265" s="379"/>
      <c r="T265" s="379">
        <v>7766</v>
      </c>
      <c r="U265" s="379"/>
      <c r="V265" s="380">
        <v>133409.73000000001</v>
      </c>
      <c r="W265" s="381">
        <v>12</v>
      </c>
      <c r="X265" s="379"/>
      <c r="Y265" s="379"/>
      <c r="Z265" s="379">
        <v>5821001</v>
      </c>
      <c r="AA265" s="379" t="s">
        <v>2427</v>
      </c>
      <c r="AB265" s="380">
        <f t="shared" si="3"/>
        <v>1</v>
      </c>
    </row>
    <row r="266" spans="1:28" outlineLevel="2" x14ac:dyDescent="0.3">
      <c r="A266" s="379">
        <v>654</v>
      </c>
      <c r="B266" s="379">
        <v>812200</v>
      </c>
      <c r="C266" s="379" t="s">
        <v>963</v>
      </c>
      <c r="D266" s="379">
        <v>5538438</v>
      </c>
      <c r="E266" s="379" t="s">
        <v>2710</v>
      </c>
      <c r="F266" s="379" t="s">
        <v>2711</v>
      </c>
      <c r="G266" s="383">
        <v>34943</v>
      </c>
      <c r="H266" s="379">
        <v>104242.12</v>
      </c>
      <c r="I266" s="379">
        <v>4961.28</v>
      </c>
      <c r="J266" s="379">
        <v>9506.84</v>
      </c>
      <c r="K266" s="379">
        <v>7855.35</v>
      </c>
      <c r="L266" s="379"/>
      <c r="M266" s="379">
        <v>338.3</v>
      </c>
      <c r="N266" s="379"/>
      <c r="O266" s="379">
        <v>94483.72</v>
      </c>
      <c r="P266" s="379">
        <v>211.2</v>
      </c>
      <c r="Q266" s="379">
        <v>2213.1999999999998</v>
      </c>
      <c r="R266" s="379"/>
      <c r="S266" s="379"/>
      <c r="T266" s="379">
        <v>7334</v>
      </c>
      <c r="U266" s="379"/>
      <c r="V266" s="380">
        <v>126903.89</v>
      </c>
      <c r="W266" s="381">
        <v>12</v>
      </c>
      <c r="X266" s="379"/>
      <c r="Y266" s="379"/>
      <c r="Z266" s="379">
        <v>5821001</v>
      </c>
      <c r="AA266" s="379" t="s">
        <v>2427</v>
      </c>
      <c r="AB266" s="380">
        <f t="shared" si="3"/>
        <v>1</v>
      </c>
    </row>
    <row r="267" spans="1:28" outlineLevel="2" x14ac:dyDescent="0.3">
      <c r="A267" s="379">
        <v>654</v>
      </c>
      <c r="B267" s="379">
        <v>812200</v>
      </c>
      <c r="C267" s="379" t="s">
        <v>963</v>
      </c>
      <c r="D267" s="379">
        <v>5547917</v>
      </c>
      <c r="E267" s="379" t="s">
        <v>2712</v>
      </c>
      <c r="F267" s="379" t="s">
        <v>2713</v>
      </c>
      <c r="G267" s="383">
        <v>36800</v>
      </c>
      <c r="H267" s="379">
        <v>102655.92</v>
      </c>
      <c r="I267" s="379">
        <v>4840.7299999999996</v>
      </c>
      <c r="J267" s="379">
        <v>7886.25</v>
      </c>
      <c r="K267" s="379">
        <v>7736.25</v>
      </c>
      <c r="L267" s="379"/>
      <c r="M267" s="379">
        <v>331.95</v>
      </c>
      <c r="N267" s="379"/>
      <c r="O267" s="379">
        <v>92304.76</v>
      </c>
      <c r="P267" s="379">
        <v>207.96</v>
      </c>
      <c r="Q267" s="379">
        <v>2809.2</v>
      </c>
      <c r="R267" s="379"/>
      <c r="S267" s="379"/>
      <c r="T267" s="379">
        <v>7334</v>
      </c>
      <c r="U267" s="379"/>
      <c r="V267" s="380">
        <v>123451.1</v>
      </c>
      <c r="W267" s="381">
        <v>12</v>
      </c>
      <c r="X267" s="379"/>
      <c r="Y267" s="379"/>
      <c r="Z267" s="379">
        <v>5821001</v>
      </c>
      <c r="AA267" s="379" t="s">
        <v>2427</v>
      </c>
      <c r="AB267" s="380">
        <f t="shared" si="3"/>
        <v>1</v>
      </c>
    </row>
    <row r="268" spans="1:28" outlineLevel="2" x14ac:dyDescent="0.3">
      <c r="A268" s="379">
        <v>654</v>
      </c>
      <c r="B268" s="379">
        <v>812200</v>
      </c>
      <c r="C268" s="379" t="s">
        <v>963</v>
      </c>
      <c r="D268" s="379">
        <v>5646400</v>
      </c>
      <c r="E268" s="379" t="s">
        <v>2714</v>
      </c>
      <c r="F268" s="379" t="s">
        <v>2715</v>
      </c>
      <c r="G268" s="383">
        <v>38353</v>
      </c>
      <c r="H268" s="379">
        <v>100576.53</v>
      </c>
      <c r="I268" s="379">
        <v>4682.88</v>
      </c>
      <c r="J268" s="379">
        <v>19639.29</v>
      </c>
      <c r="K268" s="379">
        <v>7580.45</v>
      </c>
      <c r="L268" s="379"/>
      <c r="M268" s="379">
        <v>325.14999999999998</v>
      </c>
      <c r="N268" s="379"/>
      <c r="O268" s="379">
        <v>90865.33</v>
      </c>
      <c r="P268" s="379"/>
      <c r="Q268" s="379">
        <v>2809.2</v>
      </c>
      <c r="R268" s="379"/>
      <c r="S268" s="379"/>
      <c r="T268" s="379">
        <v>6902</v>
      </c>
      <c r="U268" s="379"/>
      <c r="V268" s="380">
        <v>132804.29999999999</v>
      </c>
      <c r="W268" s="381">
        <v>12</v>
      </c>
      <c r="X268" s="379"/>
      <c r="Y268" s="379"/>
      <c r="Z268" s="379">
        <v>5821001</v>
      </c>
      <c r="AA268" s="379" t="s">
        <v>2427</v>
      </c>
      <c r="AB268" s="380">
        <f t="shared" si="3"/>
        <v>1</v>
      </c>
    </row>
    <row r="269" spans="1:28" outlineLevel="2" x14ac:dyDescent="0.3">
      <c r="A269" s="379">
        <v>654</v>
      </c>
      <c r="B269" s="379">
        <v>812200</v>
      </c>
      <c r="C269" s="379" t="s">
        <v>963</v>
      </c>
      <c r="D269" s="379">
        <v>5646436</v>
      </c>
      <c r="E269" s="379" t="s">
        <v>2716</v>
      </c>
      <c r="F269" s="379" t="s">
        <v>2717</v>
      </c>
      <c r="G269" s="383">
        <v>43009</v>
      </c>
      <c r="H269" s="379">
        <v>4901.6000000000004</v>
      </c>
      <c r="I269" s="379">
        <v>173.77</v>
      </c>
      <c r="J269" s="379">
        <v>637.19000000000005</v>
      </c>
      <c r="K269" s="379">
        <v>367.63</v>
      </c>
      <c r="L269" s="379"/>
      <c r="M269" s="379"/>
      <c r="N269" s="379"/>
      <c r="O269" s="379"/>
      <c r="P269" s="379">
        <v>4720</v>
      </c>
      <c r="Q269" s="379">
        <v>181.6</v>
      </c>
      <c r="R269" s="379"/>
      <c r="S269" s="379"/>
      <c r="T269" s="379"/>
      <c r="U269" s="379"/>
      <c r="V269" s="380">
        <v>6080.19</v>
      </c>
      <c r="W269" s="381"/>
      <c r="X269" s="379"/>
      <c r="Y269" s="379"/>
      <c r="Z269" s="379">
        <v>5821001</v>
      </c>
      <c r="AA269" s="379" t="s">
        <v>2427</v>
      </c>
      <c r="AB269" s="380">
        <f t="shared" si="3"/>
        <v>0</v>
      </c>
    </row>
    <row r="270" spans="1:28" outlineLevel="2" x14ac:dyDescent="0.3">
      <c r="A270" s="379">
        <v>654</v>
      </c>
      <c r="B270" s="379">
        <v>812200</v>
      </c>
      <c r="C270" s="379" t="s">
        <v>963</v>
      </c>
      <c r="D270" s="379">
        <v>5653147</v>
      </c>
      <c r="E270" s="379" t="s">
        <v>2718</v>
      </c>
      <c r="F270" s="379" t="s">
        <v>2719</v>
      </c>
      <c r="G270" s="383">
        <v>43221</v>
      </c>
      <c r="H270" s="379">
        <v>13566.35</v>
      </c>
      <c r="I270" s="379">
        <v>481.63</v>
      </c>
      <c r="J270" s="379">
        <v>1738.35</v>
      </c>
      <c r="K270" s="379">
        <v>1017.55</v>
      </c>
      <c r="L270" s="379"/>
      <c r="M270" s="379"/>
      <c r="N270" s="379"/>
      <c r="O270" s="379"/>
      <c r="P270" s="379">
        <v>12876.75</v>
      </c>
      <c r="Q270" s="379">
        <v>689.6</v>
      </c>
      <c r="R270" s="379"/>
      <c r="S270" s="379"/>
      <c r="T270" s="379"/>
      <c r="U270" s="379"/>
      <c r="V270" s="380">
        <v>16803.88</v>
      </c>
      <c r="W270" s="381"/>
      <c r="X270" s="379"/>
      <c r="Y270" s="379"/>
      <c r="Z270" s="379">
        <v>5821001</v>
      </c>
      <c r="AA270" s="379" t="s">
        <v>2427</v>
      </c>
      <c r="AB270" s="380">
        <f t="shared" si="3"/>
        <v>0</v>
      </c>
    </row>
    <row r="271" spans="1:28" outlineLevel="2" x14ac:dyDescent="0.3">
      <c r="A271" s="379">
        <v>654</v>
      </c>
      <c r="B271" s="379">
        <v>812200</v>
      </c>
      <c r="C271" s="379" t="s">
        <v>963</v>
      </c>
      <c r="D271" s="379">
        <v>5789287</v>
      </c>
      <c r="E271" s="379" t="s">
        <v>2720</v>
      </c>
      <c r="F271" s="379" t="s">
        <v>2721</v>
      </c>
      <c r="G271" s="383">
        <v>40603</v>
      </c>
      <c r="H271" s="379">
        <v>100639.54</v>
      </c>
      <c r="I271" s="379">
        <v>4742.24</v>
      </c>
      <c r="J271" s="379">
        <v>19406.93</v>
      </c>
      <c r="K271" s="379">
        <v>7585.35</v>
      </c>
      <c r="L271" s="379"/>
      <c r="M271" s="379">
        <v>328.66</v>
      </c>
      <c r="N271" s="379"/>
      <c r="O271" s="379">
        <v>88331.26</v>
      </c>
      <c r="P271" s="379">
        <v>3461.08</v>
      </c>
      <c r="Q271" s="379">
        <v>2809.2</v>
      </c>
      <c r="R271" s="379"/>
      <c r="S271" s="379"/>
      <c r="T271" s="379">
        <v>6038</v>
      </c>
      <c r="U271" s="379"/>
      <c r="V271" s="380">
        <v>132702.72</v>
      </c>
      <c r="W271" s="381">
        <v>12</v>
      </c>
      <c r="X271" s="379"/>
      <c r="Y271" s="379"/>
      <c r="Z271" s="379">
        <v>5821001</v>
      </c>
      <c r="AA271" s="379" t="s">
        <v>2427</v>
      </c>
      <c r="AB271" s="380">
        <f t="shared" si="3"/>
        <v>1</v>
      </c>
    </row>
    <row r="272" spans="1:28" outlineLevel="2" x14ac:dyDescent="0.3">
      <c r="A272" s="379">
        <v>654</v>
      </c>
      <c r="B272" s="379">
        <v>812200</v>
      </c>
      <c r="C272" s="379" t="s">
        <v>963</v>
      </c>
      <c r="D272" s="379">
        <v>5829453</v>
      </c>
      <c r="E272" s="379" t="s">
        <v>2722</v>
      </c>
      <c r="F272" s="379" t="s">
        <v>2644</v>
      </c>
      <c r="G272" s="383">
        <v>41640</v>
      </c>
      <c r="H272" s="379">
        <v>4307</v>
      </c>
      <c r="I272" s="379">
        <v>152.9</v>
      </c>
      <c r="J272" s="379">
        <v>581.45000000000005</v>
      </c>
      <c r="K272" s="379">
        <v>323.02</v>
      </c>
      <c r="L272" s="379"/>
      <c r="M272" s="379"/>
      <c r="N272" s="379"/>
      <c r="O272" s="379"/>
      <c r="P272" s="379">
        <v>4307</v>
      </c>
      <c r="Q272" s="379"/>
      <c r="R272" s="379"/>
      <c r="S272" s="379"/>
      <c r="T272" s="379"/>
      <c r="U272" s="379"/>
      <c r="V272" s="380">
        <v>5364.37</v>
      </c>
      <c r="W272" s="381"/>
      <c r="X272" s="379"/>
      <c r="Y272" s="379"/>
      <c r="Z272" s="379">
        <v>1401202</v>
      </c>
      <c r="AA272" s="379" t="s">
        <v>2380</v>
      </c>
      <c r="AB272" s="380">
        <f t="shared" si="3"/>
        <v>0</v>
      </c>
    </row>
    <row r="273" spans="1:28" outlineLevel="2" x14ac:dyDescent="0.3">
      <c r="A273" s="379">
        <v>654</v>
      </c>
      <c r="B273" s="379">
        <v>812200</v>
      </c>
      <c r="C273" s="379" t="s">
        <v>963</v>
      </c>
      <c r="D273" s="379">
        <v>5836090</v>
      </c>
      <c r="E273" s="379" t="s">
        <v>2457</v>
      </c>
      <c r="F273" s="379" t="s">
        <v>2658</v>
      </c>
      <c r="G273" s="383">
        <v>41487</v>
      </c>
      <c r="H273" s="379">
        <v>99845.5</v>
      </c>
      <c r="I273" s="379">
        <v>4627.72</v>
      </c>
      <c r="J273" s="379">
        <v>18984.439999999999</v>
      </c>
      <c r="K273" s="379">
        <v>7525.6</v>
      </c>
      <c r="L273" s="379"/>
      <c r="M273" s="379">
        <v>325.85000000000002</v>
      </c>
      <c r="N273" s="379"/>
      <c r="O273" s="379">
        <v>87062.080000000002</v>
      </c>
      <c r="P273" s="379">
        <v>3936.22</v>
      </c>
      <c r="Q273" s="379">
        <v>2809.2</v>
      </c>
      <c r="R273" s="379"/>
      <c r="S273" s="379"/>
      <c r="T273" s="379">
        <v>6038</v>
      </c>
      <c r="U273" s="379"/>
      <c r="V273" s="380">
        <v>131309.10999999999</v>
      </c>
      <c r="W273" s="381">
        <v>12</v>
      </c>
      <c r="X273" s="379"/>
      <c r="Y273" s="379"/>
      <c r="Z273" s="379">
        <v>5821001</v>
      </c>
      <c r="AA273" s="379" t="s">
        <v>2427</v>
      </c>
      <c r="AB273" s="380">
        <f t="shared" si="3"/>
        <v>1</v>
      </c>
    </row>
    <row r="274" spans="1:28" outlineLevel="2" x14ac:dyDescent="0.3">
      <c r="A274" s="379">
        <v>654</v>
      </c>
      <c r="B274" s="379">
        <v>812200</v>
      </c>
      <c r="C274" s="379" t="s">
        <v>963</v>
      </c>
      <c r="D274" s="379">
        <v>5843016</v>
      </c>
      <c r="E274" s="379" t="s">
        <v>2723</v>
      </c>
      <c r="F274" s="379" t="s">
        <v>2512</v>
      </c>
      <c r="G274" s="383">
        <v>38292</v>
      </c>
      <c r="H274" s="379">
        <v>68219.199999999997</v>
      </c>
      <c r="I274" s="379">
        <v>3222.51</v>
      </c>
      <c r="J274" s="379">
        <v>13503.52</v>
      </c>
      <c r="K274" s="379">
        <v>5153.6499999999996</v>
      </c>
      <c r="L274" s="379"/>
      <c r="M274" s="379">
        <v>214</v>
      </c>
      <c r="N274" s="379"/>
      <c r="O274" s="379">
        <v>59663.25</v>
      </c>
      <c r="P274" s="379">
        <v>213.15</v>
      </c>
      <c r="Q274" s="379">
        <v>1872.8</v>
      </c>
      <c r="R274" s="379"/>
      <c r="S274" s="379"/>
      <c r="T274" s="379">
        <v>6470</v>
      </c>
      <c r="U274" s="379"/>
      <c r="V274" s="380">
        <v>90312.88</v>
      </c>
      <c r="W274" s="381">
        <v>8</v>
      </c>
      <c r="X274" s="379"/>
      <c r="Y274" s="379"/>
      <c r="Z274" s="379">
        <v>5821001</v>
      </c>
      <c r="AA274" s="379" t="s">
        <v>2427</v>
      </c>
      <c r="AB274" s="380">
        <f t="shared" si="3"/>
        <v>0.66666666666666663</v>
      </c>
    </row>
    <row r="275" spans="1:28" outlineLevel="2" x14ac:dyDescent="0.3">
      <c r="A275" s="379">
        <v>654</v>
      </c>
      <c r="B275" s="379">
        <v>812200</v>
      </c>
      <c r="C275" s="379" t="s">
        <v>963</v>
      </c>
      <c r="D275" s="379">
        <v>5873525</v>
      </c>
      <c r="E275" s="379" t="s">
        <v>2724</v>
      </c>
      <c r="F275" s="379" t="s">
        <v>2725</v>
      </c>
      <c r="G275" s="383">
        <v>43160</v>
      </c>
      <c r="H275" s="379">
        <v>49192.959999999999</v>
      </c>
      <c r="I275" s="379">
        <v>1768.75</v>
      </c>
      <c r="J275" s="379">
        <v>7985.55</v>
      </c>
      <c r="K275" s="379">
        <v>3726.71</v>
      </c>
      <c r="L275" s="379"/>
      <c r="M275" s="379">
        <v>149.24</v>
      </c>
      <c r="N275" s="379"/>
      <c r="O275" s="379">
        <v>41888.129999999997</v>
      </c>
      <c r="P275" s="379">
        <v>5621.55</v>
      </c>
      <c r="Q275" s="379">
        <v>1125.8399999999999</v>
      </c>
      <c r="R275" s="379"/>
      <c r="S275" s="379"/>
      <c r="T275" s="379">
        <v>557.44000000000005</v>
      </c>
      <c r="U275" s="379"/>
      <c r="V275" s="380">
        <v>62823.21</v>
      </c>
      <c r="W275" s="381">
        <v>6.2910000000000004</v>
      </c>
      <c r="X275" s="379"/>
      <c r="Y275" s="379"/>
      <c r="Z275" s="379">
        <v>1041001</v>
      </c>
      <c r="AA275" s="379" t="s">
        <v>2677</v>
      </c>
      <c r="AB275" s="380">
        <f t="shared" si="3"/>
        <v>0.52424999999999999</v>
      </c>
    </row>
    <row r="276" spans="1:28" outlineLevel="2" x14ac:dyDescent="0.3">
      <c r="A276" s="379">
        <v>654</v>
      </c>
      <c r="B276" s="379">
        <v>812200</v>
      </c>
      <c r="C276" s="379" t="s">
        <v>963</v>
      </c>
      <c r="D276" s="379">
        <v>5877574</v>
      </c>
      <c r="E276" s="379" t="s">
        <v>2726</v>
      </c>
      <c r="F276" s="379" t="s">
        <v>2349</v>
      </c>
      <c r="G276" s="383">
        <v>39845</v>
      </c>
      <c r="H276" s="379">
        <v>30947.34</v>
      </c>
      <c r="I276" s="379">
        <v>1353.42</v>
      </c>
      <c r="J276" s="379">
        <v>5791.95</v>
      </c>
      <c r="K276" s="379">
        <v>2321.0500000000002</v>
      </c>
      <c r="L276" s="379"/>
      <c r="M276" s="379">
        <v>106.2</v>
      </c>
      <c r="N276" s="379"/>
      <c r="O276" s="379">
        <v>30010.94</v>
      </c>
      <c r="P276" s="379"/>
      <c r="Q276" s="379">
        <v>936.4</v>
      </c>
      <c r="R276" s="379"/>
      <c r="S276" s="379"/>
      <c r="T276" s="379"/>
      <c r="U276" s="379"/>
      <c r="V276" s="380">
        <v>40519.96</v>
      </c>
      <c r="W276" s="381">
        <v>4</v>
      </c>
      <c r="X276" s="379"/>
      <c r="Y276" s="379"/>
      <c r="Z276" s="379">
        <v>5821001</v>
      </c>
      <c r="AA276" s="379" t="s">
        <v>2427</v>
      </c>
      <c r="AB276" s="380">
        <f t="shared" si="3"/>
        <v>0.33333333333333331</v>
      </c>
    </row>
    <row r="277" spans="1:28" outlineLevel="2" x14ac:dyDescent="0.3">
      <c r="A277" s="379">
        <v>654</v>
      </c>
      <c r="B277" s="379">
        <v>812200</v>
      </c>
      <c r="C277" s="379" t="s">
        <v>963</v>
      </c>
      <c r="D277" s="379">
        <v>5877930</v>
      </c>
      <c r="E277" s="379" t="s">
        <v>2727</v>
      </c>
      <c r="F277" s="379" t="s">
        <v>2696</v>
      </c>
      <c r="G277" s="383">
        <v>35034</v>
      </c>
      <c r="H277" s="379">
        <v>113454.73</v>
      </c>
      <c r="I277" s="379">
        <v>5716.56</v>
      </c>
      <c r="J277" s="379">
        <v>9931.2900000000009</v>
      </c>
      <c r="K277" s="379">
        <v>8546.2999999999993</v>
      </c>
      <c r="L277" s="379"/>
      <c r="M277" s="379">
        <v>374.96</v>
      </c>
      <c r="N277" s="379"/>
      <c r="O277" s="379">
        <v>98116.9</v>
      </c>
      <c r="P277" s="379">
        <v>5194.63</v>
      </c>
      <c r="Q277" s="379">
        <v>2809.2</v>
      </c>
      <c r="R277" s="379"/>
      <c r="S277" s="379"/>
      <c r="T277" s="379">
        <v>7334</v>
      </c>
      <c r="U277" s="379"/>
      <c r="V277" s="380">
        <v>138023.84</v>
      </c>
      <c r="W277" s="381">
        <v>12</v>
      </c>
      <c r="X277" s="379"/>
      <c r="Y277" s="379"/>
      <c r="Z277" s="379">
        <v>5821001</v>
      </c>
      <c r="AA277" s="379" t="s">
        <v>2427</v>
      </c>
      <c r="AB277" s="380">
        <f t="shared" si="3"/>
        <v>1</v>
      </c>
    </row>
    <row r="278" spans="1:28" outlineLevel="2" x14ac:dyDescent="0.3">
      <c r="A278" s="379">
        <v>654</v>
      </c>
      <c r="B278" s="379">
        <v>812200</v>
      </c>
      <c r="C278" s="379" t="s">
        <v>963</v>
      </c>
      <c r="D278" s="379">
        <v>5904611</v>
      </c>
      <c r="E278" s="379" t="s">
        <v>2332</v>
      </c>
      <c r="F278" s="379" t="s">
        <v>2728</v>
      </c>
      <c r="G278" s="383">
        <v>40787</v>
      </c>
      <c r="H278" s="379">
        <v>6896.9</v>
      </c>
      <c r="I278" s="379">
        <v>244.8</v>
      </c>
      <c r="J278" s="379">
        <v>1400.72</v>
      </c>
      <c r="K278" s="379">
        <v>517.27</v>
      </c>
      <c r="L278" s="379"/>
      <c r="M278" s="379">
        <v>20.55</v>
      </c>
      <c r="N278" s="379"/>
      <c r="O278" s="379">
        <v>5143.59</v>
      </c>
      <c r="P278" s="379"/>
      <c r="Q278" s="379">
        <v>226.81</v>
      </c>
      <c r="R278" s="379"/>
      <c r="S278" s="379"/>
      <c r="T278" s="379">
        <v>1526.5</v>
      </c>
      <c r="U278" s="379"/>
      <c r="V278" s="380">
        <v>9080.24</v>
      </c>
      <c r="W278" s="381">
        <v>0.85</v>
      </c>
      <c r="X278" s="379"/>
      <c r="Y278" s="379"/>
      <c r="Z278" s="379">
        <v>1401202</v>
      </c>
      <c r="AA278" s="379" t="s">
        <v>2380</v>
      </c>
      <c r="AB278" s="380">
        <f t="shared" si="3"/>
        <v>7.0833333333333331E-2</v>
      </c>
    </row>
    <row r="279" spans="1:28" outlineLevel="2" x14ac:dyDescent="0.3">
      <c r="A279" s="379">
        <v>654</v>
      </c>
      <c r="B279" s="379">
        <v>812200</v>
      </c>
      <c r="C279" s="379" t="s">
        <v>963</v>
      </c>
      <c r="D279" s="379">
        <v>5905645</v>
      </c>
      <c r="E279" s="379" t="s">
        <v>2398</v>
      </c>
      <c r="F279" s="379" t="s">
        <v>2450</v>
      </c>
      <c r="G279" s="383">
        <v>43040</v>
      </c>
      <c r="H279" s="379">
        <v>50186.78</v>
      </c>
      <c r="I279" s="379">
        <v>1892.67</v>
      </c>
      <c r="J279" s="379">
        <v>8546.7999999999993</v>
      </c>
      <c r="K279" s="379">
        <v>3801.16</v>
      </c>
      <c r="L279" s="379"/>
      <c r="M279" s="379">
        <v>54.55</v>
      </c>
      <c r="N279" s="379"/>
      <c r="O279" s="379">
        <v>45066.95</v>
      </c>
      <c r="P279" s="379">
        <v>1360.52</v>
      </c>
      <c r="Q279" s="379">
        <v>1354.71</v>
      </c>
      <c r="R279" s="379"/>
      <c r="S279" s="379"/>
      <c r="T279" s="379">
        <v>2404.6</v>
      </c>
      <c r="U279" s="379"/>
      <c r="V279" s="380">
        <v>64481.96</v>
      </c>
      <c r="W279" s="381">
        <v>6.3460000000000001</v>
      </c>
      <c r="X279" s="379"/>
      <c r="Y279" s="379"/>
      <c r="Z279" s="379">
        <v>5821001</v>
      </c>
      <c r="AA279" s="379" t="s">
        <v>2427</v>
      </c>
      <c r="AB279" s="380">
        <f t="shared" si="3"/>
        <v>0.52883333333333338</v>
      </c>
    </row>
    <row r="280" spans="1:28" outlineLevel="2" x14ac:dyDescent="0.3">
      <c r="A280" s="379">
        <v>654</v>
      </c>
      <c r="B280" s="379">
        <v>812200</v>
      </c>
      <c r="C280" s="379" t="s">
        <v>963</v>
      </c>
      <c r="D280" s="379">
        <v>5918616</v>
      </c>
      <c r="E280" s="379" t="s">
        <v>2729</v>
      </c>
      <c r="F280" s="379" t="s">
        <v>2349</v>
      </c>
      <c r="G280" s="383">
        <v>40057</v>
      </c>
      <c r="H280" s="379">
        <v>101862.18</v>
      </c>
      <c r="I280" s="379">
        <v>4897.3599999999997</v>
      </c>
      <c r="J280" s="379">
        <v>19776.46</v>
      </c>
      <c r="K280" s="379">
        <v>7676.79</v>
      </c>
      <c r="L280" s="379"/>
      <c r="M280" s="379">
        <v>330</v>
      </c>
      <c r="N280" s="379"/>
      <c r="O280" s="379">
        <v>85870.52</v>
      </c>
      <c r="P280" s="379">
        <v>6193.06</v>
      </c>
      <c r="Q280" s="379">
        <v>2809.2</v>
      </c>
      <c r="R280" s="379"/>
      <c r="S280" s="379"/>
      <c r="T280" s="379">
        <v>6989.4</v>
      </c>
      <c r="U280" s="379"/>
      <c r="V280" s="380">
        <v>134542.79</v>
      </c>
      <c r="W280" s="381">
        <v>12</v>
      </c>
      <c r="X280" s="379"/>
      <c r="Y280" s="379"/>
      <c r="Z280" s="379">
        <v>5821001</v>
      </c>
      <c r="AA280" s="379" t="s">
        <v>2427</v>
      </c>
      <c r="AB280" s="380">
        <f t="shared" si="3"/>
        <v>1</v>
      </c>
    </row>
    <row r="281" spans="1:28" outlineLevel="2" x14ac:dyDescent="0.3">
      <c r="A281" s="379">
        <v>654</v>
      </c>
      <c r="B281" s="379">
        <v>812200</v>
      </c>
      <c r="C281" s="379" t="s">
        <v>963</v>
      </c>
      <c r="D281" s="379">
        <v>6184327</v>
      </c>
      <c r="E281" s="379" t="s">
        <v>2303</v>
      </c>
      <c r="F281" s="379" t="s">
        <v>2644</v>
      </c>
      <c r="G281" s="383">
        <v>40057</v>
      </c>
      <c r="H281" s="379">
        <v>108745.16</v>
      </c>
      <c r="I281" s="379">
        <v>1099.6099999999999</v>
      </c>
      <c r="J281" s="379">
        <v>21354.74</v>
      </c>
      <c r="K281" s="379">
        <v>8193.1</v>
      </c>
      <c r="L281" s="379"/>
      <c r="M281" s="379">
        <v>354.45</v>
      </c>
      <c r="N281" s="379"/>
      <c r="O281" s="379">
        <v>96986.42</v>
      </c>
      <c r="P281" s="379">
        <v>1183.54</v>
      </c>
      <c r="Q281" s="379">
        <v>2809.2</v>
      </c>
      <c r="R281" s="379"/>
      <c r="S281" s="379"/>
      <c r="T281" s="379">
        <v>7766</v>
      </c>
      <c r="U281" s="379"/>
      <c r="V281" s="380">
        <v>139747.06</v>
      </c>
      <c r="W281" s="381">
        <v>12</v>
      </c>
      <c r="X281" s="379"/>
      <c r="Y281" s="379"/>
      <c r="Z281" s="379">
        <v>5821001</v>
      </c>
      <c r="AA281" s="379" t="s">
        <v>2427</v>
      </c>
      <c r="AB281" s="380">
        <f t="shared" si="3"/>
        <v>1</v>
      </c>
    </row>
    <row r="282" spans="1:28" outlineLevel="2" x14ac:dyDescent="0.3">
      <c r="A282" s="379">
        <v>654</v>
      </c>
      <c r="B282" s="379">
        <v>812200</v>
      </c>
      <c r="C282" s="379" t="s">
        <v>963</v>
      </c>
      <c r="D282" s="379">
        <v>6483117</v>
      </c>
      <c r="E282" s="379" t="s">
        <v>2730</v>
      </c>
      <c r="F282" s="379" t="s">
        <v>2731</v>
      </c>
      <c r="G282" s="383">
        <v>37165</v>
      </c>
      <c r="H282" s="379">
        <v>59518</v>
      </c>
      <c r="I282" s="379">
        <v>420.01</v>
      </c>
      <c r="J282" s="379">
        <v>15317.92</v>
      </c>
      <c r="K282" s="379">
        <v>4549.99</v>
      </c>
      <c r="L282" s="379"/>
      <c r="M282" s="379">
        <v>217.2</v>
      </c>
      <c r="N282" s="379"/>
      <c r="O282" s="379">
        <v>56853.2</v>
      </c>
      <c r="P282" s="379"/>
      <c r="Q282" s="379">
        <v>1872.8</v>
      </c>
      <c r="R282" s="379"/>
      <c r="S282" s="379"/>
      <c r="T282" s="379">
        <v>792</v>
      </c>
      <c r="U282" s="379"/>
      <c r="V282" s="380">
        <v>80023.12</v>
      </c>
      <c r="W282" s="381">
        <v>8</v>
      </c>
      <c r="X282" s="379"/>
      <c r="Y282" s="379"/>
      <c r="Z282" s="379">
        <v>5821001</v>
      </c>
      <c r="AA282" s="379" t="s">
        <v>2427</v>
      </c>
      <c r="AB282" s="380">
        <f t="shared" si="3"/>
        <v>0.66666666666666663</v>
      </c>
    </row>
    <row r="283" spans="1:28" outlineLevel="2" x14ac:dyDescent="0.3">
      <c r="A283" s="379">
        <v>654</v>
      </c>
      <c r="B283" s="379">
        <v>812200</v>
      </c>
      <c r="C283" s="379" t="s">
        <v>963</v>
      </c>
      <c r="D283" s="379">
        <v>6608366</v>
      </c>
      <c r="E283" s="379" t="s">
        <v>2732</v>
      </c>
      <c r="F283" s="379" t="s">
        <v>2733</v>
      </c>
      <c r="G283" s="383">
        <v>42401</v>
      </c>
      <c r="H283" s="379">
        <v>9445.76</v>
      </c>
      <c r="I283" s="379">
        <v>335.34</v>
      </c>
      <c r="J283" s="379">
        <v>1824.93</v>
      </c>
      <c r="K283" s="379">
        <v>708.4</v>
      </c>
      <c r="L283" s="379"/>
      <c r="M283" s="379">
        <v>30.8</v>
      </c>
      <c r="N283" s="379"/>
      <c r="O283" s="379">
        <v>7420.29</v>
      </c>
      <c r="P283" s="379">
        <v>284.23</v>
      </c>
      <c r="Q283" s="379">
        <v>352.44</v>
      </c>
      <c r="R283" s="379"/>
      <c r="S283" s="379"/>
      <c r="T283" s="379">
        <v>985.6</v>
      </c>
      <c r="U283" s="379">
        <v>403.2</v>
      </c>
      <c r="V283" s="380">
        <v>12345.23</v>
      </c>
      <c r="W283" s="381">
        <v>1.28</v>
      </c>
      <c r="X283" s="379"/>
      <c r="Y283" s="379"/>
      <c r="Z283" s="379">
        <v>1422001</v>
      </c>
      <c r="AA283" s="379" t="s">
        <v>2648</v>
      </c>
      <c r="AB283" s="380">
        <f t="shared" si="3"/>
        <v>0.10666666666666667</v>
      </c>
    </row>
    <row r="284" spans="1:28" outlineLevel="2" x14ac:dyDescent="0.3">
      <c r="A284" s="379">
        <v>654</v>
      </c>
      <c r="B284" s="379">
        <v>812200</v>
      </c>
      <c r="C284" s="379" t="s">
        <v>963</v>
      </c>
      <c r="D284" s="379">
        <v>6759276</v>
      </c>
      <c r="E284" s="379" t="s">
        <v>2734</v>
      </c>
      <c r="F284" s="379" t="s">
        <v>2735</v>
      </c>
      <c r="G284" s="383">
        <v>41487</v>
      </c>
      <c r="H284" s="379">
        <v>94278.02</v>
      </c>
      <c r="I284" s="379">
        <v>807.26</v>
      </c>
      <c r="J284" s="379">
        <v>18316.759999999998</v>
      </c>
      <c r="K284" s="379">
        <v>7108.21</v>
      </c>
      <c r="L284" s="379"/>
      <c r="M284" s="379">
        <v>303.7</v>
      </c>
      <c r="N284" s="379"/>
      <c r="O284" s="379">
        <v>85430.82</v>
      </c>
      <c r="P284" s="379"/>
      <c r="Q284" s="379">
        <v>2809.2</v>
      </c>
      <c r="R284" s="379"/>
      <c r="S284" s="379"/>
      <c r="T284" s="379">
        <v>6038</v>
      </c>
      <c r="U284" s="379"/>
      <c r="V284" s="380">
        <v>120813.95</v>
      </c>
      <c r="W284" s="381">
        <v>12</v>
      </c>
      <c r="X284" s="379"/>
      <c r="Y284" s="379"/>
      <c r="Z284" s="379">
        <v>5821001</v>
      </c>
      <c r="AA284" s="379" t="s">
        <v>2427</v>
      </c>
      <c r="AB284" s="380">
        <f t="shared" si="3"/>
        <v>1</v>
      </c>
    </row>
    <row r="285" spans="1:28" outlineLevel="2" x14ac:dyDescent="0.3">
      <c r="A285" s="379">
        <v>654</v>
      </c>
      <c r="B285" s="379">
        <v>812200</v>
      </c>
      <c r="C285" s="379" t="s">
        <v>963</v>
      </c>
      <c r="D285" s="379">
        <v>6815187</v>
      </c>
      <c r="E285" s="379" t="s">
        <v>2736</v>
      </c>
      <c r="F285" s="379" t="s">
        <v>2737</v>
      </c>
      <c r="G285" s="383">
        <v>38292</v>
      </c>
      <c r="H285" s="379">
        <v>42971.76</v>
      </c>
      <c r="I285" s="379">
        <v>1600.53</v>
      </c>
      <c r="J285" s="379">
        <v>8652.7000000000007</v>
      </c>
      <c r="K285" s="379">
        <v>3259.95</v>
      </c>
      <c r="L285" s="379"/>
      <c r="M285" s="379">
        <v>134.05000000000001</v>
      </c>
      <c r="N285" s="379"/>
      <c r="O285" s="379">
        <v>37676.870000000003</v>
      </c>
      <c r="P285" s="379">
        <v>163.35</v>
      </c>
      <c r="Q285" s="379">
        <v>1165.43</v>
      </c>
      <c r="R285" s="379"/>
      <c r="S285" s="379"/>
      <c r="T285" s="379">
        <v>3966.11</v>
      </c>
      <c r="U285" s="379"/>
      <c r="V285" s="380">
        <v>56618.99</v>
      </c>
      <c r="W285" s="381">
        <v>5.04</v>
      </c>
      <c r="X285" s="379"/>
      <c r="Y285" s="379"/>
      <c r="Z285" s="379">
        <v>5821001</v>
      </c>
      <c r="AA285" s="379" t="s">
        <v>2427</v>
      </c>
      <c r="AB285" s="380">
        <f t="shared" si="3"/>
        <v>0.42</v>
      </c>
    </row>
    <row r="286" spans="1:28" outlineLevel="2" x14ac:dyDescent="0.3">
      <c r="A286" s="379">
        <v>654</v>
      </c>
      <c r="B286" s="379">
        <v>812200</v>
      </c>
      <c r="C286" s="379" t="s">
        <v>963</v>
      </c>
      <c r="D286" s="379">
        <v>6830954</v>
      </c>
      <c r="E286" s="379" t="s">
        <v>2340</v>
      </c>
      <c r="F286" s="379" t="s">
        <v>2517</v>
      </c>
      <c r="G286" s="383">
        <v>40422</v>
      </c>
      <c r="H286" s="379">
        <v>71990.59</v>
      </c>
      <c r="I286" s="379">
        <v>725.53</v>
      </c>
      <c r="J286" s="379">
        <v>14344</v>
      </c>
      <c r="K286" s="379">
        <v>5436.4</v>
      </c>
      <c r="L286" s="379"/>
      <c r="M286" s="379">
        <v>232.15</v>
      </c>
      <c r="N286" s="379"/>
      <c r="O286" s="379">
        <v>64526.79</v>
      </c>
      <c r="P286" s="379"/>
      <c r="Q286" s="379">
        <v>1425.8</v>
      </c>
      <c r="R286" s="379"/>
      <c r="S286" s="379"/>
      <c r="T286" s="379">
        <v>6038</v>
      </c>
      <c r="U286" s="379"/>
      <c r="V286" s="380">
        <v>92728.67</v>
      </c>
      <c r="W286" s="381">
        <v>8</v>
      </c>
      <c r="X286" s="379"/>
      <c r="Y286" s="379"/>
      <c r="Z286" s="379">
        <v>5821001</v>
      </c>
      <c r="AA286" s="379" t="s">
        <v>2427</v>
      </c>
      <c r="AB286" s="380">
        <f t="shared" si="3"/>
        <v>0.66666666666666663</v>
      </c>
    </row>
    <row r="287" spans="1:28" outlineLevel="2" x14ac:dyDescent="0.3">
      <c r="A287" s="379">
        <v>654</v>
      </c>
      <c r="B287" s="379">
        <v>812200</v>
      </c>
      <c r="C287" s="379" t="s">
        <v>963</v>
      </c>
      <c r="D287" s="379">
        <v>6833171</v>
      </c>
      <c r="E287" s="379" t="s">
        <v>2524</v>
      </c>
      <c r="F287" s="379" t="s">
        <v>2738</v>
      </c>
      <c r="G287" s="383">
        <v>39692</v>
      </c>
      <c r="H287" s="379">
        <v>97879.47</v>
      </c>
      <c r="I287" s="379">
        <v>4100.01</v>
      </c>
      <c r="J287" s="379">
        <v>19057.580000000002</v>
      </c>
      <c r="K287" s="379">
        <v>7378.25</v>
      </c>
      <c r="L287" s="379"/>
      <c r="M287" s="379">
        <v>315.85000000000002</v>
      </c>
      <c r="N287" s="379"/>
      <c r="O287" s="379">
        <v>88600.27</v>
      </c>
      <c r="P287" s="379"/>
      <c r="Q287" s="379">
        <v>2809.2</v>
      </c>
      <c r="R287" s="379"/>
      <c r="S287" s="379"/>
      <c r="T287" s="379">
        <v>6470</v>
      </c>
      <c r="U287" s="379"/>
      <c r="V287" s="380">
        <v>128731.16</v>
      </c>
      <c r="W287" s="381">
        <v>12</v>
      </c>
      <c r="X287" s="379"/>
      <c r="Y287" s="379"/>
      <c r="Z287" s="379">
        <v>5821001</v>
      </c>
      <c r="AA287" s="379" t="s">
        <v>2427</v>
      </c>
      <c r="AB287" s="380">
        <f t="shared" si="3"/>
        <v>1</v>
      </c>
    </row>
    <row r="288" spans="1:28" outlineLevel="2" x14ac:dyDescent="0.3">
      <c r="A288" s="379">
        <v>654</v>
      </c>
      <c r="B288" s="379">
        <v>812200</v>
      </c>
      <c r="C288" s="379" t="s">
        <v>963</v>
      </c>
      <c r="D288" s="379">
        <v>6861642</v>
      </c>
      <c r="E288" s="379" t="s">
        <v>2323</v>
      </c>
      <c r="F288" s="379" t="s">
        <v>2512</v>
      </c>
      <c r="G288" s="383">
        <v>40422</v>
      </c>
      <c r="H288" s="379">
        <v>43706.28</v>
      </c>
      <c r="I288" s="379">
        <v>325.39</v>
      </c>
      <c r="J288" s="379">
        <v>9286.34</v>
      </c>
      <c r="K288" s="379">
        <v>3315.25</v>
      </c>
      <c r="L288" s="379"/>
      <c r="M288" s="379">
        <v>82.3</v>
      </c>
      <c r="N288" s="379"/>
      <c r="O288" s="379">
        <v>36403.279999999999</v>
      </c>
      <c r="P288" s="379"/>
      <c r="Q288" s="379">
        <v>833</v>
      </c>
      <c r="R288" s="379"/>
      <c r="S288" s="379"/>
      <c r="T288" s="379">
        <v>6470</v>
      </c>
      <c r="U288" s="379"/>
      <c r="V288" s="380">
        <v>56715.56</v>
      </c>
      <c r="W288" s="381">
        <v>5</v>
      </c>
      <c r="X288" s="379"/>
      <c r="Y288" s="379"/>
      <c r="Z288" s="379">
        <v>5821001</v>
      </c>
      <c r="AA288" s="379" t="s">
        <v>2427</v>
      </c>
      <c r="AB288" s="380">
        <f t="shared" si="3"/>
        <v>0.41666666666666669</v>
      </c>
    </row>
    <row r="289" spans="1:28" outlineLevel="2" x14ac:dyDescent="0.3">
      <c r="A289" s="379">
        <v>654</v>
      </c>
      <c r="B289" s="379">
        <v>812200</v>
      </c>
      <c r="C289" s="379" t="s">
        <v>963</v>
      </c>
      <c r="D289" s="379">
        <v>6909407</v>
      </c>
      <c r="E289" s="379" t="s">
        <v>2653</v>
      </c>
      <c r="F289" s="379" t="s">
        <v>2654</v>
      </c>
      <c r="G289" s="383">
        <v>29830</v>
      </c>
      <c r="H289" s="379">
        <v>82779.63</v>
      </c>
      <c r="I289" s="379">
        <v>3963.21</v>
      </c>
      <c r="J289" s="379">
        <v>7645.06</v>
      </c>
      <c r="K289" s="379">
        <v>6245.65</v>
      </c>
      <c r="L289" s="379"/>
      <c r="M289" s="379">
        <v>259</v>
      </c>
      <c r="N289" s="379"/>
      <c r="O289" s="379">
        <v>71132.83</v>
      </c>
      <c r="P289" s="379"/>
      <c r="Q289" s="379">
        <v>3880.8</v>
      </c>
      <c r="R289" s="379"/>
      <c r="S289" s="379"/>
      <c r="T289" s="379">
        <v>7766</v>
      </c>
      <c r="U289" s="379"/>
      <c r="V289" s="380">
        <v>100892.55</v>
      </c>
      <c r="W289" s="381">
        <v>8</v>
      </c>
      <c r="X289" s="379"/>
      <c r="Y289" s="379"/>
      <c r="Z289" s="379">
        <v>5821001</v>
      </c>
      <c r="AA289" s="379" t="s">
        <v>2427</v>
      </c>
      <c r="AB289" s="380">
        <f t="shared" ref="AB289:AB355" si="4">W289/12</f>
        <v>0.66666666666666663</v>
      </c>
    </row>
    <row r="290" spans="1:28" outlineLevel="2" x14ac:dyDescent="0.3">
      <c r="A290" s="379">
        <v>654</v>
      </c>
      <c r="B290" s="379">
        <v>812200</v>
      </c>
      <c r="C290" s="379" t="s">
        <v>963</v>
      </c>
      <c r="D290" s="379">
        <v>6932065</v>
      </c>
      <c r="E290" s="379" t="s">
        <v>2576</v>
      </c>
      <c r="F290" s="379" t="s">
        <v>2707</v>
      </c>
      <c r="G290" s="383">
        <v>34547</v>
      </c>
      <c r="H290" s="379">
        <v>122782.71</v>
      </c>
      <c r="I290" s="379">
        <v>6368.94</v>
      </c>
      <c r="J290" s="379">
        <v>10756.4</v>
      </c>
      <c r="K290" s="379">
        <v>9245.9500000000007</v>
      </c>
      <c r="L290" s="379"/>
      <c r="M290" s="379">
        <v>410.3</v>
      </c>
      <c r="N290" s="379"/>
      <c r="O290" s="379">
        <v>106673.39</v>
      </c>
      <c r="P290" s="379">
        <v>624.49</v>
      </c>
      <c r="Q290" s="379">
        <v>2809.2</v>
      </c>
      <c r="R290" s="379"/>
      <c r="S290" s="379"/>
      <c r="T290" s="379">
        <v>12675.63</v>
      </c>
      <c r="U290" s="379"/>
      <c r="V290" s="380">
        <v>149564.29999999999</v>
      </c>
      <c r="W290" s="381">
        <v>12</v>
      </c>
      <c r="X290" s="379"/>
      <c r="Y290" s="379"/>
      <c r="Z290" s="379">
        <v>5821001</v>
      </c>
      <c r="AA290" s="379" t="s">
        <v>2427</v>
      </c>
      <c r="AB290" s="380">
        <f t="shared" si="4"/>
        <v>1</v>
      </c>
    </row>
    <row r="291" spans="1:28" outlineLevel="2" x14ac:dyDescent="0.3">
      <c r="A291" s="379">
        <v>654</v>
      </c>
      <c r="B291" s="379">
        <v>812200</v>
      </c>
      <c r="C291" s="379" t="s">
        <v>963</v>
      </c>
      <c r="D291" s="379">
        <v>6939875</v>
      </c>
      <c r="E291" s="379" t="s">
        <v>2739</v>
      </c>
      <c r="F291" s="379" t="s">
        <v>2740</v>
      </c>
      <c r="G291" s="383">
        <v>40087</v>
      </c>
      <c r="H291" s="379">
        <v>29938.39</v>
      </c>
      <c r="I291" s="379">
        <v>1276.73</v>
      </c>
      <c r="J291" s="379">
        <v>5627.83</v>
      </c>
      <c r="K291" s="379">
        <v>2245.4499999999998</v>
      </c>
      <c r="L291" s="379"/>
      <c r="M291" s="379">
        <v>103.3</v>
      </c>
      <c r="N291" s="379"/>
      <c r="O291" s="379">
        <v>29001.99</v>
      </c>
      <c r="P291" s="379"/>
      <c r="Q291" s="379">
        <v>936.4</v>
      </c>
      <c r="R291" s="379"/>
      <c r="S291" s="379"/>
      <c r="T291" s="379"/>
      <c r="U291" s="379"/>
      <c r="V291" s="380">
        <v>39191.699999999997</v>
      </c>
      <c r="W291" s="381">
        <v>4</v>
      </c>
      <c r="X291" s="379"/>
      <c r="Y291" s="379"/>
      <c r="Z291" s="379">
        <v>5821001</v>
      </c>
      <c r="AA291" s="379" t="s">
        <v>2427</v>
      </c>
      <c r="AB291" s="380">
        <f t="shared" si="4"/>
        <v>0.33333333333333331</v>
      </c>
    </row>
    <row r="292" spans="1:28" outlineLevel="2" x14ac:dyDescent="0.3">
      <c r="A292" s="379">
        <v>654</v>
      </c>
      <c r="B292" s="379">
        <v>812200</v>
      </c>
      <c r="C292" s="379" t="s">
        <v>963</v>
      </c>
      <c r="D292" s="379">
        <v>20024443</v>
      </c>
      <c r="E292" s="379" t="s">
        <v>2741</v>
      </c>
      <c r="F292" s="379" t="s">
        <v>2694</v>
      </c>
      <c r="G292" s="383">
        <v>41275</v>
      </c>
      <c r="H292" s="379">
        <v>32243.31</v>
      </c>
      <c r="I292" s="379">
        <v>1451.92</v>
      </c>
      <c r="J292" s="379">
        <v>5612.3</v>
      </c>
      <c r="K292" s="379">
        <v>2418.25</v>
      </c>
      <c r="L292" s="379"/>
      <c r="M292" s="379">
        <v>106.15</v>
      </c>
      <c r="N292" s="379"/>
      <c r="O292" s="379">
        <v>28980.78</v>
      </c>
      <c r="P292" s="379">
        <v>1534.13</v>
      </c>
      <c r="Q292" s="379">
        <v>936.4</v>
      </c>
      <c r="R292" s="379"/>
      <c r="S292" s="379"/>
      <c r="T292" s="379"/>
      <c r="U292" s="379">
        <v>792</v>
      </c>
      <c r="V292" s="380">
        <v>41831.93</v>
      </c>
      <c r="W292" s="381">
        <v>4</v>
      </c>
      <c r="X292" s="379"/>
      <c r="Y292" s="379"/>
      <c r="Z292" s="379">
        <v>5821001</v>
      </c>
      <c r="AA292" s="379" t="s">
        <v>2427</v>
      </c>
      <c r="AB292" s="380">
        <f t="shared" si="4"/>
        <v>0.33333333333333331</v>
      </c>
    </row>
    <row r="293" spans="1:28" outlineLevel="2" x14ac:dyDescent="0.3">
      <c r="A293" s="379">
        <v>654</v>
      </c>
      <c r="B293" s="379">
        <v>812200</v>
      </c>
      <c r="C293" s="379" t="s">
        <v>963</v>
      </c>
      <c r="D293" s="379">
        <v>20347478</v>
      </c>
      <c r="E293" s="379" t="s">
        <v>2716</v>
      </c>
      <c r="F293" s="379" t="s">
        <v>2742</v>
      </c>
      <c r="G293" s="383">
        <v>43739</v>
      </c>
      <c r="H293" s="379">
        <v>11082</v>
      </c>
      <c r="I293" s="379">
        <v>393.41</v>
      </c>
      <c r="J293" s="379"/>
      <c r="K293" s="379">
        <v>831.2</v>
      </c>
      <c r="L293" s="379"/>
      <c r="M293" s="379"/>
      <c r="N293" s="379"/>
      <c r="O293" s="379"/>
      <c r="P293" s="379">
        <v>10710</v>
      </c>
      <c r="Q293" s="379">
        <v>372</v>
      </c>
      <c r="R293" s="379"/>
      <c r="S293" s="379"/>
      <c r="T293" s="379"/>
      <c r="U293" s="379"/>
      <c r="V293" s="380">
        <v>12306.61</v>
      </c>
      <c r="W293" s="381"/>
      <c r="X293" s="379"/>
      <c r="Y293" s="379"/>
      <c r="Z293" s="379">
        <v>5821001</v>
      </c>
      <c r="AA293" s="379" t="s">
        <v>2427</v>
      </c>
      <c r="AB293" s="380">
        <f t="shared" si="4"/>
        <v>0</v>
      </c>
    </row>
    <row r="294" spans="1:28" outlineLevel="2" x14ac:dyDescent="0.3">
      <c r="A294" s="379">
        <v>654</v>
      </c>
      <c r="B294" s="379">
        <v>812200</v>
      </c>
      <c r="C294" s="379" t="s">
        <v>963</v>
      </c>
      <c r="D294" s="379">
        <v>20384139</v>
      </c>
      <c r="E294" s="379" t="s">
        <v>2743</v>
      </c>
      <c r="F294" s="379" t="s">
        <v>2744</v>
      </c>
      <c r="G294" s="383">
        <v>43435</v>
      </c>
      <c r="H294" s="379">
        <v>1519.25</v>
      </c>
      <c r="I294" s="379">
        <v>53.93</v>
      </c>
      <c r="J294" s="379">
        <v>205.1</v>
      </c>
      <c r="K294" s="379">
        <v>113.94</v>
      </c>
      <c r="L294" s="379"/>
      <c r="M294" s="379"/>
      <c r="N294" s="379"/>
      <c r="O294" s="379"/>
      <c r="P294" s="379">
        <v>1519.25</v>
      </c>
      <c r="Q294" s="379"/>
      <c r="R294" s="379"/>
      <c r="S294" s="379"/>
      <c r="T294" s="379"/>
      <c r="U294" s="379"/>
      <c r="V294" s="380">
        <v>1892.22</v>
      </c>
      <c r="W294" s="381"/>
      <c r="X294" s="379"/>
      <c r="Y294" s="379"/>
      <c r="Z294" s="379">
        <v>5821001</v>
      </c>
      <c r="AA294" s="379" t="s">
        <v>2427</v>
      </c>
      <c r="AB294" s="380">
        <f t="shared" si="4"/>
        <v>0</v>
      </c>
    </row>
    <row r="295" spans="1:28" outlineLevel="2" x14ac:dyDescent="0.3">
      <c r="A295" s="379">
        <v>654</v>
      </c>
      <c r="B295" s="379">
        <v>812200</v>
      </c>
      <c r="C295" s="379" t="s">
        <v>963</v>
      </c>
      <c r="D295" s="379">
        <v>30127897</v>
      </c>
      <c r="E295" s="379" t="s">
        <v>2406</v>
      </c>
      <c r="F295" s="379" t="s">
        <v>2745</v>
      </c>
      <c r="G295" s="383">
        <v>41548</v>
      </c>
      <c r="H295" s="379">
        <v>90379.1</v>
      </c>
      <c r="I295" s="379">
        <v>4025.45</v>
      </c>
      <c r="J295" s="379">
        <v>17544.63</v>
      </c>
      <c r="K295" s="379">
        <v>6815.6</v>
      </c>
      <c r="L295" s="379"/>
      <c r="M295" s="379">
        <v>292.95</v>
      </c>
      <c r="N295" s="379"/>
      <c r="O295" s="379">
        <v>79540.61</v>
      </c>
      <c r="P295" s="379">
        <v>3016.73</v>
      </c>
      <c r="Q295" s="379">
        <v>2323.7600000000002</v>
      </c>
      <c r="R295" s="379"/>
      <c r="S295" s="379"/>
      <c r="T295" s="379">
        <v>6038</v>
      </c>
      <c r="U295" s="379">
        <v>-540</v>
      </c>
      <c r="V295" s="380">
        <v>119057.73</v>
      </c>
      <c r="W295" s="381">
        <v>11.209</v>
      </c>
      <c r="X295" s="379"/>
      <c r="Y295" s="379"/>
      <c r="Z295" s="379">
        <v>5821001</v>
      </c>
      <c r="AA295" s="379" t="s">
        <v>2427</v>
      </c>
      <c r="AB295" s="380">
        <f t="shared" si="4"/>
        <v>0.93408333333333327</v>
      </c>
    </row>
    <row r="296" spans="1:28" outlineLevel="2" x14ac:dyDescent="0.3">
      <c r="A296" s="379">
        <v>654</v>
      </c>
      <c r="B296" s="379">
        <v>812200</v>
      </c>
      <c r="C296" s="379" t="s">
        <v>963</v>
      </c>
      <c r="D296" s="379">
        <v>30307272</v>
      </c>
      <c r="E296" s="379" t="s">
        <v>2746</v>
      </c>
      <c r="F296" s="379" t="s">
        <v>2684</v>
      </c>
      <c r="G296" s="383">
        <v>42248</v>
      </c>
      <c r="H296" s="379">
        <v>20433.400000000001</v>
      </c>
      <c r="I296" s="379">
        <v>742.99</v>
      </c>
      <c r="J296" s="379">
        <v>3073.26</v>
      </c>
      <c r="K296" s="379">
        <v>1569.6</v>
      </c>
      <c r="L296" s="379"/>
      <c r="M296" s="379"/>
      <c r="N296" s="379"/>
      <c r="O296" s="379">
        <v>17733.8</v>
      </c>
      <c r="P296" s="379"/>
      <c r="Q296" s="379">
        <v>1342.6</v>
      </c>
      <c r="R296" s="379"/>
      <c r="S296" s="379"/>
      <c r="T296" s="379">
        <v>1357</v>
      </c>
      <c r="U296" s="379"/>
      <c r="V296" s="380">
        <v>25819.25</v>
      </c>
      <c r="W296" s="381">
        <v>3</v>
      </c>
      <c r="X296" s="379"/>
      <c r="Y296" s="379"/>
      <c r="Z296" s="379">
        <v>5821001</v>
      </c>
      <c r="AA296" s="379" t="s">
        <v>2427</v>
      </c>
      <c r="AB296" s="380">
        <f t="shared" si="4"/>
        <v>0.25</v>
      </c>
    </row>
    <row r="297" spans="1:28" outlineLevel="2" x14ac:dyDescent="0.3">
      <c r="A297" s="379">
        <v>654</v>
      </c>
      <c r="B297" s="379">
        <v>812200</v>
      </c>
      <c r="C297" s="379" t="s">
        <v>963</v>
      </c>
      <c r="D297" s="379">
        <v>30549007</v>
      </c>
      <c r="E297" s="379" t="s">
        <v>2597</v>
      </c>
      <c r="F297" s="379" t="s">
        <v>2424</v>
      </c>
      <c r="G297" s="383">
        <v>42614</v>
      </c>
      <c r="H297" s="379">
        <v>45200.68</v>
      </c>
      <c r="I297" s="379">
        <v>2167.39</v>
      </c>
      <c r="J297" s="379">
        <v>8323.7099999999991</v>
      </c>
      <c r="K297" s="379">
        <v>3427.26</v>
      </c>
      <c r="L297" s="379"/>
      <c r="M297" s="379">
        <v>127.55</v>
      </c>
      <c r="N297" s="379"/>
      <c r="O297" s="379">
        <v>36900.5</v>
      </c>
      <c r="P297" s="379">
        <v>135.19999999999999</v>
      </c>
      <c r="Q297" s="379">
        <v>1109.5</v>
      </c>
      <c r="R297" s="379"/>
      <c r="S297" s="379"/>
      <c r="T297" s="379">
        <v>5428</v>
      </c>
      <c r="U297" s="379">
        <v>1627.48</v>
      </c>
      <c r="V297" s="380">
        <v>59246.59</v>
      </c>
      <c r="W297" s="381">
        <v>5.1660000000000004</v>
      </c>
      <c r="X297" s="379"/>
      <c r="Y297" s="379"/>
      <c r="Z297" s="379">
        <v>1422001</v>
      </c>
      <c r="AA297" s="379" t="s">
        <v>2648</v>
      </c>
      <c r="AB297" s="380">
        <f t="shared" si="4"/>
        <v>0.43050000000000005</v>
      </c>
    </row>
    <row r="298" spans="1:28" outlineLevel="2" x14ac:dyDescent="0.3">
      <c r="A298" s="379">
        <v>654</v>
      </c>
      <c r="B298" s="379">
        <v>812200</v>
      </c>
      <c r="C298" s="379" t="s">
        <v>963</v>
      </c>
      <c r="D298" s="379">
        <v>30560571</v>
      </c>
      <c r="E298" s="379" t="s">
        <v>2747</v>
      </c>
      <c r="F298" s="379" t="s">
        <v>2588</v>
      </c>
      <c r="G298" s="383">
        <v>42705</v>
      </c>
      <c r="H298" s="379">
        <v>81214.62</v>
      </c>
      <c r="I298" s="379">
        <v>3289.68</v>
      </c>
      <c r="J298" s="379">
        <v>14122.46</v>
      </c>
      <c r="K298" s="379">
        <v>6128.05</v>
      </c>
      <c r="L298" s="379"/>
      <c r="M298" s="379">
        <v>243.67</v>
      </c>
      <c r="N298" s="379"/>
      <c r="O298" s="379">
        <v>67365.86</v>
      </c>
      <c r="P298" s="379">
        <v>3126.2</v>
      </c>
      <c r="Q298" s="379">
        <v>2634.24</v>
      </c>
      <c r="R298" s="379"/>
      <c r="S298" s="379"/>
      <c r="T298" s="379">
        <v>5064.32</v>
      </c>
      <c r="U298" s="379">
        <v>3024</v>
      </c>
      <c r="V298" s="380">
        <v>104998.48</v>
      </c>
      <c r="W298" s="381">
        <v>9.6</v>
      </c>
      <c r="X298" s="379"/>
      <c r="Y298" s="379"/>
      <c r="Z298" s="379">
        <v>5821001</v>
      </c>
      <c r="AA298" s="379" t="s">
        <v>2427</v>
      </c>
      <c r="AB298" s="380">
        <f t="shared" si="4"/>
        <v>0.79999999999999993</v>
      </c>
    </row>
    <row r="299" spans="1:28" outlineLevel="2" x14ac:dyDescent="0.3">
      <c r="A299" s="379">
        <v>654</v>
      </c>
      <c r="B299" s="379">
        <v>812200</v>
      </c>
      <c r="C299" s="379" t="s">
        <v>963</v>
      </c>
      <c r="D299" s="379">
        <v>30571765</v>
      </c>
      <c r="E299" s="379" t="s">
        <v>2574</v>
      </c>
      <c r="F299" s="379" t="s">
        <v>2748</v>
      </c>
      <c r="G299" s="383">
        <v>43435</v>
      </c>
      <c r="H299" s="379">
        <v>1306.75</v>
      </c>
      <c r="I299" s="379">
        <v>46.39</v>
      </c>
      <c r="J299" s="379">
        <v>169.26</v>
      </c>
      <c r="K299" s="379">
        <v>98</v>
      </c>
      <c r="L299" s="379"/>
      <c r="M299" s="379"/>
      <c r="N299" s="379"/>
      <c r="O299" s="379"/>
      <c r="P299" s="379">
        <v>1253.75</v>
      </c>
      <c r="Q299" s="379">
        <v>53</v>
      </c>
      <c r="R299" s="379"/>
      <c r="S299" s="379"/>
      <c r="T299" s="379"/>
      <c r="U299" s="379"/>
      <c r="V299" s="380">
        <v>1620.4</v>
      </c>
      <c r="W299" s="381"/>
      <c r="X299" s="379"/>
      <c r="Y299" s="379"/>
      <c r="Z299" s="379">
        <v>5821001</v>
      </c>
      <c r="AA299" s="379" t="s">
        <v>2427</v>
      </c>
      <c r="AB299" s="380">
        <f t="shared" si="4"/>
        <v>0</v>
      </c>
    </row>
    <row r="300" spans="1:28" outlineLevel="2" x14ac:dyDescent="0.3">
      <c r="A300" s="379">
        <v>654</v>
      </c>
      <c r="B300" s="379">
        <v>812200</v>
      </c>
      <c r="C300" s="379" t="s">
        <v>963</v>
      </c>
      <c r="D300" s="379">
        <v>30846353</v>
      </c>
      <c r="E300" s="379" t="s">
        <v>2749</v>
      </c>
      <c r="F300" s="379" t="s">
        <v>2750</v>
      </c>
      <c r="G300" s="383">
        <v>42979</v>
      </c>
      <c r="H300" s="379">
        <v>265.5</v>
      </c>
      <c r="I300" s="379">
        <v>9.42</v>
      </c>
      <c r="J300" s="379">
        <v>35.85</v>
      </c>
      <c r="K300" s="379">
        <v>19.91</v>
      </c>
      <c r="L300" s="379"/>
      <c r="M300" s="379"/>
      <c r="N300" s="379"/>
      <c r="O300" s="379"/>
      <c r="P300" s="379">
        <v>265.5</v>
      </c>
      <c r="Q300" s="379"/>
      <c r="R300" s="379"/>
      <c r="S300" s="379"/>
      <c r="T300" s="379"/>
      <c r="U300" s="379"/>
      <c r="V300" s="380">
        <v>330.68</v>
      </c>
      <c r="W300" s="381"/>
      <c r="X300" s="379"/>
      <c r="Y300" s="379"/>
      <c r="Z300" s="379">
        <v>1027</v>
      </c>
      <c r="AA300" s="379" t="s">
        <v>2383</v>
      </c>
      <c r="AB300" s="380">
        <f t="shared" si="4"/>
        <v>0</v>
      </c>
    </row>
    <row r="301" spans="1:28" outlineLevel="2" x14ac:dyDescent="0.3">
      <c r="A301" s="379">
        <v>654</v>
      </c>
      <c r="B301" s="379">
        <v>812200</v>
      </c>
      <c r="C301" s="379" t="s">
        <v>963</v>
      </c>
      <c r="D301" s="379">
        <v>30938860</v>
      </c>
      <c r="E301" s="379" t="s">
        <v>2751</v>
      </c>
      <c r="F301" s="379" t="s">
        <v>2752</v>
      </c>
      <c r="G301" s="383">
        <v>43497</v>
      </c>
      <c r="H301" s="379">
        <v>976</v>
      </c>
      <c r="I301" s="379">
        <v>34.65</v>
      </c>
      <c r="J301" s="379">
        <v>127.44</v>
      </c>
      <c r="K301" s="379">
        <v>73.2</v>
      </c>
      <c r="L301" s="379"/>
      <c r="M301" s="379"/>
      <c r="N301" s="379"/>
      <c r="O301" s="379"/>
      <c r="P301" s="379">
        <v>944</v>
      </c>
      <c r="Q301" s="379">
        <v>32</v>
      </c>
      <c r="R301" s="379"/>
      <c r="S301" s="379"/>
      <c r="T301" s="379"/>
      <c r="U301" s="379"/>
      <c r="V301" s="380">
        <v>1211.29</v>
      </c>
      <c r="W301" s="381"/>
      <c r="X301" s="379"/>
      <c r="Y301" s="379"/>
      <c r="Z301" s="379">
        <v>5821001</v>
      </c>
      <c r="AA301" s="379" t="s">
        <v>2427</v>
      </c>
      <c r="AB301" s="380">
        <f t="shared" si="4"/>
        <v>0</v>
      </c>
    </row>
    <row r="302" spans="1:28" outlineLevel="2" x14ac:dyDescent="0.3">
      <c r="A302" s="379">
        <v>654</v>
      </c>
      <c r="B302" s="379">
        <v>812200</v>
      </c>
      <c r="C302" s="379" t="s">
        <v>963</v>
      </c>
      <c r="D302" s="379">
        <v>32292711</v>
      </c>
      <c r="E302" s="379" t="s">
        <v>2457</v>
      </c>
      <c r="F302" s="379" t="s">
        <v>2753</v>
      </c>
      <c r="G302" s="383">
        <v>43739</v>
      </c>
      <c r="H302" s="379">
        <v>882.75</v>
      </c>
      <c r="I302" s="379">
        <v>31.34</v>
      </c>
      <c r="J302" s="379">
        <v>113.51</v>
      </c>
      <c r="K302" s="379">
        <v>66.2</v>
      </c>
      <c r="L302" s="379"/>
      <c r="M302" s="379"/>
      <c r="N302" s="379"/>
      <c r="O302" s="379"/>
      <c r="P302" s="379">
        <v>840.75</v>
      </c>
      <c r="Q302" s="379">
        <v>42</v>
      </c>
      <c r="R302" s="379"/>
      <c r="S302" s="379"/>
      <c r="T302" s="379"/>
      <c r="U302" s="379"/>
      <c r="V302" s="380">
        <v>1093.8</v>
      </c>
      <c r="W302" s="381"/>
      <c r="X302" s="379"/>
      <c r="Y302" s="379"/>
      <c r="Z302" s="379">
        <v>5821001</v>
      </c>
      <c r="AA302" s="379" t="s">
        <v>2427</v>
      </c>
      <c r="AB302" s="380">
        <f t="shared" si="4"/>
        <v>0</v>
      </c>
    </row>
    <row r="303" spans="1:28" outlineLevel="2" x14ac:dyDescent="0.3">
      <c r="A303" s="379">
        <v>654</v>
      </c>
      <c r="B303" s="379">
        <v>812200</v>
      </c>
      <c r="C303" s="379" t="s">
        <v>963</v>
      </c>
      <c r="D303" s="379">
        <v>32292980</v>
      </c>
      <c r="E303" s="379" t="s">
        <v>2318</v>
      </c>
      <c r="F303" s="379" t="s">
        <v>2754</v>
      </c>
      <c r="G303" s="383">
        <v>43739</v>
      </c>
      <c r="H303" s="379">
        <v>1447.35</v>
      </c>
      <c r="I303" s="379">
        <v>51.38</v>
      </c>
      <c r="J303" s="379"/>
      <c r="K303" s="379">
        <v>108.55</v>
      </c>
      <c r="L303" s="379"/>
      <c r="M303" s="379"/>
      <c r="N303" s="379"/>
      <c r="O303" s="379"/>
      <c r="P303" s="379">
        <v>1383.55</v>
      </c>
      <c r="Q303" s="379">
        <v>63.8</v>
      </c>
      <c r="R303" s="379"/>
      <c r="S303" s="379"/>
      <c r="T303" s="379"/>
      <c r="U303" s="379"/>
      <c r="V303" s="380">
        <v>1607.28</v>
      </c>
      <c r="W303" s="381"/>
      <c r="X303" s="379"/>
      <c r="Y303" s="379"/>
      <c r="Z303" s="379">
        <v>5821001</v>
      </c>
      <c r="AA303" s="379" t="s">
        <v>2427</v>
      </c>
      <c r="AB303" s="380">
        <f t="shared" si="4"/>
        <v>0</v>
      </c>
    </row>
    <row r="304" spans="1:28" outlineLevel="2" x14ac:dyDescent="0.3">
      <c r="A304" s="379">
        <v>654</v>
      </c>
      <c r="B304" s="379">
        <v>812200</v>
      </c>
      <c r="C304" s="379" t="s">
        <v>963</v>
      </c>
      <c r="D304" s="379">
        <v>32399116</v>
      </c>
      <c r="E304" s="379" t="s">
        <v>2486</v>
      </c>
      <c r="F304" s="379" t="s">
        <v>2755</v>
      </c>
      <c r="G304" s="383">
        <v>43739</v>
      </c>
      <c r="H304" s="379">
        <v>1405.25</v>
      </c>
      <c r="I304" s="379">
        <v>6.75</v>
      </c>
      <c r="J304" s="379"/>
      <c r="K304" s="379">
        <v>105.4</v>
      </c>
      <c r="L304" s="379"/>
      <c r="M304" s="379"/>
      <c r="N304" s="379"/>
      <c r="O304" s="379"/>
      <c r="P304" s="379">
        <v>1342.25</v>
      </c>
      <c r="Q304" s="379">
        <v>63</v>
      </c>
      <c r="R304" s="379"/>
      <c r="S304" s="379"/>
      <c r="T304" s="379"/>
      <c r="U304" s="379"/>
      <c r="V304" s="380">
        <v>1517.4</v>
      </c>
      <c r="W304" s="381"/>
      <c r="X304" s="379"/>
      <c r="Y304" s="379"/>
      <c r="Z304" s="379">
        <v>5821001</v>
      </c>
      <c r="AA304" s="379" t="s">
        <v>2427</v>
      </c>
      <c r="AB304" s="380">
        <f t="shared" si="4"/>
        <v>0</v>
      </c>
    </row>
    <row r="305" spans="1:28" outlineLevel="1" x14ac:dyDescent="0.3">
      <c r="A305" s="379"/>
      <c r="B305" s="384" t="s">
        <v>2756</v>
      </c>
      <c r="C305" s="379"/>
      <c r="D305" s="379"/>
      <c r="E305" s="379"/>
      <c r="F305" s="379"/>
      <c r="G305" s="383"/>
      <c r="H305" s="379"/>
      <c r="I305" s="379"/>
      <c r="J305" s="379"/>
      <c r="K305" s="379"/>
      <c r="L305" s="379"/>
      <c r="M305" s="379"/>
      <c r="N305" s="379"/>
      <c r="O305" s="379"/>
      <c r="P305" s="379"/>
      <c r="Q305" s="379"/>
      <c r="R305" s="379"/>
      <c r="S305" s="379"/>
      <c r="T305" s="379"/>
      <c r="U305" s="379"/>
      <c r="V305" s="380">
        <f>SUBTOTAL(9,V214:V304)</f>
        <v>6809100.4200000009</v>
      </c>
      <c r="W305" s="381">
        <f>SUBTOTAL(9,W214:W304)</f>
        <v>606.10299999999995</v>
      </c>
      <c r="X305" s="379"/>
      <c r="Y305" s="379"/>
      <c r="Z305" s="379"/>
      <c r="AA305" s="379"/>
      <c r="AB305" s="380">
        <f>SUBTOTAL(9,AB214:AB304)</f>
        <v>50.508583333333334</v>
      </c>
    </row>
    <row r="306" spans="1:28" outlineLevel="2" x14ac:dyDescent="0.3">
      <c r="A306" s="379">
        <v>654</v>
      </c>
      <c r="B306" s="379">
        <v>812300</v>
      </c>
      <c r="C306" s="379" t="s">
        <v>585</v>
      </c>
      <c r="D306" s="379">
        <v>2200370</v>
      </c>
      <c r="E306" s="379" t="s">
        <v>2757</v>
      </c>
      <c r="F306" s="379" t="s">
        <v>2758</v>
      </c>
      <c r="G306" s="383">
        <v>42095</v>
      </c>
      <c r="H306" s="379">
        <v>85681.32</v>
      </c>
      <c r="I306" s="379">
        <v>3596.48</v>
      </c>
      <c r="J306" s="379">
        <v>15640.15</v>
      </c>
      <c r="K306" s="379">
        <v>6463.45</v>
      </c>
      <c r="L306" s="379"/>
      <c r="M306" s="379">
        <v>275.42</v>
      </c>
      <c r="N306" s="379"/>
      <c r="O306" s="379">
        <v>70629.710000000006</v>
      </c>
      <c r="P306" s="379">
        <v>7778.01</v>
      </c>
      <c r="Q306" s="379">
        <v>2659.8</v>
      </c>
      <c r="R306" s="379"/>
      <c r="S306" s="379"/>
      <c r="T306" s="379">
        <v>4613.8</v>
      </c>
      <c r="U306" s="379"/>
      <c r="V306" s="380">
        <v>111656.82</v>
      </c>
      <c r="W306" s="381">
        <v>10.199999999999999</v>
      </c>
      <c r="X306" s="379"/>
      <c r="Y306" s="379"/>
      <c r="Z306" s="379">
        <v>5821001</v>
      </c>
      <c r="AA306" s="379" t="s">
        <v>2427</v>
      </c>
      <c r="AB306" s="380">
        <f t="shared" si="4"/>
        <v>0.85</v>
      </c>
    </row>
    <row r="307" spans="1:28" outlineLevel="2" x14ac:dyDescent="0.3">
      <c r="A307" s="379">
        <v>654</v>
      </c>
      <c r="B307" s="379">
        <v>812300</v>
      </c>
      <c r="C307" s="379" t="s">
        <v>585</v>
      </c>
      <c r="D307" s="379">
        <v>2304033</v>
      </c>
      <c r="E307" s="379" t="s">
        <v>2303</v>
      </c>
      <c r="F307" s="379" t="s">
        <v>2664</v>
      </c>
      <c r="G307" s="383">
        <v>40057</v>
      </c>
      <c r="H307" s="379">
        <v>66371.25</v>
      </c>
      <c r="I307" s="379">
        <v>3082.25</v>
      </c>
      <c r="J307" s="379">
        <v>13115.51</v>
      </c>
      <c r="K307" s="379">
        <v>5015.1000000000004</v>
      </c>
      <c r="L307" s="379"/>
      <c r="M307" s="379">
        <v>208.5</v>
      </c>
      <c r="N307" s="379"/>
      <c r="O307" s="379">
        <v>58460.45</v>
      </c>
      <c r="P307" s="379"/>
      <c r="Q307" s="379">
        <v>1872.8</v>
      </c>
      <c r="R307" s="379"/>
      <c r="S307" s="379"/>
      <c r="T307" s="379">
        <v>6038</v>
      </c>
      <c r="U307" s="379"/>
      <c r="V307" s="380">
        <v>87792.61</v>
      </c>
      <c r="W307" s="381">
        <v>8</v>
      </c>
      <c r="X307" s="379"/>
      <c r="Y307" s="379"/>
      <c r="Z307" s="379">
        <v>5821001</v>
      </c>
      <c r="AA307" s="379" t="s">
        <v>2427</v>
      </c>
      <c r="AB307" s="380">
        <f t="shared" si="4"/>
        <v>0.66666666666666663</v>
      </c>
    </row>
    <row r="308" spans="1:28" outlineLevel="2" x14ac:dyDescent="0.3">
      <c r="A308" s="379">
        <v>654</v>
      </c>
      <c r="B308" s="379">
        <v>812300</v>
      </c>
      <c r="C308" s="379" t="s">
        <v>585</v>
      </c>
      <c r="D308" s="379">
        <v>2375001</v>
      </c>
      <c r="E308" s="379" t="s">
        <v>2668</v>
      </c>
      <c r="F308" s="379" t="s">
        <v>2669</v>
      </c>
      <c r="G308" s="383">
        <v>37135</v>
      </c>
      <c r="H308" s="379">
        <v>72362.52</v>
      </c>
      <c r="I308" s="379">
        <v>3537.2</v>
      </c>
      <c r="J308" s="379">
        <v>13770.06</v>
      </c>
      <c r="K308" s="379">
        <v>5464.25</v>
      </c>
      <c r="L308" s="379"/>
      <c r="M308" s="379">
        <v>225.25</v>
      </c>
      <c r="N308" s="379"/>
      <c r="O308" s="379">
        <v>63587.72</v>
      </c>
      <c r="P308" s="379"/>
      <c r="Q308" s="379">
        <v>1872.8</v>
      </c>
      <c r="R308" s="379"/>
      <c r="S308" s="379"/>
      <c r="T308" s="379">
        <v>6902</v>
      </c>
      <c r="U308" s="379"/>
      <c r="V308" s="380">
        <v>95359.28</v>
      </c>
      <c r="W308" s="381">
        <v>8</v>
      </c>
      <c r="X308" s="379"/>
      <c r="Y308" s="379"/>
      <c r="Z308" s="379">
        <v>5821001</v>
      </c>
      <c r="AA308" s="379" t="s">
        <v>2427</v>
      </c>
      <c r="AB308" s="380">
        <f t="shared" si="4"/>
        <v>0.66666666666666663</v>
      </c>
    </row>
    <row r="309" spans="1:28" outlineLevel="2" x14ac:dyDescent="0.3">
      <c r="A309" s="379">
        <v>654</v>
      </c>
      <c r="B309" s="379">
        <v>812300</v>
      </c>
      <c r="C309" s="379" t="s">
        <v>585</v>
      </c>
      <c r="D309" s="379">
        <v>2391681</v>
      </c>
      <c r="E309" s="379" t="s">
        <v>2759</v>
      </c>
      <c r="F309" s="379" t="s">
        <v>2358</v>
      </c>
      <c r="G309" s="383">
        <v>41883</v>
      </c>
      <c r="H309" s="379">
        <v>91684.02</v>
      </c>
      <c r="I309" s="379">
        <v>4053.7</v>
      </c>
      <c r="J309" s="379">
        <v>18003.009999999998</v>
      </c>
      <c r="K309" s="379">
        <v>6913.55</v>
      </c>
      <c r="L309" s="379"/>
      <c r="M309" s="379">
        <v>297.70999999999998</v>
      </c>
      <c r="N309" s="379"/>
      <c r="O309" s="379">
        <v>77532.22</v>
      </c>
      <c r="P309" s="379">
        <v>4983.42</v>
      </c>
      <c r="Q309" s="379">
        <v>2750.88</v>
      </c>
      <c r="R309" s="379"/>
      <c r="S309" s="379"/>
      <c r="T309" s="379">
        <v>6417.5</v>
      </c>
      <c r="U309" s="379"/>
      <c r="V309" s="380">
        <v>120951.99</v>
      </c>
      <c r="W309" s="381">
        <v>10.8</v>
      </c>
      <c r="X309" s="379"/>
      <c r="Y309" s="379"/>
      <c r="Z309" s="379">
        <v>5821001</v>
      </c>
      <c r="AA309" s="379" t="s">
        <v>2427</v>
      </c>
      <c r="AB309" s="380">
        <f t="shared" si="4"/>
        <v>0.9</v>
      </c>
    </row>
    <row r="310" spans="1:28" outlineLevel="2" x14ac:dyDescent="0.3">
      <c r="A310" s="379">
        <v>654</v>
      </c>
      <c r="B310" s="379">
        <v>812300</v>
      </c>
      <c r="C310" s="379" t="s">
        <v>585</v>
      </c>
      <c r="D310" s="379">
        <v>2395090</v>
      </c>
      <c r="E310" s="379" t="s">
        <v>2560</v>
      </c>
      <c r="F310" s="379" t="s">
        <v>2379</v>
      </c>
      <c r="G310" s="383">
        <v>42248</v>
      </c>
      <c r="H310" s="379">
        <v>89749.5</v>
      </c>
      <c r="I310" s="379">
        <v>3928.33</v>
      </c>
      <c r="J310" s="379">
        <v>17137.34</v>
      </c>
      <c r="K310" s="379">
        <v>6768.44</v>
      </c>
      <c r="L310" s="379"/>
      <c r="M310" s="379">
        <v>287.01</v>
      </c>
      <c r="N310" s="379"/>
      <c r="O310" s="379">
        <v>76252.58</v>
      </c>
      <c r="P310" s="379">
        <v>5030.6400000000003</v>
      </c>
      <c r="Q310" s="379">
        <v>2750.88</v>
      </c>
      <c r="R310" s="379"/>
      <c r="S310" s="379"/>
      <c r="T310" s="379">
        <v>5715.4</v>
      </c>
      <c r="U310" s="379"/>
      <c r="V310" s="380">
        <v>117870.62</v>
      </c>
      <c r="W310" s="381">
        <v>10.8</v>
      </c>
      <c r="X310" s="379">
        <v>5</v>
      </c>
      <c r="Y310" s="379" t="s">
        <v>2666</v>
      </c>
      <c r="Z310" s="379">
        <v>5821001</v>
      </c>
      <c r="AA310" s="379" t="s">
        <v>2427</v>
      </c>
      <c r="AB310" s="380">
        <f t="shared" si="4"/>
        <v>0.9</v>
      </c>
    </row>
    <row r="311" spans="1:28" outlineLevel="2" x14ac:dyDescent="0.3">
      <c r="A311" s="379">
        <v>654</v>
      </c>
      <c r="B311" s="379">
        <v>812300</v>
      </c>
      <c r="C311" s="379" t="s">
        <v>585</v>
      </c>
      <c r="D311" s="379">
        <v>2418369</v>
      </c>
      <c r="E311" s="379" t="s">
        <v>2674</v>
      </c>
      <c r="F311" s="379" t="s">
        <v>2445</v>
      </c>
      <c r="G311" s="383">
        <v>37165</v>
      </c>
      <c r="H311" s="379">
        <v>64941.82</v>
      </c>
      <c r="I311" s="379">
        <v>3154.07</v>
      </c>
      <c r="J311" s="379">
        <v>13858.1</v>
      </c>
      <c r="K311" s="379">
        <v>4907.92</v>
      </c>
      <c r="L311" s="379"/>
      <c r="M311" s="379">
        <v>225.3</v>
      </c>
      <c r="N311" s="379"/>
      <c r="O311" s="379">
        <v>56316.02</v>
      </c>
      <c r="P311" s="379"/>
      <c r="Q311" s="379">
        <v>1723.8</v>
      </c>
      <c r="R311" s="379"/>
      <c r="S311" s="379"/>
      <c r="T311" s="379">
        <v>6902</v>
      </c>
      <c r="U311" s="379"/>
      <c r="V311" s="380">
        <v>87087.21</v>
      </c>
      <c r="W311" s="381">
        <v>8</v>
      </c>
      <c r="X311" s="379"/>
      <c r="Y311" s="379"/>
      <c r="Z311" s="379">
        <v>5821001</v>
      </c>
      <c r="AA311" s="379" t="s">
        <v>2427</v>
      </c>
      <c r="AB311" s="380">
        <f t="shared" si="4"/>
        <v>0.66666666666666663</v>
      </c>
    </row>
    <row r="312" spans="1:28" outlineLevel="2" x14ac:dyDescent="0.3">
      <c r="A312" s="379">
        <v>654</v>
      </c>
      <c r="B312" s="379">
        <v>812300</v>
      </c>
      <c r="C312" s="379" t="s">
        <v>585</v>
      </c>
      <c r="D312" s="379">
        <v>2418574</v>
      </c>
      <c r="E312" s="379" t="s">
        <v>2760</v>
      </c>
      <c r="F312" s="379" t="s">
        <v>2669</v>
      </c>
      <c r="G312" s="383">
        <v>43101</v>
      </c>
      <c r="H312" s="379">
        <v>1590.75</v>
      </c>
      <c r="I312" s="379">
        <v>56.47</v>
      </c>
      <c r="J312" s="379"/>
      <c r="K312" s="379">
        <v>119.3</v>
      </c>
      <c r="L312" s="379"/>
      <c r="M312" s="379"/>
      <c r="N312" s="379"/>
      <c r="O312" s="379"/>
      <c r="P312" s="379">
        <v>1548.75</v>
      </c>
      <c r="Q312" s="379">
        <v>42</v>
      </c>
      <c r="R312" s="379"/>
      <c r="S312" s="379"/>
      <c r="T312" s="379"/>
      <c r="U312" s="379"/>
      <c r="V312" s="380">
        <v>1766.52</v>
      </c>
      <c r="W312" s="381"/>
      <c r="X312" s="379"/>
      <c r="Y312" s="379"/>
      <c r="Z312" s="379">
        <v>5923001</v>
      </c>
      <c r="AA312" s="379" t="s">
        <v>2354</v>
      </c>
      <c r="AB312" s="380">
        <f t="shared" si="4"/>
        <v>0</v>
      </c>
    </row>
    <row r="313" spans="1:28" outlineLevel="2" x14ac:dyDescent="0.3">
      <c r="A313" s="379">
        <v>654</v>
      </c>
      <c r="B313" s="379">
        <v>812300</v>
      </c>
      <c r="C313" s="379" t="s">
        <v>585</v>
      </c>
      <c r="D313" s="379">
        <v>2435066</v>
      </c>
      <c r="E313" s="379" t="s">
        <v>2761</v>
      </c>
      <c r="F313" s="379" t="s">
        <v>2324</v>
      </c>
      <c r="G313" s="383">
        <v>43221</v>
      </c>
      <c r="H313" s="379">
        <v>28121.75</v>
      </c>
      <c r="I313" s="379">
        <v>998.33</v>
      </c>
      <c r="J313" s="379">
        <v>3649.99</v>
      </c>
      <c r="K313" s="379">
        <v>2109.15</v>
      </c>
      <c r="L313" s="379"/>
      <c r="M313" s="379"/>
      <c r="N313" s="379"/>
      <c r="O313" s="379"/>
      <c r="P313" s="379">
        <v>27036.75</v>
      </c>
      <c r="Q313" s="379">
        <v>1085</v>
      </c>
      <c r="R313" s="379"/>
      <c r="S313" s="379"/>
      <c r="T313" s="379"/>
      <c r="U313" s="379"/>
      <c r="V313" s="380">
        <v>34879.22</v>
      </c>
      <c r="W313" s="381"/>
      <c r="X313" s="379"/>
      <c r="Y313" s="379"/>
      <c r="Z313" s="379">
        <v>5821001</v>
      </c>
      <c r="AA313" s="379" t="s">
        <v>2427</v>
      </c>
      <c r="AB313" s="380">
        <f t="shared" si="4"/>
        <v>0</v>
      </c>
    </row>
    <row r="314" spans="1:28" outlineLevel="2" x14ac:dyDescent="0.3">
      <c r="A314" s="379">
        <v>654</v>
      </c>
      <c r="B314" s="379">
        <v>812300</v>
      </c>
      <c r="C314" s="379" t="s">
        <v>585</v>
      </c>
      <c r="D314" s="379">
        <v>2458074</v>
      </c>
      <c r="E314" s="379" t="s">
        <v>2675</v>
      </c>
      <c r="F314" s="379" t="s">
        <v>2673</v>
      </c>
      <c r="G314" s="383">
        <v>42401</v>
      </c>
      <c r="H314" s="379">
        <v>2404.25</v>
      </c>
      <c r="I314" s="379">
        <v>91.69</v>
      </c>
      <c r="J314" s="379">
        <v>324.57</v>
      </c>
      <c r="K314" s="379">
        <v>180.31</v>
      </c>
      <c r="L314" s="379"/>
      <c r="M314" s="379"/>
      <c r="N314" s="379"/>
      <c r="O314" s="379"/>
      <c r="P314" s="379">
        <v>2404.25</v>
      </c>
      <c r="Q314" s="379"/>
      <c r="R314" s="379"/>
      <c r="S314" s="379"/>
      <c r="T314" s="379"/>
      <c r="U314" s="379"/>
      <c r="V314" s="380">
        <v>3000.82</v>
      </c>
      <c r="W314" s="381"/>
      <c r="X314" s="379"/>
      <c r="Y314" s="379"/>
      <c r="Z314" s="379">
        <v>5821001</v>
      </c>
      <c r="AA314" s="379" t="s">
        <v>2427</v>
      </c>
      <c r="AB314" s="380">
        <f t="shared" si="4"/>
        <v>0</v>
      </c>
    </row>
    <row r="315" spans="1:28" outlineLevel="2" x14ac:dyDescent="0.3">
      <c r="A315" s="379">
        <v>654</v>
      </c>
      <c r="B315" s="379">
        <v>812300</v>
      </c>
      <c r="C315" s="379" t="s">
        <v>585</v>
      </c>
      <c r="D315" s="379">
        <v>2526683</v>
      </c>
      <c r="E315" s="379" t="s">
        <v>2762</v>
      </c>
      <c r="F315" s="379" t="s">
        <v>2763</v>
      </c>
      <c r="G315" s="383">
        <v>42248</v>
      </c>
      <c r="H315" s="379">
        <v>85600.57</v>
      </c>
      <c r="I315" s="379">
        <v>3611.48</v>
      </c>
      <c r="J315" s="379">
        <v>16542.62</v>
      </c>
      <c r="K315" s="379">
        <v>6457.25</v>
      </c>
      <c r="L315" s="379"/>
      <c r="M315" s="379">
        <v>282.47000000000003</v>
      </c>
      <c r="N315" s="379"/>
      <c r="O315" s="379">
        <v>72193.03</v>
      </c>
      <c r="P315" s="379">
        <v>7242.02</v>
      </c>
      <c r="Q315" s="379">
        <v>2721.72</v>
      </c>
      <c r="R315" s="379"/>
      <c r="S315" s="379"/>
      <c r="T315" s="379">
        <v>4613.8</v>
      </c>
      <c r="U315" s="379">
        <v>-1170</v>
      </c>
      <c r="V315" s="380">
        <v>112494.39</v>
      </c>
      <c r="W315" s="381">
        <v>10.199999999999999</v>
      </c>
      <c r="X315" s="379"/>
      <c r="Y315" s="379"/>
      <c r="Z315" s="379">
        <v>5821001</v>
      </c>
      <c r="AA315" s="379" t="s">
        <v>2427</v>
      </c>
      <c r="AB315" s="380">
        <f t="shared" si="4"/>
        <v>0.85</v>
      </c>
    </row>
    <row r="316" spans="1:28" outlineLevel="2" x14ac:dyDescent="0.3">
      <c r="A316" s="379">
        <v>654</v>
      </c>
      <c r="B316" s="379">
        <v>812300</v>
      </c>
      <c r="C316" s="379" t="s">
        <v>585</v>
      </c>
      <c r="D316" s="379">
        <v>2660580</v>
      </c>
      <c r="E316" s="379" t="s">
        <v>2519</v>
      </c>
      <c r="F316" s="379" t="s">
        <v>2764</v>
      </c>
      <c r="G316" s="383">
        <v>43497</v>
      </c>
      <c r="H316" s="379">
        <v>15500.25</v>
      </c>
      <c r="I316" s="379">
        <v>550.25</v>
      </c>
      <c r="J316" s="379">
        <v>2005.22</v>
      </c>
      <c r="K316" s="379">
        <v>1162.5</v>
      </c>
      <c r="L316" s="379"/>
      <c r="M316" s="379"/>
      <c r="N316" s="379"/>
      <c r="O316" s="379"/>
      <c r="P316" s="379">
        <v>14853.25</v>
      </c>
      <c r="Q316" s="379">
        <v>647</v>
      </c>
      <c r="R316" s="379"/>
      <c r="S316" s="379"/>
      <c r="T316" s="379"/>
      <c r="U316" s="379"/>
      <c r="V316" s="380">
        <v>19218.22</v>
      </c>
      <c r="W316" s="381"/>
      <c r="X316" s="379"/>
      <c r="Y316" s="379"/>
      <c r="Z316" s="379">
        <v>5821001</v>
      </c>
      <c r="AA316" s="379" t="s">
        <v>2427</v>
      </c>
      <c r="AB316" s="380">
        <f t="shared" si="4"/>
        <v>0</v>
      </c>
    </row>
    <row r="317" spans="1:28" outlineLevel="2" x14ac:dyDescent="0.3">
      <c r="A317" s="379">
        <v>654</v>
      </c>
      <c r="B317" s="379">
        <v>812300</v>
      </c>
      <c r="C317" s="379" t="s">
        <v>585</v>
      </c>
      <c r="D317" s="379">
        <v>2733478</v>
      </c>
      <c r="E317" s="379" t="s">
        <v>2307</v>
      </c>
      <c r="F317" s="379" t="s">
        <v>2633</v>
      </c>
      <c r="G317" s="383">
        <v>41640</v>
      </c>
      <c r="H317" s="379">
        <v>20020.72</v>
      </c>
      <c r="I317" s="379">
        <v>710.72</v>
      </c>
      <c r="J317" s="379">
        <v>2257.88</v>
      </c>
      <c r="K317" s="379">
        <v>1501.53</v>
      </c>
      <c r="L317" s="379"/>
      <c r="M317" s="379">
        <v>60.1</v>
      </c>
      <c r="N317" s="379"/>
      <c r="O317" s="379">
        <v>13848.74</v>
      </c>
      <c r="P317" s="379">
        <v>5403.5</v>
      </c>
      <c r="Q317" s="379">
        <v>768.48</v>
      </c>
      <c r="R317" s="379"/>
      <c r="S317" s="379"/>
      <c r="T317" s="379"/>
      <c r="U317" s="379"/>
      <c r="V317" s="380">
        <v>24550.95</v>
      </c>
      <c r="W317" s="381">
        <v>2.4</v>
      </c>
      <c r="X317" s="379"/>
      <c r="Y317" s="379"/>
      <c r="Z317" s="379">
        <v>5821001</v>
      </c>
      <c r="AA317" s="379" t="s">
        <v>2427</v>
      </c>
      <c r="AB317" s="380">
        <f t="shared" si="4"/>
        <v>0.19999999999999998</v>
      </c>
    </row>
    <row r="318" spans="1:28" outlineLevel="2" x14ac:dyDescent="0.3">
      <c r="A318" s="379">
        <v>654</v>
      </c>
      <c r="B318" s="379">
        <v>812300</v>
      </c>
      <c r="C318" s="379" t="s">
        <v>585</v>
      </c>
      <c r="D318" s="379">
        <v>2733941</v>
      </c>
      <c r="E318" s="379" t="s">
        <v>2469</v>
      </c>
      <c r="F318" s="379" t="s">
        <v>2687</v>
      </c>
      <c r="G318" s="383">
        <v>41883</v>
      </c>
      <c r="H318" s="379">
        <v>1534.95</v>
      </c>
      <c r="I318" s="379">
        <v>66.16</v>
      </c>
      <c r="J318" s="379">
        <v>207.23</v>
      </c>
      <c r="K318" s="379">
        <v>115.27</v>
      </c>
      <c r="L318" s="379"/>
      <c r="M318" s="379"/>
      <c r="N318" s="379"/>
      <c r="O318" s="379"/>
      <c r="P318" s="379">
        <v>1534.95</v>
      </c>
      <c r="Q318" s="379"/>
      <c r="R318" s="379"/>
      <c r="S318" s="379"/>
      <c r="T318" s="379"/>
      <c r="U318" s="379"/>
      <c r="V318" s="380">
        <v>1923.61</v>
      </c>
      <c r="W318" s="381"/>
      <c r="X318" s="379"/>
      <c r="Y318" s="379"/>
      <c r="Z318" s="379">
        <v>1027</v>
      </c>
      <c r="AA318" s="379" t="s">
        <v>2383</v>
      </c>
      <c r="AB318" s="380">
        <f t="shared" si="4"/>
        <v>0</v>
      </c>
    </row>
    <row r="319" spans="1:28" outlineLevel="2" x14ac:dyDescent="0.3">
      <c r="A319" s="379">
        <v>654</v>
      </c>
      <c r="B319" s="379">
        <v>812300</v>
      </c>
      <c r="C319" s="379" t="s">
        <v>585</v>
      </c>
      <c r="D319" s="379">
        <v>2884253</v>
      </c>
      <c r="E319" s="379" t="s">
        <v>2765</v>
      </c>
      <c r="F319" s="379" t="s">
        <v>2766</v>
      </c>
      <c r="G319" s="383">
        <v>41548</v>
      </c>
      <c r="H319" s="379">
        <v>15905.38</v>
      </c>
      <c r="I319" s="379">
        <v>740.02</v>
      </c>
      <c r="J319" s="379">
        <v>3009.32</v>
      </c>
      <c r="K319" s="379">
        <v>1192.9000000000001</v>
      </c>
      <c r="L319" s="379"/>
      <c r="M319" s="379">
        <v>55.45</v>
      </c>
      <c r="N319" s="379"/>
      <c r="O319" s="379">
        <v>12117.82</v>
      </c>
      <c r="P319" s="379">
        <v>3333.94</v>
      </c>
      <c r="Q319" s="379">
        <v>453.62</v>
      </c>
      <c r="R319" s="379"/>
      <c r="S319" s="379"/>
      <c r="T319" s="379"/>
      <c r="U319" s="379"/>
      <c r="V319" s="380">
        <v>20903.07</v>
      </c>
      <c r="W319" s="381">
        <v>1.7</v>
      </c>
      <c r="X319" s="379">
        <v>501</v>
      </c>
      <c r="Y319" s="379" t="s">
        <v>2689</v>
      </c>
      <c r="Z319" s="379">
        <v>5821001</v>
      </c>
      <c r="AA319" s="379" t="s">
        <v>2427</v>
      </c>
      <c r="AB319" s="380">
        <f t="shared" si="4"/>
        <v>0.14166666666666666</v>
      </c>
    </row>
    <row r="320" spans="1:28" outlineLevel="2" x14ac:dyDescent="0.3">
      <c r="A320" s="379">
        <v>654</v>
      </c>
      <c r="B320" s="379">
        <v>812300</v>
      </c>
      <c r="C320" s="379" t="s">
        <v>585</v>
      </c>
      <c r="D320" s="379">
        <v>2887665</v>
      </c>
      <c r="E320" s="379" t="s">
        <v>2690</v>
      </c>
      <c r="F320" s="379" t="s">
        <v>2512</v>
      </c>
      <c r="G320" s="383">
        <v>33329</v>
      </c>
      <c r="H320" s="379">
        <v>74876.960000000006</v>
      </c>
      <c r="I320" s="379">
        <v>3824.89</v>
      </c>
      <c r="J320" s="379">
        <v>6840.03</v>
      </c>
      <c r="K320" s="379">
        <v>5653.05</v>
      </c>
      <c r="L320" s="379"/>
      <c r="M320" s="379">
        <v>260.55</v>
      </c>
      <c r="N320" s="379"/>
      <c r="O320" s="379">
        <v>60587.33</v>
      </c>
      <c r="P320" s="379"/>
      <c r="Q320" s="379">
        <v>1872.8</v>
      </c>
      <c r="R320" s="379"/>
      <c r="S320" s="379"/>
      <c r="T320" s="379">
        <v>12416.83</v>
      </c>
      <c r="U320" s="379"/>
      <c r="V320" s="380">
        <v>91455.48</v>
      </c>
      <c r="W320" s="381">
        <v>8</v>
      </c>
      <c r="X320" s="379"/>
      <c r="Y320" s="379"/>
      <c r="Z320" s="379">
        <v>5821001</v>
      </c>
      <c r="AA320" s="379" t="s">
        <v>2427</v>
      </c>
      <c r="AB320" s="380">
        <f t="shared" si="4"/>
        <v>0.66666666666666663</v>
      </c>
    </row>
    <row r="321" spans="1:28" outlineLevel="2" x14ac:dyDescent="0.3">
      <c r="A321" s="379">
        <v>654</v>
      </c>
      <c r="B321" s="379">
        <v>812300</v>
      </c>
      <c r="C321" s="379" t="s">
        <v>585</v>
      </c>
      <c r="D321" s="379">
        <v>2888652</v>
      </c>
      <c r="E321" s="379" t="s">
        <v>2691</v>
      </c>
      <c r="F321" s="379" t="s">
        <v>2631</v>
      </c>
      <c r="G321" s="383">
        <v>42614</v>
      </c>
      <c r="H321" s="379">
        <v>498</v>
      </c>
      <c r="I321" s="379">
        <v>17.670000000000002</v>
      </c>
      <c r="J321" s="379">
        <v>55.76</v>
      </c>
      <c r="K321" s="379">
        <v>37.33</v>
      </c>
      <c r="L321" s="379"/>
      <c r="M321" s="379"/>
      <c r="N321" s="379"/>
      <c r="O321" s="379"/>
      <c r="P321" s="379">
        <v>413</v>
      </c>
      <c r="Q321" s="379">
        <v>85</v>
      </c>
      <c r="R321" s="379"/>
      <c r="S321" s="379"/>
      <c r="T321" s="379"/>
      <c r="U321" s="379"/>
      <c r="V321" s="380">
        <v>608.76</v>
      </c>
      <c r="W321" s="381"/>
      <c r="X321" s="379"/>
      <c r="Y321" s="379"/>
      <c r="Z321" s="379">
        <v>5821001</v>
      </c>
      <c r="AA321" s="379" t="s">
        <v>2427</v>
      </c>
      <c r="AB321" s="380">
        <f t="shared" si="4"/>
        <v>0</v>
      </c>
    </row>
    <row r="322" spans="1:28" outlineLevel="2" x14ac:dyDescent="0.3">
      <c r="A322" s="379">
        <v>654</v>
      </c>
      <c r="B322" s="379">
        <v>812300</v>
      </c>
      <c r="C322" s="379" t="s">
        <v>585</v>
      </c>
      <c r="D322" s="379">
        <v>2945684</v>
      </c>
      <c r="E322" s="379" t="s">
        <v>2767</v>
      </c>
      <c r="F322" s="379" t="s">
        <v>2768</v>
      </c>
      <c r="G322" s="383">
        <v>42248</v>
      </c>
      <c r="H322" s="379">
        <v>97109.85</v>
      </c>
      <c r="I322" s="379">
        <v>4493.53</v>
      </c>
      <c r="J322" s="379">
        <v>17807.61</v>
      </c>
      <c r="K322" s="379">
        <v>7320.53</v>
      </c>
      <c r="L322" s="379"/>
      <c r="M322" s="379">
        <v>318.11</v>
      </c>
      <c r="N322" s="379"/>
      <c r="O322" s="379">
        <v>77308.81</v>
      </c>
      <c r="P322" s="379">
        <v>12400.06</v>
      </c>
      <c r="Q322" s="379">
        <v>2750.88</v>
      </c>
      <c r="R322" s="379"/>
      <c r="S322" s="379"/>
      <c r="T322" s="379">
        <v>5820.1</v>
      </c>
      <c r="U322" s="379">
        <v>-1170</v>
      </c>
      <c r="V322" s="380">
        <v>127049.63</v>
      </c>
      <c r="W322" s="381">
        <v>10.8</v>
      </c>
      <c r="X322" s="379"/>
      <c r="Y322" s="379"/>
      <c r="Z322" s="379">
        <v>5821001</v>
      </c>
      <c r="AA322" s="379" t="s">
        <v>2427</v>
      </c>
      <c r="AB322" s="380">
        <f t="shared" si="4"/>
        <v>0.9</v>
      </c>
    </row>
    <row r="323" spans="1:28" outlineLevel="2" x14ac:dyDescent="0.3">
      <c r="A323" s="379">
        <v>654</v>
      </c>
      <c r="B323" s="379">
        <v>812300</v>
      </c>
      <c r="C323" s="379" t="s">
        <v>585</v>
      </c>
      <c r="D323" s="379">
        <v>3196428</v>
      </c>
      <c r="E323" s="379" t="s">
        <v>2465</v>
      </c>
      <c r="F323" s="379" t="s">
        <v>2692</v>
      </c>
      <c r="G323" s="383">
        <v>41153</v>
      </c>
      <c r="H323" s="379">
        <v>2369.4</v>
      </c>
      <c r="I323" s="379">
        <v>119.94</v>
      </c>
      <c r="J323" s="379">
        <v>497.7</v>
      </c>
      <c r="K323" s="379">
        <v>177.79</v>
      </c>
      <c r="L323" s="379"/>
      <c r="M323" s="379">
        <v>9.5299999999999994</v>
      </c>
      <c r="N323" s="379"/>
      <c r="O323" s="379"/>
      <c r="P323" s="379">
        <v>2369.4</v>
      </c>
      <c r="Q323" s="379"/>
      <c r="R323" s="379"/>
      <c r="S323" s="379"/>
      <c r="T323" s="379"/>
      <c r="U323" s="379"/>
      <c r="V323" s="380">
        <v>3174.36</v>
      </c>
      <c r="W323" s="381"/>
      <c r="X323" s="379"/>
      <c r="Y323" s="379"/>
      <c r="Z323" s="379">
        <v>5821001</v>
      </c>
      <c r="AA323" s="379" t="s">
        <v>2427</v>
      </c>
      <c r="AB323" s="380">
        <f t="shared" si="4"/>
        <v>0</v>
      </c>
    </row>
    <row r="324" spans="1:28" outlineLevel="2" x14ac:dyDescent="0.3">
      <c r="A324" s="379">
        <v>654</v>
      </c>
      <c r="B324" s="379">
        <v>812300</v>
      </c>
      <c r="C324" s="379" t="s">
        <v>585</v>
      </c>
      <c r="D324" s="379">
        <v>3287909</v>
      </c>
      <c r="E324" s="379" t="s">
        <v>2769</v>
      </c>
      <c r="F324" s="379" t="s">
        <v>2701</v>
      </c>
      <c r="G324" s="383">
        <v>42948</v>
      </c>
      <c r="H324" s="379">
        <v>86642.43</v>
      </c>
      <c r="I324" s="379">
        <v>3686.25</v>
      </c>
      <c r="J324" s="379">
        <v>16194.92</v>
      </c>
      <c r="K324" s="379">
        <v>6535.4</v>
      </c>
      <c r="L324" s="379"/>
      <c r="M324" s="379">
        <v>267.26</v>
      </c>
      <c r="N324" s="379"/>
      <c r="O324" s="379">
        <v>69137.73</v>
      </c>
      <c r="P324" s="379">
        <v>4851.9799999999996</v>
      </c>
      <c r="Q324" s="379">
        <v>2721.72</v>
      </c>
      <c r="R324" s="379"/>
      <c r="S324" s="379"/>
      <c r="T324" s="379">
        <v>5715.4</v>
      </c>
      <c r="U324" s="379">
        <v>4215.6000000000004</v>
      </c>
      <c r="V324" s="380">
        <v>113326.26</v>
      </c>
      <c r="W324" s="381">
        <v>10.199999999999999</v>
      </c>
      <c r="X324" s="379"/>
      <c r="Y324" s="379"/>
      <c r="Z324" s="379">
        <v>5821001</v>
      </c>
      <c r="AA324" s="379" t="s">
        <v>2427</v>
      </c>
      <c r="AB324" s="380">
        <f t="shared" si="4"/>
        <v>0.85</v>
      </c>
    </row>
    <row r="325" spans="1:28" outlineLevel="2" x14ac:dyDescent="0.3">
      <c r="A325" s="379">
        <v>654</v>
      </c>
      <c r="B325" s="379">
        <v>812300</v>
      </c>
      <c r="C325" s="379" t="s">
        <v>585</v>
      </c>
      <c r="D325" s="379">
        <v>3594485</v>
      </c>
      <c r="E325" s="379" t="s">
        <v>2698</v>
      </c>
      <c r="F325" s="379" t="s">
        <v>2699</v>
      </c>
      <c r="G325" s="383">
        <v>42826</v>
      </c>
      <c r="H325" s="379">
        <v>1362.97</v>
      </c>
      <c r="I325" s="379">
        <v>48.46</v>
      </c>
      <c r="J325" s="379">
        <v>216.15</v>
      </c>
      <c r="K325" s="379">
        <v>102.29</v>
      </c>
      <c r="L325" s="379"/>
      <c r="M325" s="379"/>
      <c r="N325" s="379"/>
      <c r="O325" s="379"/>
      <c r="P325" s="379">
        <v>934.08</v>
      </c>
      <c r="Q325" s="379"/>
      <c r="R325" s="379"/>
      <c r="S325" s="379"/>
      <c r="T325" s="379">
        <v>428.89</v>
      </c>
      <c r="U325" s="379"/>
      <c r="V325" s="380">
        <v>1729.87</v>
      </c>
      <c r="W325" s="381"/>
      <c r="X325" s="379"/>
      <c r="Y325" s="379"/>
      <c r="Z325" s="379">
        <v>5821001</v>
      </c>
      <c r="AA325" s="379" t="s">
        <v>2427</v>
      </c>
      <c r="AB325" s="380">
        <f t="shared" si="4"/>
        <v>0</v>
      </c>
    </row>
    <row r="326" spans="1:28" outlineLevel="2" x14ac:dyDescent="0.3">
      <c r="A326" s="379">
        <v>654</v>
      </c>
      <c r="B326" s="379">
        <v>812300</v>
      </c>
      <c r="C326" s="379" t="s">
        <v>585</v>
      </c>
      <c r="D326" s="379">
        <v>3627661</v>
      </c>
      <c r="E326" s="379" t="s">
        <v>2323</v>
      </c>
      <c r="F326" s="379" t="s">
        <v>2686</v>
      </c>
      <c r="G326" s="383">
        <v>42248</v>
      </c>
      <c r="H326" s="379">
        <v>90866.95</v>
      </c>
      <c r="I326" s="379">
        <v>4015.62</v>
      </c>
      <c r="J326" s="379">
        <v>17401.38</v>
      </c>
      <c r="K326" s="379">
        <v>6852.28</v>
      </c>
      <c r="L326" s="379"/>
      <c r="M326" s="379">
        <v>293.42</v>
      </c>
      <c r="N326" s="379"/>
      <c r="O326" s="379">
        <v>75591.399999999994</v>
      </c>
      <c r="P326" s="379">
        <v>4944.47</v>
      </c>
      <c r="Q326" s="379">
        <v>2750.88</v>
      </c>
      <c r="R326" s="379"/>
      <c r="S326" s="379"/>
      <c r="T326" s="379">
        <v>5348.2</v>
      </c>
      <c r="U326" s="379">
        <v>2232</v>
      </c>
      <c r="V326" s="380">
        <v>119429.65</v>
      </c>
      <c r="W326" s="381">
        <v>10.8</v>
      </c>
      <c r="X326" s="379"/>
      <c r="Y326" s="379"/>
      <c r="Z326" s="379">
        <v>5821001</v>
      </c>
      <c r="AA326" s="379" t="s">
        <v>2427</v>
      </c>
      <c r="AB326" s="380">
        <f t="shared" si="4"/>
        <v>0.9</v>
      </c>
    </row>
    <row r="327" spans="1:28" outlineLevel="2" x14ac:dyDescent="0.3">
      <c r="A327" s="379">
        <v>654</v>
      </c>
      <c r="B327" s="379">
        <v>812300</v>
      </c>
      <c r="C327" s="379" t="s">
        <v>585</v>
      </c>
      <c r="D327" s="379">
        <v>5322080</v>
      </c>
      <c r="E327" s="379" t="s">
        <v>2340</v>
      </c>
      <c r="F327" s="379" t="s">
        <v>2654</v>
      </c>
      <c r="G327" s="383">
        <v>40269</v>
      </c>
      <c r="H327" s="379">
        <v>1788.59</v>
      </c>
      <c r="I327" s="379">
        <v>8.65</v>
      </c>
      <c r="J327" s="379">
        <v>241.47</v>
      </c>
      <c r="K327" s="379">
        <v>134.22</v>
      </c>
      <c r="L327" s="379"/>
      <c r="M327" s="379"/>
      <c r="N327" s="379"/>
      <c r="O327" s="379"/>
      <c r="P327" s="379">
        <v>1788.59</v>
      </c>
      <c r="Q327" s="379"/>
      <c r="R327" s="379"/>
      <c r="S327" s="379"/>
      <c r="T327" s="379"/>
      <c r="U327" s="379"/>
      <c r="V327" s="380">
        <v>2172.9299999999998</v>
      </c>
      <c r="W327" s="381"/>
      <c r="X327" s="379"/>
      <c r="Y327" s="379"/>
      <c r="Z327" s="379">
        <v>1401202</v>
      </c>
      <c r="AA327" s="379" t="s">
        <v>2380</v>
      </c>
      <c r="AB327" s="380">
        <f t="shared" si="4"/>
        <v>0</v>
      </c>
    </row>
    <row r="328" spans="1:28" outlineLevel="2" x14ac:dyDescent="0.3">
      <c r="A328" s="379">
        <v>654</v>
      </c>
      <c r="B328" s="379">
        <v>812300</v>
      </c>
      <c r="C328" s="379" t="s">
        <v>585</v>
      </c>
      <c r="D328" s="379">
        <v>5429071</v>
      </c>
      <c r="E328" s="379" t="s">
        <v>2355</v>
      </c>
      <c r="F328" s="379" t="s">
        <v>2709</v>
      </c>
      <c r="G328" s="383">
        <v>43070</v>
      </c>
      <c r="H328" s="379">
        <v>17075.75</v>
      </c>
      <c r="I328" s="379">
        <v>597.63</v>
      </c>
      <c r="J328" s="379">
        <v>2197.8000000000002</v>
      </c>
      <c r="K328" s="379">
        <v>1280.73</v>
      </c>
      <c r="L328" s="379"/>
      <c r="M328" s="379"/>
      <c r="N328" s="379"/>
      <c r="O328" s="379"/>
      <c r="P328" s="379">
        <v>14646.75</v>
      </c>
      <c r="Q328" s="379">
        <v>796</v>
      </c>
      <c r="R328" s="379"/>
      <c r="S328" s="379"/>
      <c r="T328" s="379">
        <v>1633</v>
      </c>
      <c r="U328" s="379"/>
      <c r="V328" s="380">
        <v>21151.91</v>
      </c>
      <c r="W328" s="381"/>
      <c r="X328" s="379"/>
      <c r="Y328" s="379"/>
      <c r="Z328" s="379">
        <v>1401202</v>
      </c>
      <c r="AA328" s="379" t="s">
        <v>2380</v>
      </c>
      <c r="AB328" s="380">
        <f t="shared" si="4"/>
        <v>0</v>
      </c>
    </row>
    <row r="329" spans="1:28" outlineLevel="2" x14ac:dyDescent="0.3">
      <c r="A329" s="379">
        <v>654</v>
      </c>
      <c r="B329" s="379">
        <v>812300</v>
      </c>
      <c r="C329" s="379" t="s">
        <v>585</v>
      </c>
      <c r="D329" s="379">
        <v>5646436</v>
      </c>
      <c r="E329" s="379" t="s">
        <v>2716</v>
      </c>
      <c r="F329" s="379" t="s">
        <v>2717</v>
      </c>
      <c r="G329" s="383">
        <v>43009</v>
      </c>
      <c r="H329" s="379">
        <v>12885.75</v>
      </c>
      <c r="I329" s="379">
        <v>457.13</v>
      </c>
      <c r="J329" s="379">
        <v>1659.42</v>
      </c>
      <c r="K329" s="379">
        <v>966.44</v>
      </c>
      <c r="L329" s="379"/>
      <c r="M329" s="379"/>
      <c r="N329" s="379"/>
      <c r="O329" s="379"/>
      <c r="P329" s="379">
        <v>10044.75</v>
      </c>
      <c r="Q329" s="379">
        <v>594</v>
      </c>
      <c r="R329" s="379"/>
      <c r="S329" s="379"/>
      <c r="T329" s="379">
        <v>2247</v>
      </c>
      <c r="U329" s="379"/>
      <c r="V329" s="380">
        <v>15968.74</v>
      </c>
      <c r="W329" s="381"/>
      <c r="X329" s="379"/>
      <c r="Y329" s="379"/>
      <c r="Z329" s="379">
        <v>5821001</v>
      </c>
      <c r="AA329" s="379" t="s">
        <v>2427</v>
      </c>
      <c r="AB329" s="380">
        <f t="shared" si="4"/>
        <v>0</v>
      </c>
    </row>
    <row r="330" spans="1:28" outlineLevel="2" x14ac:dyDescent="0.3">
      <c r="A330" s="379">
        <v>654</v>
      </c>
      <c r="B330" s="379">
        <v>812300</v>
      </c>
      <c r="C330" s="379" t="s">
        <v>585</v>
      </c>
      <c r="D330" s="379">
        <v>5653147</v>
      </c>
      <c r="E330" s="379" t="s">
        <v>2718</v>
      </c>
      <c r="F330" s="379" t="s">
        <v>2719</v>
      </c>
      <c r="G330" s="383">
        <v>43221</v>
      </c>
      <c r="H330" s="379">
        <v>3110.4</v>
      </c>
      <c r="I330" s="379">
        <v>110.4</v>
      </c>
      <c r="J330" s="379">
        <v>414.19</v>
      </c>
      <c r="K330" s="379">
        <v>233.3</v>
      </c>
      <c r="L330" s="379"/>
      <c r="M330" s="379"/>
      <c r="N330" s="379"/>
      <c r="O330" s="379"/>
      <c r="P330" s="379">
        <v>3068</v>
      </c>
      <c r="Q330" s="379">
        <v>42.4</v>
      </c>
      <c r="R330" s="379"/>
      <c r="S330" s="379"/>
      <c r="T330" s="379"/>
      <c r="U330" s="379"/>
      <c r="V330" s="380">
        <v>3868.29</v>
      </c>
      <c r="W330" s="381"/>
      <c r="X330" s="379"/>
      <c r="Y330" s="379"/>
      <c r="Z330" s="379">
        <v>5821001</v>
      </c>
      <c r="AA330" s="379" t="s">
        <v>2427</v>
      </c>
      <c r="AB330" s="380">
        <f t="shared" si="4"/>
        <v>0</v>
      </c>
    </row>
    <row r="331" spans="1:28" outlineLevel="2" x14ac:dyDescent="0.3">
      <c r="A331" s="379">
        <v>654</v>
      </c>
      <c r="B331" s="379">
        <v>812300</v>
      </c>
      <c r="C331" s="379" t="s">
        <v>585</v>
      </c>
      <c r="D331" s="379">
        <v>5728726</v>
      </c>
      <c r="E331" s="379" t="s">
        <v>2770</v>
      </c>
      <c r="F331" s="379" t="s">
        <v>2771</v>
      </c>
      <c r="G331" s="383">
        <v>41883</v>
      </c>
      <c r="H331" s="379">
        <v>88570.75</v>
      </c>
      <c r="I331" s="379">
        <v>3824.36</v>
      </c>
      <c r="J331" s="379">
        <v>17188.86</v>
      </c>
      <c r="K331" s="379">
        <v>6680.01</v>
      </c>
      <c r="L331" s="379"/>
      <c r="M331" s="379">
        <v>288.20999999999998</v>
      </c>
      <c r="N331" s="379"/>
      <c r="O331" s="379">
        <v>73704.22</v>
      </c>
      <c r="P331" s="379">
        <v>6400.25</v>
      </c>
      <c r="Q331" s="379">
        <v>2750.88</v>
      </c>
      <c r="R331" s="379"/>
      <c r="S331" s="379"/>
      <c r="T331" s="379">
        <v>5715.4</v>
      </c>
      <c r="U331" s="379"/>
      <c r="V331" s="380">
        <v>116552.19</v>
      </c>
      <c r="W331" s="381">
        <v>10.8</v>
      </c>
      <c r="X331" s="379"/>
      <c r="Y331" s="379"/>
      <c r="Z331" s="379">
        <v>1041002</v>
      </c>
      <c r="AA331" s="379" t="s">
        <v>2772</v>
      </c>
      <c r="AB331" s="380">
        <f t="shared" si="4"/>
        <v>0.9</v>
      </c>
    </row>
    <row r="332" spans="1:28" outlineLevel="2" x14ac:dyDescent="0.3">
      <c r="A332" s="379">
        <v>654</v>
      </c>
      <c r="B332" s="379">
        <v>812300</v>
      </c>
      <c r="C332" s="379" t="s">
        <v>585</v>
      </c>
      <c r="D332" s="379">
        <v>5829453</v>
      </c>
      <c r="E332" s="379" t="s">
        <v>2722</v>
      </c>
      <c r="F332" s="379" t="s">
        <v>2644</v>
      </c>
      <c r="G332" s="383">
        <v>41640</v>
      </c>
      <c r="H332" s="379">
        <v>15542.75</v>
      </c>
      <c r="I332" s="379">
        <v>551.77</v>
      </c>
      <c r="J332" s="379">
        <v>1989.28</v>
      </c>
      <c r="K332" s="379">
        <v>1165.78</v>
      </c>
      <c r="L332" s="379"/>
      <c r="M332" s="379"/>
      <c r="N332" s="379"/>
      <c r="O332" s="379"/>
      <c r="P332" s="379">
        <v>14735.25</v>
      </c>
      <c r="Q332" s="379">
        <v>807.5</v>
      </c>
      <c r="R332" s="379"/>
      <c r="S332" s="379"/>
      <c r="T332" s="379"/>
      <c r="U332" s="379"/>
      <c r="V332" s="380">
        <v>19249.580000000002</v>
      </c>
      <c r="W332" s="381"/>
      <c r="X332" s="379"/>
      <c r="Y332" s="379"/>
      <c r="Z332" s="379">
        <v>1401202</v>
      </c>
      <c r="AA332" s="379" t="s">
        <v>2380</v>
      </c>
      <c r="AB332" s="380">
        <f t="shared" si="4"/>
        <v>0</v>
      </c>
    </row>
    <row r="333" spans="1:28" outlineLevel="2" x14ac:dyDescent="0.3">
      <c r="A333" s="379">
        <v>654</v>
      </c>
      <c r="B333" s="379">
        <v>812300</v>
      </c>
      <c r="C333" s="379" t="s">
        <v>585</v>
      </c>
      <c r="D333" s="379">
        <v>5843016</v>
      </c>
      <c r="E333" s="379" t="s">
        <v>2723</v>
      </c>
      <c r="F333" s="379" t="s">
        <v>2512</v>
      </c>
      <c r="G333" s="383">
        <v>38292</v>
      </c>
      <c r="H333" s="379">
        <v>31239.16</v>
      </c>
      <c r="I333" s="379">
        <v>1375.6</v>
      </c>
      <c r="J333" s="379">
        <v>5901</v>
      </c>
      <c r="K333" s="379">
        <v>2343</v>
      </c>
      <c r="L333" s="379"/>
      <c r="M333" s="379">
        <v>108.4</v>
      </c>
      <c r="N333" s="379"/>
      <c r="O333" s="379">
        <v>30302.76</v>
      </c>
      <c r="P333" s="379"/>
      <c r="Q333" s="379">
        <v>936.4</v>
      </c>
      <c r="R333" s="379"/>
      <c r="S333" s="379"/>
      <c r="T333" s="379"/>
      <c r="U333" s="379"/>
      <c r="V333" s="380">
        <v>40967.160000000003</v>
      </c>
      <c r="W333" s="381">
        <v>4</v>
      </c>
      <c r="X333" s="379"/>
      <c r="Y333" s="379"/>
      <c r="Z333" s="379">
        <v>5821001</v>
      </c>
      <c r="AA333" s="379" t="s">
        <v>2427</v>
      </c>
      <c r="AB333" s="380">
        <f t="shared" si="4"/>
        <v>0.33333333333333331</v>
      </c>
    </row>
    <row r="334" spans="1:28" outlineLevel="2" x14ac:dyDescent="0.3">
      <c r="A334" s="379">
        <v>654</v>
      </c>
      <c r="B334" s="379">
        <v>812300</v>
      </c>
      <c r="C334" s="379" t="s">
        <v>585</v>
      </c>
      <c r="D334" s="379">
        <v>5873525</v>
      </c>
      <c r="E334" s="379" t="s">
        <v>2724</v>
      </c>
      <c r="F334" s="379" t="s">
        <v>2725</v>
      </c>
      <c r="G334" s="383">
        <v>43160</v>
      </c>
      <c r="H334" s="379">
        <v>1725.75</v>
      </c>
      <c r="I334" s="379">
        <v>61.26</v>
      </c>
      <c r="J334" s="379"/>
      <c r="K334" s="379">
        <v>129.41999999999999</v>
      </c>
      <c r="L334" s="379"/>
      <c r="M334" s="379"/>
      <c r="N334" s="379"/>
      <c r="O334" s="379"/>
      <c r="P334" s="379">
        <v>1725.75</v>
      </c>
      <c r="Q334" s="379"/>
      <c r="R334" s="379"/>
      <c r="S334" s="379"/>
      <c r="T334" s="379"/>
      <c r="U334" s="379"/>
      <c r="V334" s="380">
        <v>1916.43</v>
      </c>
      <c r="W334" s="381"/>
      <c r="X334" s="379"/>
      <c r="Y334" s="379"/>
      <c r="Z334" s="379">
        <v>1041001</v>
      </c>
      <c r="AA334" s="379" t="s">
        <v>2677</v>
      </c>
      <c r="AB334" s="380">
        <f t="shared" si="4"/>
        <v>0</v>
      </c>
    </row>
    <row r="335" spans="1:28" outlineLevel="2" x14ac:dyDescent="0.3">
      <c r="A335" s="379">
        <v>654</v>
      </c>
      <c r="B335" s="379">
        <v>812300</v>
      </c>
      <c r="C335" s="379" t="s">
        <v>585</v>
      </c>
      <c r="D335" s="379">
        <v>5877574</v>
      </c>
      <c r="E335" s="379" t="s">
        <v>2726</v>
      </c>
      <c r="F335" s="379" t="s">
        <v>2349</v>
      </c>
      <c r="G335" s="383">
        <v>39845</v>
      </c>
      <c r="H335" s="379">
        <v>66431.990000000005</v>
      </c>
      <c r="I335" s="379">
        <v>3133.65</v>
      </c>
      <c r="J335" s="379">
        <v>13001.63</v>
      </c>
      <c r="K335" s="379">
        <v>5019.59</v>
      </c>
      <c r="L335" s="379"/>
      <c r="M335" s="379">
        <v>210.62</v>
      </c>
      <c r="N335" s="379"/>
      <c r="O335" s="379">
        <v>50057.2</v>
      </c>
      <c r="P335" s="379">
        <v>8326.41</v>
      </c>
      <c r="Q335" s="379">
        <v>1814.48</v>
      </c>
      <c r="R335" s="379"/>
      <c r="S335" s="379"/>
      <c r="T335" s="379">
        <v>6233.9</v>
      </c>
      <c r="U335" s="379"/>
      <c r="V335" s="380">
        <v>87797.48</v>
      </c>
      <c r="W335" s="381">
        <v>6.8</v>
      </c>
      <c r="X335" s="379"/>
      <c r="Y335" s="379"/>
      <c r="Z335" s="379">
        <v>5821001</v>
      </c>
      <c r="AA335" s="379" t="s">
        <v>2427</v>
      </c>
      <c r="AB335" s="380">
        <f t="shared" si="4"/>
        <v>0.56666666666666665</v>
      </c>
    </row>
    <row r="336" spans="1:28" outlineLevel="2" x14ac:dyDescent="0.3">
      <c r="A336" s="379">
        <v>654</v>
      </c>
      <c r="B336" s="379">
        <v>812300</v>
      </c>
      <c r="C336" s="379" t="s">
        <v>585</v>
      </c>
      <c r="D336" s="379">
        <v>5918616</v>
      </c>
      <c r="E336" s="379" t="s">
        <v>2729</v>
      </c>
      <c r="F336" s="379" t="s">
        <v>2349</v>
      </c>
      <c r="G336" s="383">
        <v>40057</v>
      </c>
      <c r="H336" s="379">
        <v>2389.1999999999998</v>
      </c>
      <c r="I336" s="379">
        <v>122.05</v>
      </c>
      <c r="J336" s="379">
        <v>501.84</v>
      </c>
      <c r="K336" s="379">
        <v>179.27</v>
      </c>
      <c r="L336" s="379"/>
      <c r="M336" s="379">
        <v>9.61</v>
      </c>
      <c r="N336" s="379"/>
      <c r="O336" s="379"/>
      <c r="P336" s="379">
        <v>2389.1999999999998</v>
      </c>
      <c r="Q336" s="379"/>
      <c r="R336" s="379"/>
      <c r="S336" s="379"/>
      <c r="T336" s="379"/>
      <c r="U336" s="379"/>
      <c r="V336" s="380">
        <v>3201.97</v>
      </c>
      <c r="W336" s="381"/>
      <c r="X336" s="379"/>
      <c r="Y336" s="379"/>
      <c r="Z336" s="379">
        <v>5821001</v>
      </c>
      <c r="AA336" s="379" t="s">
        <v>2427</v>
      </c>
      <c r="AB336" s="380">
        <f t="shared" si="4"/>
        <v>0</v>
      </c>
    </row>
    <row r="337" spans="1:28" outlineLevel="2" x14ac:dyDescent="0.3">
      <c r="A337" s="379">
        <v>654</v>
      </c>
      <c r="B337" s="379">
        <v>812300</v>
      </c>
      <c r="C337" s="379" t="s">
        <v>585</v>
      </c>
      <c r="D337" s="379">
        <v>6284185</v>
      </c>
      <c r="E337" s="379" t="s">
        <v>2384</v>
      </c>
      <c r="F337" s="379" t="s">
        <v>2773</v>
      </c>
      <c r="G337" s="383">
        <v>40787</v>
      </c>
      <c r="H337" s="379">
        <v>87786.19</v>
      </c>
      <c r="I337" s="379">
        <v>3779.96</v>
      </c>
      <c r="J337" s="379">
        <v>15620.62</v>
      </c>
      <c r="K337" s="379">
        <v>6621.17</v>
      </c>
      <c r="L337" s="379"/>
      <c r="M337" s="379">
        <v>281.82</v>
      </c>
      <c r="N337" s="379"/>
      <c r="O337" s="379">
        <v>77903.72</v>
      </c>
      <c r="P337" s="379">
        <v>3687.79</v>
      </c>
      <c r="Q337" s="379">
        <v>2750.88</v>
      </c>
      <c r="R337" s="379"/>
      <c r="S337" s="379"/>
      <c r="T337" s="379">
        <v>4613.8</v>
      </c>
      <c r="U337" s="379">
        <v>-1170</v>
      </c>
      <c r="V337" s="380">
        <v>114089.76</v>
      </c>
      <c r="W337" s="381">
        <v>10.8</v>
      </c>
      <c r="X337" s="379"/>
      <c r="Y337" s="379"/>
      <c r="Z337" s="379">
        <v>5821001</v>
      </c>
      <c r="AA337" s="379" t="s">
        <v>2427</v>
      </c>
      <c r="AB337" s="380">
        <f t="shared" si="4"/>
        <v>0.9</v>
      </c>
    </row>
    <row r="338" spans="1:28" outlineLevel="2" x14ac:dyDescent="0.3">
      <c r="A338" s="379">
        <v>654</v>
      </c>
      <c r="B338" s="379">
        <v>812300</v>
      </c>
      <c r="C338" s="379" t="s">
        <v>585</v>
      </c>
      <c r="D338" s="379">
        <v>6293365</v>
      </c>
      <c r="E338" s="379" t="s">
        <v>2774</v>
      </c>
      <c r="F338" s="379" t="s">
        <v>2322</v>
      </c>
      <c r="G338" s="383">
        <v>41214</v>
      </c>
      <c r="H338" s="379">
        <v>33184.25</v>
      </c>
      <c r="I338" s="379">
        <v>158.05000000000001</v>
      </c>
      <c r="J338" s="379">
        <v>4330.59</v>
      </c>
      <c r="K338" s="379">
        <v>2488.9</v>
      </c>
      <c r="L338" s="379"/>
      <c r="M338" s="379"/>
      <c r="N338" s="379"/>
      <c r="O338" s="379"/>
      <c r="P338" s="379">
        <v>28659.25</v>
      </c>
      <c r="Q338" s="379">
        <v>1106</v>
      </c>
      <c r="R338" s="379"/>
      <c r="S338" s="379"/>
      <c r="T338" s="379">
        <v>3419</v>
      </c>
      <c r="U338" s="379"/>
      <c r="V338" s="380">
        <v>40161.79</v>
      </c>
      <c r="W338" s="381"/>
      <c r="X338" s="379">
        <v>1</v>
      </c>
      <c r="Y338" s="379" t="s">
        <v>2353</v>
      </c>
      <c r="Z338" s="379">
        <v>5931001</v>
      </c>
      <c r="AA338" s="379" t="s">
        <v>2320</v>
      </c>
      <c r="AB338" s="380">
        <f t="shared" si="4"/>
        <v>0</v>
      </c>
    </row>
    <row r="339" spans="1:28" outlineLevel="2" x14ac:dyDescent="0.3">
      <c r="A339" s="379">
        <v>654</v>
      </c>
      <c r="B339" s="379">
        <v>812300</v>
      </c>
      <c r="C339" s="379" t="s">
        <v>585</v>
      </c>
      <c r="D339" s="379">
        <v>6830954</v>
      </c>
      <c r="E339" s="379" t="s">
        <v>2340</v>
      </c>
      <c r="F339" s="379" t="s">
        <v>2517</v>
      </c>
      <c r="G339" s="383">
        <v>40422</v>
      </c>
      <c r="H339" s="379">
        <v>33780.300000000003</v>
      </c>
      <c r="I339" s="379">
        <v>311.8</v>
      </c>
      <c r="J339" s="379">
        <v>6445.37</v>
      </c>
      <c r="K339" s="379">
        <v>2533.6</v>
      </c>
      <c r="L339" s="379"/>
      <c r="M339" s="379">
        <v>119.45</v>
      </c>
      <c r="N339" s="379"/>
      <c r="O339" s="379">
        <v>33135.32</v>
      </c>
      <c r="P339" s="379">
        <v>304.58</v>
      </c>
      <c r="Q339" s="379">
        <v>340.4</v>
      </c>
      <c r="R339" s="379"/>
      <c r="S339" s="379"/>
      <c r="T339" s="379"/>
      <c r="U339" s="379"/>
      <c r="V339" s="380">
        <v>43190.52</v>
      </c>
      <c r="W339" s="381">
        <v>4</v>
      </c>
      <c r="X339" s="379"/>
      <c r="Y339" s="379"/>
      <c r="Z339" s="379">
        <v>5821001</v>
      </c>
      <c r="AA339" s="379" t="s">
        <v>2427</v>
      </c>
      <c r="AB339" s="380">
        <f t="shared" si="4"/>
        <v>0.33333333333333331</v>
      </c>
    </row>
    <row r="340" spans="1:28" outlineLevel="2" x14ac:dyDescent="0.3">
      <c r="A340" s="379">
        <v>654</v>
      </c>
      <c r="B340" s="379">
        <v>812300</v>
      </c>
      <c r="C340" s="379" t="s">
        <v>585</v>
      </c>
      <c r="D340" s="379">
        <v>6830956</v>
      </c>
      <c r="E340" s="379" t="s">
        <v>2486</v>
      </c>
      <c r="F340" s="379" t="s">
        <v>2366</v>
      </c>
      <c r="G340" s="383">
        <v>41883</v>
      </c>
      <c r="H340" s="379">
        <v>58066.02</v>
      </c>
      <c r="I340" s="379">
        <v>2517.81</v>
      </c>
      <c r="J340" s="379">
        <v>10713.12</v>
      </c>
      <c r="K340" s="379">
        <v>4392.1499999999996</v>
      </c>
      <c r="L340" s="379"/>
      <c r="M340" s="379">
        <v>172.16</v>
      </c>
      <c r="N340" s="379"/>
      <c r="O340" s="379">
        <v>48146.02</v>
      </c>
      <c r="P340" s="379">
        <v>2390.12</v>
      </c>
      <c r="Q340" s="379">
        <v>1814.48</v>
      </c>
      <c r="R340" s="379"/>
      <c r="S340" s="379"/>
      <c r="T340" s="379">
        <v>5715.4</v>
      </c>
      <c r="U340" s="379"/>
      <c r="V340" s="380">
        <v>75861.259999999995</v>
      </c>
      <c r="W340" s="381">
        <v>6.8</v>
      </c>
      <c r="X340" s="379"/>
      <c r="Y340" s="379"/>
      <c r="Z340" s="379">
        <v>5821001</v>
      </c>
      <c r="AA340" s="379" t="s">
        <v>2427</v>
      </c>
      <c r="AB340" s="380">
        <f t="shared" si="4"/>
        <v>0.56666666666666665</v>
      </c>
    </row>
    <row r="341" spans="1:28" outlineLevel="2" x14ac:dyDescent="0.3">
      <c r="A341" s="379">
        <v>654</v>
      </c>
      <c r="B341" s="379">
        <v>812300</v>
      </c>
      <c r="C341" s="379" t="s">
        <v>585</v>
      </c>
      <c r="D341" s="379">
        <v>6939875</v>
      </c>
      <c r="E341" s="379" t="s">
        <v>2739</v>
      </c>
      <c r="F341" s="379" t="s">
        <v>2740</v>
      </c>
      <c r="G341" s="383">
        <v>40087</v>
      </c>
      <c r="H341" s="379">
        <v>67743.240000000005</v>
      </c>
      <c r="I341" s="379">
        <v>3185.76</v>
      </c>
      <c r="J341" s="379">
        <v>13594.34</v>
      </c>
      <c r="K341" s="379">
        <v>5117.8500000000004</v>
      </c>
      <c r="L341" s="379"/>
      <c r="M341" s="379">
        <v>211.8</v>
      </c>
      <c r="N341" s="379"/>
      <c r="O341" s="379">
        <v>59296.44</v>
      </c>
      <c r="P341" s="379"/>
      <c r="Q341" s="379">
        <v>680.8</v>
      </c>
      <c r="R341" s="379"/>
      <c r="S341" s="379"/>
      <c r="T341" s="379">
        <v>7766</v>
      </c>
      <c r="U341" s="379"/>
      <c r="V341" s="380">
        <v>89852.99</v>
      </c>
      <c r="W341" s="381">
        <v>8</v>
      </c>
      <c r="X341" s="379"/>
      <c r="Y341" s="379"/>
      <c r="Z341" s="379">
        <v>5821001</v>
      </c>
      <c r="AA341" s="379" t="s">
        <v>2427</v>
      </c>
      <c r="AB341" s="380">
        <f t="shared" si="4"/>
        <v>0.66666666666666663</v>
      </c>
    </row>
    <row r="342" spans="1:28" outlineLevel="2" x14ac:dyDescent="0.3">
      <c r="A342" s="379">
        <v>654</v>
      </c>
      <c r="B342" s="379">
        <v>812300</v>
      </c>
      <c r="C342" s="379" t="s">
        <v>585</v>
      </c>
      <c r="D342" s="379">
        <v>20024443</v>
      </c>
      <c r="E342" s="379" t="s">
        <v>2741</v>
      </c>
      <c r="F342" s="379" t="s">
        <v>2694</v>
      </c>
      <c r="G342" s="383">
        <v>41275</v>
      </c>
      <c r="H342" s="379">
        <v>68700.100000000006</v>
      </c>
      <c r="I342" s="379">
        <v>3259.23</v>
      </c>
      <c r="J342" s="379">
        <v>12898.18</v>
      </c>
      <c r="K342" s="379">
        <v>5189.7</v>
      </c>
      <c r="L342" s="379"/>
      <c r="M342" s="379">
        <v>207.2</v>
      </c>
      <c r="N342" s="379"/>
      <c r="O342" s="379">
        <v>55678.35</v>
      </c>
      <c r="P342" s="379">
        <v>3292.95</v>
      </c>
      <c r="Q342" s="379">
        <v>1872.8</v>
      </c>
      <c r="R342" s="379"/>
      <c r="S342" s="379"/>
      <c r="T342" s="379">
        <v>6038</v>
      </c>
      <c r="U342" s="379">
        <v>1818</v>
      </c>
      <c r="V342" s="380">
        <v>90254.41</v>
      </c>
      <c r="W342" s="381">
        <v>8</v>
      </c>
      <c r="X342" s="379"/>
      <c r="Y342" s="379"/>
      <c r="Z342" s="379">
        <v>5821001</v>
      </c>
      <c r="AA342" s="379" t="s">
        <v>2427</v>
      </c>
      <c r="AB342" s="380">
        <f t="shared" si="4"/>
        <v>0.66666666666666663</v>
      </c>
    </row>
    <row r="343" spans="1:28" outlineLevel="2" x14ac:dyDescent="0.3">
      <c r="A343" s="379">
        <v>654</v>
      </c>
      <c r="B343" s="379">
        <v>812300</v>
      </c>
      <c r="C343" s="379" t="s">
        <v>585</v>
      </c>
      <c r="D343" s="379">
        <v>20313290</v>
      </c>
      <c r="E343" s="379" t="s">
        <v>2318</v>
      </c>
      <c r="F343" s="379" t="s">
        <v>2744</v>
      </c>
      <c r="G343" s="383">
        <v>43160</v>
      </c>
      <c r="H343" s="379">
        <v>51989.120000000003</v>
      </c>
      <c r="I343" s="379">
        <v>1863.22</v>
      </c>
      <c r="J343" s="379">
        <v>9040.26</v>
      </c>
      <c r="K343" s="379">
        <v>3936.39</v>
      </c>
      <c r="L343" s="379"/>
      <c r="M343" s="379">
        <v>170.51</v>
      </c>
      <c r="N343" s="379"/>
      <c r="O343" s="379">
        <v>41878.31</v>
      </c>
      <c r="P343" s="379">
        <v>3797.61</v>
      </c>
      <c r="Q343" s="379">
        <v>1788</v>
      </c>
      <c r="R343" s="379"/>
      <c r="S343" s="379"/>
      <c r="T343" s="379">
        <v>977.04</v>
      </c>
      <c r="U343" s="379">
        <v>3548.16</v>
      </c>
      <c r="V343" s="380">
        <v>66999.5</v>
      </c>
      <c r="W343" s="381">
        <v>6.72</v>
      </c>
      <c r="X343" s="379"/>
      <c r="Y343" s="379"/>
      <c r="Z343" s="379">
        <v>5821001</v>
      </c>
      <c r="AA343" s="379" t="s">
        <v>2427</v>
      </c>
      <c r="AB343" s="380">
        <f t="shared" si="4"/>
        <v>0.55999999999999994</v>
      </c>
    </row>
    <row r="344" spans="1:28" outlineLevel="2" x14ac:dyDescent="0.3">
      <c r="A344" s="379">
        <v>654</v>
      </c>
      <c r="B344" s="379">
        <v>812300</v>
      </c>
      <c r="C344" s="379" t="s">
        <v>585</v>
      </c>
      <c r="D344" s="379">
        <v>20384139</v>
      </c>
      <c r="E344" s="379" t="s">
        <v>2743</v>
      </c>
      <c r="F344" s="379" t="s">
        <v>2744</v>
      </c>
      <c r="G344" s="383">
        <v>43435</v>
      </c>
      <c r="H344" s="379">
        <v>1260.5</v>
      </c>
      <c r="I344" s="379">
        <v>44.75</v>
      </c>
      <c r="J344" s="379">
        <v>147.35</v>
      </c>
      <c r="K344" s="379">
        <v>94.56</v>
      </c>
      <c r="L344" s="379"/>
      <c r="M344" s="379"/>
      <c r="N344" s="379"/>
      <c r="O344" s="379"/>
      <c r="P344" s="379">
        <v>1091.5</v>
      </c>
      <c r="Q344" s="379">
        <v>169</v>
      </c>
      <c r="R344" s="379"/>
      <c r="S344" s="379"/>
      <c r="T344" s="379"/>
      <c r="U344" s="379"/>
      <c r="V344" s="380">
        <v>1547.16</v>
      </c>
      <c r="W344" s="381"/>
      <c r="X344" s="379"/>
      <c r="Y344" s="379"/>
      <c r="Z344" s="379">
        <v>5821001</v>
      </c>
      <c r="AA344" s="379" t="s">
        <v>2427</v>
      </c>
      <c r="AB344" s="380">
        <f t="shared" si="4"/>
        <v>0</v>
      </c>
    </row>
    <row r="345" spans="1:28" outlineLevel="2" x14ac:dyDescent="0.3">
      <c r="A345" s="379">
        <v>654</v>
      </c>
      <c r="B345" s="379">
        <v>812300</v>
      </c>
      <c r="C345" s="379" t="s">
        <v>585</v>
      </c>
      <c r="D345" s="379">
        <v>30308712</v>
      </c>
      <c r="E345" s="379" t="s">
        <v>2775</v>
      </c>
      <c r="F345" s="379" t="s">
        <v>2776</v>
      </c>
      <c r="G345" s="383">
        <v>42705</v>
      </c>
      <c r="H345" s="379">
        <v>72795.58</v>
      </c>
      <c r="I345" s="379">
        <v>2991.07</v>
      </c>
      <c r="J345" s="379">
        <v>12863.95</v>
      </c>
      <c r="K345" s="379">
        <v>5496.81</v>
      </c>
      <c r="L345" s="379"/>
      <c r="M345" s="379">
        <v>223.47</v>
      </c>
      <c r="N345" s="379"/>
      <c r="O345" s="379">
        <v>59835.34</v>
      </c>
      <c r="P345" s="379">
        <v>5859.67</v>
      </c>
      <c r="Q345" s="379">
        <v>2353.9499999999998</v>
      </c>
      <c r="R345" s="379"/>
      <c r="S345" s="379">
        <v>1302.82</v>
      </c>
      <c r="T345" s="379">
        <v>4613.8</v>
      </c>
      <c r="U345" s="379">
        <v>-1170</v>
      </c>
      <c r="V345" s="380">
        <v>94370.880000000005</v>
      </c>
      <c r="W345" s="381">
        <v>8.6</v>
      </c>
      <c r="X345" s="379"/>
      <c r="Y345" s="379"/>
      <c r="Z345" s="379">
        <v>5821001</v>
      </c>
      <c r="AA345" s="379" t="s">
        <v>2427</v>
      </c>
      <c r="AB345" s="380">
        <f t="shared" si="4"/>
        <v>0.71666666666666667</v>
      </c>
    </row>
    <row r="346" spans="1:28" outlineLevel="2" x14ac:dyDescent="0.3">
      <c r="A346" s="379">
        <v>654</v>
      </c>
      <c r="B346" s="379">
        <v>812300</v>
      </c>
      <c r="C346" s="379" t="s">
        <v>585</v>
      </c>
      <c r="D346" s="379">
        <v>31615191</v>
      </c>
      <c r="E346" s="379" t="s">
        <v>2777</v>
      </c>
      <c r="F346" s="379" t="s">
        <v>2778</v>
      </c>
      <c r="G346" s="383">
        <v>43800</v>
      </c>
      <c r="H346" s="379">
        <v>1511.98</v>
      </c>
      <c r="I346" s="379">
        <v>53.74</v>
      </c>
      <c r="J346" s="379"/>
      <c r="K346" s="379">
        <v>113.46</v>
      </c>
      <c r="L346" s="379"/>
      <c r="M346" s="379"/>
      <c r="N346" s="379"/>
      <c r="O346" s="379">
        <v>398</v>
      </c>
      <c r="P346" s="379">
        <v>928.48</v>
      </c>
      <c r="Q346" s="379">
        <v>185.5</v>
      </c>
      <c r="R346" s="379"/>
      <c r="S346" s="379"/>
      <c r="T346" s="379"/>
      <c r="U346" s="379"/>
      <c r="V346" s="380">
        <v>1679.18</v>
      </c>
      <c r="W346" s="381"/>
      <c r="X346" s="379"/>
      <c r="Y346" s="379"/>
      <c r="Z346" s="379">
        <v>5821001</v>
      </c>
      <c r="AA346" s="379" t="s">
        <v>2427</v>
      </c>
      <c r="AB346" s="380">
        <f t="shared" si="4"/>
        <v>0</v>
      </c>
    </row>
    <row r="347" spans="1:28" outlineLevel="2" x14ac:dyDescent="0.3">
      <c r="A347" s="379">
        <v>654</v>
      </c>
      <c r="B347" s="379">
        <v>812300</v>
      </c>
      <c r="C347" s="379" t="s">
        <v>585</v>
      </c>
      <c r="D347" s="379">
        <v>32152498</v>
      </c>
      <c r="E347" s="379" t="s">
        <v>2779</v>
      </c>
      <c r="F347" s="379" t="s">
        <v>2780</v>
      </c>
      <c r="G347" s="383">
        <v>43466</v>
      </c>
      <c r="H347" s="379">
        <v>16009.75</v>
      </c>
      <c r="I347" s="379">
        <v>568.35</v>
      </c>
      <c r="J347" s="379">
        <v>2080.87</v>
      </c>
      <c r="K347" s="379">
        <v>1200.7</v>
      </c>
      <c r="L347" s="379"/>
      <c r="M347" s="379"/>
      <c r="N347" s="379"/>
      <c r="O347" s="379"/>
      <c r="P347" s="379">
        <v>15413.75</v>
      </c>
      <c r="Q347" s="379">
        <v>596</v>
      </c>
      <c r="R347" s="379"/>
      <c r="S347" s="379"/>
      <c r="T347" s="379"/>
      <c r="U347" s="379"/>
      <c r="V347" s="380">
        <v>19859.669999999998</v>
      </c>
      <c r="W347" s="381"/>
      <c r="X347" s="379"/>
      <c r="Y347" s="379"/>
      <c r="Z347" s="379">
        <v>0</v>
      </c>
      <c r="AA347" s="379"/>
      <c r="AB347" s="380">
        <f t="shared" si="4"/>
        <v>0</v>
      </c>
    </row>
    <row r="348" spans="1:28" outlineLevel="2" x14ac:dyDescent="0.3">
      <c r="A348" s="379">
        <v>654</v>
      </c>
      <c r="B348" s="379">
        <v>812300</v>
      </c>
      <c r="C348" s="379" t="s">
        <v>585</v>
      </c>
      <c r="D348" s="379">
        <v>32152498</v>
      </c>
      <c r="E348" s="379" t="s">
        <v>2779</v>
      </c>
      <c r="F348" s="379" t="s">
        <v>2780</v>
      </c>
      <c r="G348" s="383">
        <v>43466</v>
      </c>
      <c r="H348" s="379">
        <v>21578.75</v>
      </c>
      <c r="I348" s="379">
        <v>766.05</v>
      </c>
      <c r="J348" s="379">
        <v>1838.83</v>
      </c>
      <c r="K348" s="379">
        <v>1618.44</v>
      </c>
      <c r="L348" s="379"/>
      <c r="M348" s="379">
        <v>59.07</v>
      </c>
      <c r="N348" s="379"/>
      <c r="O348" s="379">
        <v>15213.48</v>
      </c>
      <c r="P348" s="379">
        <v>5681.79</v>
      </c>
      <c r="Q348" s="379">
        <v>683.48</v>
      </c>
      <c r="R348" s="379"/>
      <c r="S348" s="379"/>
      <c r="T348" s="379"/>
      <c r="U348" s="379"/>
      <c r="V348" s="380">
        <v>25861.14</v>
      </c>
      <c r="W348" s="381">
        <v>2.4</v>
      </c>
      <c r="X348" s="379"/>
      <c r="Y348" s="379"/>
      <c r="Z348" s="379">
        <v>5821001</v>
      </c>
      <c r="AA348" s="379" t="s">
        <v>2427</v>
      </c>
      <c r="AB348" s="380">
        <f t="shared" si="4"/>
        <v>0.19999999999999998</v>
      </c>
    </row>
    <row r="349" spans="1:28" outlineLevel="1" x14ac:dyDescent="0.3">
      <c r="A349" s="379"/>
      <c r="B349" s="384" t="s">
        <v>2781</v>
      </c>
      <c r="C349" s="379"/>
      <c r="D349" s="379"/>
      <c r="E349" s="379"/>
      <c r="F349" s="379"/>
      <c r="G349" s="383"/>
      <c r="H349" s="379"/>
      <c r="I349" s="379"/>
      <c r="J349" s="379"/>
      <c r="K349" s="379"/>
      <c r="L349" s="379"/>
      <c r="M349" s="379"/>
      <c r="N349" s="379"/>
      <c r="O349" s="379"/>
      <c r="P349" s="379"/>
      <c r="Q349" s="379"/>
      <c r="R349" s="379"/>
      <c r="S349" s="379"/>
      <c r="T349" s="379"/>
      <c r="U349" s="379"/>
      <c r="V349" s="380">
        <f>SUBTOTAL(9,V306:V348)</f>
        <v>2272804.2799999998</v>
      </c>
      <c r="W349" s="381">
        <f>SUBTOTAL(9,W306:W348)</f>
        <v>186.82000000000002</v>
      </c>
      <c r="X349" s="379"/>
      <c r="Y349" s="379"/>
      <c r="Z349" s="379"/>
      <c r="AA349" s="379"/>
      <c r="AB349" s="380">
        <f>SUBTOTAL(9,AB306:AB348)</f>
        <v>15.568333333333333</v>
      </c>
    </row>
    <row r="350" spans="1:28" outlineLevel="2" x14ac:dyDescent="0.3">
      <c r="A350" s="379">
        <v>654</v>
      </c>
      <c r="B350" s="379">
        <v>812400</v>
      </c>
      <c r="C350" s="379" t="s">
        <v>428</v>
      </c>
      <c r="D350" s="379">
        <v>2564922</v>
      </c>
      <c r="E350" s="379" t="s">
        <v>2384</v>
      </c>
      <c r="F350" s="379" t="s">
        <v>2782</v>
      </c>
      <c r="G350" s="383">
        <v>40422</v>
      </c>
      <c r="H350" s="379">
        <v>81312.36</v>
      </c>
      <c r="I350" s="379">
        <v>3246.46</v>
      </c>
      <c r="J350" s="379">
        <v>17016.39</v>
      </c>
      <c r="K350" s="379">
        <v>6135.6</v>
      </c>
      <c r="L350" s="379"/>
      <c r="M350" s="379">
        <v>280.5</v>
      </c>
      <c r="N350" s="379"/>
      <c r="O350" s="379">
        <v>70006.77</v>
      </c>
      <c r="P350" s="379">
        <v>130.38999999999999</v>
      </c>
      <c r="Q350" s="379">
        <v>2809.2</v>
      </c>
      <c r="R350" s="379"/>
      <c r="S350" s="379"/>
      <c r="T350" s="379">
        <v>7766</v>
      </c>
      <c r="U350" s="379">
        <v>600</v>
      </c>
      <c r="V350" s="380">
        <v>107991.31</v>
      </c>
      <c r="W350" s="381">
        <v>12</v>
      </c>
      <c r="X350" s="379">
        <v>24</v>
      </c>
      <c r="Y350" s="379" t="s">
        <v>2783</v>
      </c>
      <c r="Z350" s="379">
        <v>3202002</v>
      </c>
      <c r="AA350" s="379" t="s">
        <v>2290</v>
      </c>
      <c r="AB350" s="380">
        <f t="shared" si="4"/>
        <v>1</v>
      </c>
    </row>
    <row r="351" spans="1:28" outlineLevel="2" x14ac:dyDescent="0.3">
      <c r="A351" s="379">
        <v>654</v>
      </c>
      <c r="B351" s="379">
        <v>812400</v>
      </c>
      <c r="C351" s="379" t="s">
        <v>428</v>
      </c>
      <c r="D351" s="379">
        <v>2887945</v>
      </c>
      <c r="E351" s="379" t="s">
        <v>2749</v>
      </c>
      <c r="F351" s="379" t="s">
        <v>2694</v>
      </c>
      <c r="G351" s="383">
        <v>35034</v>
      </c>
      <c r="H351" s="379">
        <v>87611.39</v>
      </c>
      <c r="I351" s="379">
        <v>3697.48</v>
      </c>
      <c r="J351" s="379">
        <v>8399.0499999999993</v>
      </c>
      <c r="K351" s="379">
        <v>6608.05</v>
      </c>
      <c r="L351" s="379"/>
      <c r="M351" s="379">
        <v>311.55</v>
      </c>
      <c r="N351" s="379"/>
      <c r="O351" s="379">
        <v>77852.34</v>
      </c>
      <c r="P351" s="379">
        <v>18.77</v>
      </c>
      <c r="Q351" s="379">
        <v>2750.88</v>
      </c>
      <c r="R351" s="379"/>
      <c r="S351" s="379"/>
      <c r="T351" s="379">
        <v>6989.4</v>
      </c>
      <c r="U351" s="379"/>
      <c r="V351" s="380">
        <v>106627.52</v>
      </c>
      <c r="W351" s="381">
        <v>10.8</v>
      </c>
      <c r="X351" s="379">
        <v>5</v>
      </c>
      <c r="Y351" s="379" t="s">
        <v>2666</v>
      </c>
      <c r="Z351" s="379">
        <v>5821001</v>
      </c>
      <c r="AA351" s="379" t="s">
        <v>2427</v>
      </c>
      <c r="AB351" s="380">
        <f t="shared" si="4"/>
        <v>0.9</v>
      </c>
    </row>
    <row r="352" spans="1:28" outlineLevel="2" x14ac:dyDescent="0.3">
      <c r="A352" s="379">
        <v>654</v>
      </c>
      <c r="B352" s="379">
        <v>812400</v>
      </c>
      <c r="C352" s="379" t="s">
        <v>428</v>
      </c>
      <c r="D352" s="379">
        <v>5905505</v>
      </c>
      <c r="E352" s="379" t="s">
        <v>2784</v>
      </c>
      <c r="F352" s="379" t="s">
        <v>2352</v>
      </c>
      <c r="G352" s="383">
        <v>41760</v>
      </c>
      <c r="H352" s="379">
        <v>75231.27</v>
      </c>
      <c r="I352" s="379">
        <v>2843.98</v>
      </c>
      <c r="J352" s="379">
        <v>15735.2</v>
      </c>
      <c r="K352" s="379">
        <v>5679.5</v>
      </c>
      <c r="L352" s="379"/>
      <c r="M352" s="379">
        <v>268.45</v>
      </c>
      <c r="N352" s="379"/>
      <c r="O352" s="379">
        <v>67139.87</v>
      </c>
      <c r="P352" s="379"/>
      <c r="Q352" s="379">
        <v>2663.4</v>
      </c>
      <c r="R352" s="379"/>
      <c r="S352" s="379"/>
      <c r="T352" s="379">
        <v>5428</v>
      </c>
      <c r="U352" s="379"/>
      <c r="V352" s="380">
        <v>99758.399999999994</v>
      </c>
      <c r="W352" s="381">
        <v>12</v>
      </c>
      <c r="X352" s="379">
        <v>1</v>
      </c>
      <c r="Y352" s="379" t="s">
        <v>2353</v>
      </c>
      <c r="Z352" s="379">
        <v>5931001</v>
      </c>
      <c r="AA352" s="379" t="s">
        <v>2320</v>
      </c>
      <c r="AB352" s="380">
        <f t="shared" si="4"/>
        <v>1</v>
      </c>
    </row>
    <row r="353" spans="1:28" outlineLevel="2" x14ac:dyDescent="0.3">
      <c r="A353" s="379">
        <v>654</v>
      </c>
      <c r="B353" s="379">
        <v>812400</v>
      </c>
      <c r="C353" s="379" t="s">
        <v>428</v>
      </c>
      <c r="D353" s="379">
        <v>6777597</v>
      </c>
      <c r="E353" s="379" t="s">
        <v>2384</v>
      </c>
      <c r="F353" s="379" t="s">
        <v>2385</v>
      </c>
      <c r="G353" s="383">
        <v>42278</v>
      </c>
      <c r="H353" s="379">
        <v>236</v>
      </c>
      <c r="I353" s="379">
        <v>8.3699999999999992</v>
      </c>
      <c r="J353" s="379">
        <v>31.86</v>
      </c>
      <c r="K353" s="379">
        <v>17.7</v>
      </c>
      <c r="L353" s="379"/>
      <c r="M353" s="379"/>
      <c r="N353" s="379"/>
      <c r="O353" s="379"/>
      <c r="P353" s="379">
        <v>236</v>
      </c>
      <c r="Q353" s="379"/>
      <c r="R353" s="379"/>
      <c r="S353" s="379"/>
      <c r="T353" s="379"/>
      <c r="U353" s="379"/>
      <c r="V353" s="380">
        <v>293.93</v>
      </c>
      <c r="W353" s="381"/>
      <c r="X353" s="379">
        <v>1</v>
      </c>
      <c r="Y353" s="379" t="s">
        <v>2353</v>
      </c>
      <c r="Z353" s="379">
        <v>5923001</v>
      </c>
      <c r="AA353" s="379" t="s">
        <v>2354</v>
      </c>
      <c r="AB353" s="380">
        <f t="shared" si="4"/>
        <v>0</v>
      </c>
    </row>
    <row r="354" spans="1:28" outlineLevel="1" x14ac:dyDescent="0.3">
      <c r="A354" s="379"/>
      <c r="B354" s="384" t="s">
        <v>2785</v>
      </c>
      <c r="C354" s="379"/>
      <c r="D354" s="379"/>
      <c r="E354" s="379"/>
      <c r="F354" s="379"/>
      <c r="G354" s="383"/>
      <c r="H354" s="379"/>
      <c r="I354" s="379"/>
      <c r="J354" s="379"/>
      <c r="K354" s="379"/>
      <c r="L354" s="379"/>
      <c r="M354" s="379"/>
      <c r="N354" s="379"/>
      <c r="O354" s="379"/>
      <c r="P354" s="379"/>
      <c r="Q354" s="379"/>
      <c r="R354" s="379"/>
      <c r="S354" s="379"/>
      <c r="T354" s="379"/>
      <c r="U354" s="379"/>
      <c r="V354" s="380">
        <f>SUBTOTAL(9,V350:V353)</f>
        <v>314671.15999999997</v>
      </c>
      <c r="W354" s="381">
        <f>SUBTOTAL(9,W350:W353)</f>
        <v>34.799999999999997</v>
      </c>
      <c r="X354" s="379"/>
      <c r="Y354" s="379"/>
      <c r="Z354" s="379"/>
      <c r="AA354" s="379"/>
      <c r="AB354" s="380">
        <f>SUBTOTAL(9,AB350:AB353)</f>
        <v>2.9</v>
      </c>
    </row>
    <row r="355" spans="1:28" outlineLevel="2" x14ac:dyDescent="0.3">
      <c r="A355" s="379">
        <v>654</v>
      </c>
      <c r="B355" s="379">
        <v>813200</v>
      </c>
      <c r="C355" s="379" t="s">
        <v>1358</v>
      </c>
      <c r="D355" s="379">
        <v>31615191</v>
      </c>
      <c r="E355" s="379" t="s">
        <v>2777</v>
      </c>
      <c r="F355" s="379" t="s">
        <v>2778</v>
      </c>
      <c r="G355" s="383">
        <v>43800</v>
      </c>
      <c r="H355" s="379">
        <v>3659.99</v>
      </c>
      <c r="I355" s="379">
        <v>129.86000000000001</v>
      </c>
      <c r="J355" s="379"/>
      <c r="K355" s="379">
        <v>274.44</v>
      </c>
      <c r="L355" s="379"/>
      <c r="M355" s="379">
        <v>14.55</v>
      </c>
      <c r="N355" s="379"/>
      <c r="O355" s="379">
        <v>3638.12</v>
      </c>
      <c r="P355" s="379"/>
      <c r="Q355" s="379">
        <v>21.87</v>
      </c>
      <c r="R355" s="379"/>
      <c r="S355" s="379"/>
      <c r="T355" s="379"/>
      <c r="U355" s="379"/>
      <c r="V355" s="380">
        <v>4078.84</v>
      </c>
      <c r="W355" s="381">
        <v>0.6</v>
      </c>
      <c r="X355" s="379"/>
      <c r="Y355" s="379"/>
      <c r="Z355" s="379">
        <v>5821001</v>
      </c>
      <c r="AA355" s="379" t="s">
        <v>2427</v>
      </c>
      <c r="AB355" s="380">
        <f t="shared" si="4"/>
        <v>4.9999999999999996E-2</v>
      </c>
    </row>
    <row r="356" spans="1:28" outlineLevel="1" x14ac:dyDescent="0.3">
      <c r="A356" s="379"/>
      <c r="B356" s="384" t="s">
        <v>2786</v>
      </c>
      <c r="C356" s="379"/>
      <c r="D356" s="379"/>
      <c r="E356" s="379"/>
      <c r="F356" s="379"/>
      <c r="G356" s="383"/>
      <c r="H356" s="379"/>
      <c r="I356" s="379"/>
      <c r="J356" s="379"/>
      <c r="K356" s="379"/>
      <c r="L356" s="379"/>
      <c r="M356" s="379"/>
      <c r="N356" s="379"/>
      <c r="O356" s="379"/>
      <c r="P356" s="379"/>
      <c r="Q356" s="379"/>
      <c r="R356" s="379"/>
      <c r="S356" s="379"/>
      <c r="T356" s="379"/>
      <c r="U356" s="379"/>
      <c r="V356" s="380">
        <f>SUBTOTAL(9,V355:V355)</f>
        <v>4078.84</v>
      </c>
      <c r="W356" s="381">
        <f>SUBTOTAL(9,W355:W355)</f>
        <v>0.6</v>
      </c>
      <c r="X356" s="379"/>
      <c r="Y356" s="379"/>
      <c r="Z356" s="379"/>
      <c r="AA356" s="379"/>
      <c r="AB356" s="380">
        <f>SUBTOTAL(9,AB355:AB355)</f>
        <v>4.9999999999999996E-2</v>
      </c>
    </row>
    <row r="357" spans="1:28" outlineLevel="2" x14ac:dyDescent="0.3">
      <c r="A357" s="379">
        <v>654</v>
      </c>
      <c r="B357" s="379">
        <v>813210</v>
      </c>
      <c r="C357" s="379" t="s">
        <v>1361</v>
      </c>
      <c r="D357" s="379">
        <v>2304011</v>
      </c>
      <c r="E357" s="379" t="s">
        <v>2787</v>
      </c>
      <c r="F357" s="379" t="s">
        <v>2694</v>
      </c>
      <c r="G357" s="383">
        <v>40057</v>
      </c>
      <c r="H357" s="379">
        <v>81273.899999999994</v>
      </c>
      <c r="I357" s="379">
        <v>3226.27</v>
      </c>
      <c r="J357" s="379">
        <v>17121.38</v>
      </c>
      <c r="K357" s="379">
        <v>6132.9</v>
      </c>
      <c r="L357" s="379"/>
      <c r="M357" s="379">
        <v>292.45</v>
      </c>
      <c r="N357" s="379"/>
      <c r="O357" s="379">
        <v>71416.460000000006</v>
      </c>
      <c r="P357" s="379">
        <v>1660.21</v>
      </c>
      <c r="Q357" s="379">
        <v>2763.03</v>
      </c>
      <c r="R357" s="379"/>
      <c r="S357" s="379"/>
      <c r="T357" s="379">
        <v>5434.2</v>
      </c>
      <c r="U357" s="379"/>
      <c r="V357" s="380">
        <v>108046.9</v>
      </c>
      <c r="W357" s="381">
        <v>11.05</v>
      </c>
      <c r="X357" s="379"/>
      <c r="Y357" s="379"/>
      <c r="Z357" s="379">
        <v>1027</v>
      </c>
      <c r="AA357" s="379" t="s">
        <v>2383</v>
      </c>
      <c r="AB357" s="380">
        <f t="shared" ref="AB357:AB423" si="5">W357/12</f>
        <v>0.92083333333333339</v>
      </c>
    </row>
    <row r="358" spans="1:28" outlineLevel="2" x14ac:dyDescent="0.3">
      <c r="A358" s="379">
        <v>654</v>
      </c>
      <c r="B358" s="379">
        <v>813210</v>
      </c>
      <c r="C358" s="379" t="s">
        <v>1361</v>
      </c>
      <c r="D358" s="379">
        <v>2888671</v>
      </c>
      <c r="E358" s="379" t="s">
        <v>2788</v>
      </c>
      <c r="F358" s="379" t="s">
        <v>2789</v>
      </c>
      <c r="G358" s="383">
        <v>34608</v>
      </c>
      <c r="H358" s="379">
        <v>103842.11</v>
      </c>
      <c r="I358" s="379">
        <v>4929.57</v>
      </c>
      <c r="J358" s="379">
        <v>9485.2099999999991</v>
      </c>
      <c r="K358" s="379">
        <v>7825.3</v>
      </c>
      <c r="L358" s="379"/>
      <c r="M358" s="379">
        <v>373.1</v>
      </c>
      <c r="N358" s="379"/>
      <c r="O358" s="379">
        <v>86544.57</v>
      </c>
      <c r="P358" s="379">
        <v>2280.08</v>
      </c>
      <c r="Q358" s="379">
        <v>2809.2</v>
      </c>
      <c r="R358" s="379"/>
      <c r="S358" s="379"/>
      <c r="T358" s="379">
        <v>12208.26</v>
      </c>
      <c r="U358" s="379"/>
      <c r="V358" s="380">
        <v>126455.29</v>
      </c>
      <c r="W358" s="381">
        <v>12</v>
      </c>
      <c r="X358" s="379">
        <v>8</v>
      </c>
      <c r="Y358" s="379" t="s">
        <v>2383</v>
      </c>
      <c r="Z358" s="379">
        <v>5821001</v>
      </c>
      <c r="AA358" s="379" t="s">
        <v>2427</v>
      </c>
      <c r="AB358" s="380">
        <f t="shared" si="5"/>
        <v>1</v>
      </c>
    </row>
    <row r="359" spans="1:28" outlineLevel="2" x14ac:dyDescent="0.3">
      <c r="A359" s="379">
        <v>654</v>
      </c>
      <c r="B359" s="379">
        <v>813210</v>
      </c>
      <c r="C359" s="379" t="s">
        <v>1361</v>
      </c>
      <c r="D359" s="379">
        <v>3327779</v>
      </c>
      <c r="E359" s="379" t="s">
        <v>2790</v>
      </c>
      <c r="F359" s="379" t="s">
        <v>2791</v>
      </c>
      <c r="G359" s="383">
        <v>36373</v>
      </c>
      <c r="H359" s="379">
        <v>106329.4</v>
      </c>
      <c r="I359" s="379">
        <v>5118.1000000000004</v>
      </c>
      <c r="J359" s="379">
        <v>8254.7800000000007</v>
      </c>
      <c r="K359" s="379">
        <v>8011.95</v>
      </c>
      <c r="L359" s="379"/>
      <c r="M359" s="379">
        <v>361.35</v>
      </c>
      <c r="N359" s="379"/>
      <c r="O359" s="379">
        <v>88652.87</v>
      </c>
      <c r="P359" s="379">
        <v>1943.33</v>
      </c>
      <c r="Q359" s="379">
        <v>6169.2</v>
      </c>
      <c r="R359" s="379"/>
      <c r="S359" s="379"/>
      <c r="T359" s="379">
        <v>7334</v>
      </c>
      <c r="U359" s="379">
        <v>2230</v>
      </c>
      <c r="V359" s="380">
        <v>128075.58</v>
      </c>
      <c r="W359" s="381">
        <v>12</v>
      </c>
      <c r="X359" s="379">
        <v>21</v>
      </c>
      <c r="Y359" s="379" t="s">
        <v>2632</v>
      </c>
      <c r="Z359" s="379">
        <v>3202002</v>
      </c>
      <c r="AA359" s="379" t="s">
        <v>2290</v>
      </c>
      <c r="AB359" s="380">
        <f t="shared" si="5"/>
        <v>1</v>
      </c>
    </row>
    <row r="360" spans="1:28" outlineLevel="2" x14ac:dyDescent="0.3">
      <c r="A360" s="379">
        <v>654</v>
      </c>
      <c r="B360" s="379">
        <v>813210</v>
      </c>
      <c r="C360" s="379" t="s">
        <v>1361</v>
      </c>
      <c r="D360" s="379">
        <v>3655494</v>
      </c>
      <c r="E360" s="379" t="s">
        <v>2792</v>
      </c>
      <c r="F360" s="379" t="s">
        <v>2793</v>
      </c>
      <c r="G360" s="383">
        <v>42826</v>
      </c>
      <c r="H360" s="379">
        <v>442.5</v>
      </c>
      <c r="I360" s="379">
        <v>15.7</v>
      </c>
      <c r="J360" s="379">
        <v>59.73</v>
      </c>
      <c r="K360" s="379">
        <v>33.18</v>
      </c>
      <c r="L360" s="379"/>
      <c r="M360" s="379"/>
      <c r="N360" s="379"/>
      <c r="O360" s="379"/>
      <c r="P360" s="379">
        <v>442.5</v>
      </c>
      <c r="Q360" s="379"/>
      <c r="R360" s="379"/>
      <c r="S360" s="379"/>
      <c r="T360" s="379"/>
      <c r="U360" s="379"/>
      <c r="V360" s="380">
        <v>551.11</v>
      </c>
      <c r="W360" s="381"/>
      <c r="X360" s="379"/>
      <c r="Y360" s="379"/>
      <c r="Z360" s="379">
        <v>1027</v>
      </c>
      <c r="AA360" s="379" t="s">
        <v>2383</v>
      </c>
      <c r="AB360" s="380">
        <f t="shared" si="5"/>
        <v>0</v>
      </c>
    </row>
    <row r="361" spans="1:28" outlineLevel="2" x14ac:dyDescent="0.3">
      <c r="A361" s="379">
        <v>654</v>
      </c>
      <c r="B361" s="379">
        <v>813210</v>
      </c>
      <c r="C361" s="379" t="s">
        <v>1361</v>
      </c>
      <c r="D361" s="379">
        <v>5618605</v>
      </c>
      <c r="E361" s="379" t="s">
        <v>2457</v>
      </c>
      <c r="F361" s="379" t="s">
        <v>2658</v>
      </c>
      <c r="G361" s="383">
        <v>35309</v>
      </c>
      <c r="H361" s="379">
        <v>49406.879999999997</v>
      </c>
      <c r="I361" s="379">
        <v>1771.53</v>
      </c>
      <c r="J361" s="379">
        <v>4138.6000000000004</v>
      </c>
      <c r="K361" s="379">
        <v>3742.95</v>
      </c>
      <c r="L361" s="379"/>
      <c r="M361" s="379">
        <v>174.15</v>
      </c>
      <c r="N361" s="379"/>
      <c r="O361" s="379">
        <v>41847.279999999999</v>
      </c>
      <c r="P361" s="379"/>
      <c r="Q361" s="379">
        <v>4197.6000000000004</v>
      </c>
      <c r="R361" s="379"/>
      <c r="S361" s="379"/>
      <c r="T361" s="379">
        <v>3362</v>
      </c>
      <c r="U361" s="379"/>
      <c r="V361" s="380">
        <v>59234.11</v>
      </c>
      <c r="W361" s="381">
        <v>6</v>
      </c>
      <c r="X361" s="379">
        <v>1</v>
      </c>
      <c r="Y361" s="379" t="s">
        <v>2353</v>
      </c>
      <c r="Z361" s="379">
        <v>5931001</v>
      </c>
      <c r="AA361" s="379" t="s">
        <v>2320</v>
      </c>
      <c r="AB361" s="380">
        <f t="shared" si="5"/>
        <v>0.5</v>
      </c>
    </row>
    <row r="362" spans="1:28" outlineLevel="2" x14ac:dyDescent="0.3">
      <c r="A362" s="379">
        <v>654</v>
      </c>
      <c r="B362" s="379">
        <v>813210</v>
      </c>
      <c r="C362" s="379" t="s">
        <v>1361</v>
      </c>
      <c r="D362" s="379">
        <v>5877593</v>
      </c>
      <c r="E362" s="379" t="s">
        <v>2323</v>
      </c>
      <c r="F362" s="379" t="s">
        <v>2379</v>
      </c>
      <c r="G362" s="383">
        <v>42095</v>
      </c>
      <c r="H362" s="379">
        <v>63567.34</v>
      </c>
      <c r="I362" s="379">
        <v>2303.84</v>
      </c>
      <c r="J362" s="379">
        <v>13470.62</v>
      </c>
      <c r="K362" s="379">
        <v>4804.75</v>
      </c>
      <c r="L362" s="379"/>
      <c r="M362" s="379">
        <v>223.2</v>
      </c>
      <c r="N362" s="379"/>
      <c r="O362" s="379">
        <v>58195.34</v>
      </c>
      <c r="P362" s="379">
        <v>429.26</v>
      </c>
      <c r="Q362" s="379">
        <v>2228.7399999999998</v>
      </c>
      <c r="R362" s="379"/>
      <c r="S362" s="379"/>
      <c r="T362" s="379">
        <v>2714</v>
      </c>
      <c r="U362" s="379"/>
      <c r="V362" s="380">
        <v>84369.75</v>
      </c>
      <c r="W362" s="381">
        <v>9.85</v>
      </c>
      <c r="X362" s="379"/>
      <c r="Y362" s="379"/>
      <c r="Z362" s="379">
        <v>1027</v>
      </c>
      <c r="AA362" s="379" t="s">
        <v>2383</v>
      </c>
      <c r="AB362" s="380">
        <f t="shared" si="5"/>
        <v>0.8208333333333333</v>
      </c>
    </row>
    <row r="363" spans="1:28" outlineLevel="2" x14ac:dyDescent="0.3">
      <c r="A363" s="379">
        <v>654</v>
      </c>
      <c r="B363" s="379">
        <v>813210</v>
      </c>
      <c r="C363" s="379" t="s">
        <v>1361</v>
      </c>
      <c r="D363" s="379">
        <v>5904611</v>
      </c>
      <c r="E363" s="379" t="s">
        <v>2332</v>
      </c>
      <c r="F363" s="379" t="s">
        <v>2728</v>
      </c>
      <c r="G363" s="383">
        <v>40787</v>
      </c>
      <c r="H363" s="379">
        <v>9814.16</v>
      </c>
      <c r="I363" s="379">
        <v>348.31</v>
      </c>
      <c r="J363" s="379">
        <v>1928.12</v>
      </c>
      <c r="K363" s="379">
        <v>735.98</v>
      </c>
      <c r="L363" s="379"/>
      <c r="M363" s="379">
        <v>36.65</v>
      </c>
      <c r="N363" s="379"/>
      <c r="O363" s="379">
        <v>9181.85</v>
      </c>
      <c r="P363" s="379"/>
      <c r="Q363" s="379">
        <v>632.30999999999995</v>
      </c>
      <c r="R363" s="379"/>
      <c r="S363" s="379"/>
      <c r="T363" s="379"/>
      <c r="U363" s="379"/>
      <c r="V363" s="380">
        <v>12863.22</v>
      </c>
      <c r="W363" s="381">
        <v>1.56</v>
      </c>
      <c r="X363" s="379"/>
      <c r="Y363" s="379"/>
      <c r="Z363" s="379">
        <v>1401202</v>
      </c>
      <c r="AA363" s="379" t="s">
        <v>2380</v>
      </c>
      <c r="AB363" s="380">
        <f t="shared" si="5"/>
        <v>0.13</v>
      </c>
    </row>
    <row r="364" spans="1:28" outlineLevel="2" x14ac:dyDescent="0.3">
      <c r="A364" s="379">
        <v>654</v>
      </c>
      <c r="B364" s="379">
        <v>813210</v>
      </c>
      <c r="C364" s="379" t="s">
        <v>1361</v>
      </c>
      <c r="D364" s="379">
        <v>6670430</v>
      </c>
      <c r="E364" s="379" t="s">
        <v>2794</v>
      </c>
      <c r="F364" s="379" t="s">
        <v>2795</v>
      </c>
      <c r="G364" s="383">
        <v>43344</v>
      </c>
      <c r="H364" s="379">
        <v>8586.66</v>
      </c>
      <c r="I364" s="379">
        <v>311.70999999999998</v>
      </c>
      <c r="J364" s="379">
        <v>1846.47</v>
      </c>
      <c r="K364" s="379">
        <v>644.19000000000005</v>
      </c>
      <c r="L364" s="379"/>
      <c r="M364" s="379">
        <v>33.799999999999997</v>
      </c>
      <c r="N364" s="379"/>
      <c r="O364" s="379">
        <v>8425.0499999999993</v>
      </c>
      <c r="P364" s="379"/>
      <c r="Q364" s="379"/>
      <c r="R364" s="379"/>
      <c r="S364" s="379"/>
      <c r="T364" s="379">
        <v>161.61000000000001</v>
      </c>
      <c r="U364" s="379"/>
      <c r="V364" s="380">
        <v>11422.83</v>
      </c>
      <c r="W364" s="381">
        <v>1.2</v>
      </c>
      <c r="X364" s="379"/>
      <c r="Y364" s="379"/>
      <c r="Z364" s="379">
        <v>631001</v>
      </c>
      <c r="AA364" s="379" t="s">
        <v>2796</v>
      </c>
      <c r="AB364" s="380">
        <f t="shared" si="5"/>
        <v>9.9999999999999992E-2</v>
      </c>
    </row>
    <row r="365" spans="1:28" outlineLevel="2" x14ac:dyDescent="0.3">
      <c r="A365" s="379">
        <v>654</v>
      </c>
      <c r="B365" s="379">
        <v>813210</v>
      </c>
      <c r="C365" s="379" t="s">
        <v>1361</v>
      </c>
      <c r="D365" s="379">
        <v>6777597</v>
      </c>
      <c r="E365" s="379" t="s">
        <v>2384</v>
      </c>
      <c r="F365" s="379" t="s">
        <v>2385</v>
      </c>
      <c r="G365" s="383">
        <v>42278</v>
      </c>
      <c r="H365" s="379">
        <v>1180</v>
      </c>
      <c r="I365" s="379">
        <v>41.89</v>
      </c>
      <c r="J365" s="379">
        <v>159.30000000000001</v>
      </c>
      <c r="K365" s="379">
        <v>88.5</v>
      </c>
      <c r="L365" s="379"/>
      <c r="M365" s="379"/>
      <c r="N365" s="379"/>
      <c r="O365" s="379"/>
      <c r="P365" s="379">
        <v>1180</v>
      </c>
      <c r="Q365" s="379"/>
      <c r="R365" s="379"/>
      <c r="S365" s="379"/>
      <c r="T365" s="379"/>
      <c r="U365" s="379"/>
      <c r="V365" s="380">
        <v>1469.69</v>
      </c>
      <c r="W365" s="381"/>
      <c r="X365" s="379">
        <v>1</v>
      </c>
      <c r="Y365" s="379" t="s">
        <v>2353</v>
      </c>
      <c r="Z365" s="379">
        <v>5923001</v>
      </c>
      <c r="AA365" s="379" t="s">
        <v>2354</v>
      </c>
      <c r="AB365" s="380">
        <f t="shared" si="5"/>
        <v>0</v>
      </c>
    </row>
    <row r="366" spans="1:28" outlineLevel="2" x14ac:dyDescent="0.3">
      <c r="A366" s="379">
        <v>654</v>
      </c>
      <c r="B366" s="379">
        <v>813210</v>
      </c>
      <c r="C366" s="379" t="s">
        <v>1361</v>
      </c>
      <c r="D366" s="379">
        <v>6778241</v>
      </c>
      <c r="E366" s="379" t="s">
        <v>2720</v>
      </c>
      <c r="F366" s="379" t="s">
        <v>2797</v>
      </c>
      <c r="G366" s="383">
        <v>33239</v>
      </c>
      <c r="H366" s="379">
        <v>54870.35</v>
      </c>
      <c r="I366" s="379">
        <v>1963.66</v>
      </c>
      <c r="J366" s="379">
        <v>5284.09</v>
      </c>
      <c r="K366" s="379">
        <v>4152.55</v>
      </c>
      <c r="L366" s="379"/>
      <c r="M366" s="379">
        <v>188.35</v>
      </c>
      <c r="N366" s="379"/>
      <c r="O366" s="379">
        <v>43235.76</v>
      </c>
      <c r="P366" s="379">
        <v>1666.8</v>
      </c>
      <c r="Q366" s="379">
        <v>4197.6000000000004</v>
      </c>
      <c r="R366" s="379"/>
      <c r="S366" s="379"/>
      <c r="T366" s="379">
        <v>5770.19</v>
      </c>
      <c r="U366" s="379"/>
      <c r="V366" s="380">
        <v>66459</v>
      </c>
      <c r="W366" s="381">
        <v>6</v>
      </c>
      <c r="X366" s="379">
        <v>1</v>
      </c>
      <c r="Y366" s="379" t="s">
        <v>2353</v>
      </c>
      <c r="Z366" s="379">
        <v>5923001</v>
      </c>
      <c r="AA366" s="379" t="s">
        <v>2354</v>
      </c>
      <c r="AB366" s="380">
        <f t="shared" si="5"/>
        <v>0.5</v>
      </c>
    </row>
    <row r="367" spans="1:28" outlineLevel="2" x14ac:dyDescent="0.3">
      <c r="A367" s="379">
        <v>654</v>
      </c>
      <c r="B367" s="379">
        <v>813210</v>
      </c>
      <c r="C367" s="379" t="s">
        <v>1361</v>
      </c>
      <c r="D367" s="379">
        <v>6850406</v>
      </c>
      <c r="E367" s="379" t="s">
        <v>2634</v>
      </c>
      <c r="F367" s="379" t="s">
        <v>2363</v>
      </c>
      <c r="G367" s="383">
        <v>33208</v>
      </c>
      <c r="H367" s="379">
        <v>129792.97</v>
      </c>
      <c r="I367" s="379">
        <v>6901.82</v>
      </c>
      <c r="J367" s="379">
        <v>12320.56</v>
      </c>
      <c r="K367" s="379">
        <v>9771.7000000000007</v>
      </c>
      <c r="L367" s="379"/>
      <c r="M367" s="379">
        <v>460.6</v>
      </c>
      <c r="N367" s="379"/>
      <c r="O367" s="379">
        <v>93967.28</v>
      </c>
      <c r="P367" s="379">
        <v>14379.94</v>
      </c>
      <c r="Q367" s="379">
        <v>6169.2</v>
      </c>
      <c r="R367" s="379">
        <v>3067.2</v>
      </c>
      <c r="S367" s="379"/>
      <c r="T367" s="379">
        <v>12209.35</v>
      </c>
      <c r="U367" s="379"/>
      <c r="V367" s="380">
        <v>159247.65</v>
      </c>
      <c r="W367" s="381">
        <v>12</v>
      </c>
      <c r="X367" s="379">
        <v>111</v>
      </c>
      <c r="Y367" s="379" t="s">
        <v>2575</v>
      </c>
      <c r="Z367" s="379">
        <v>5302002</v>
      </c>
      <c r="AA367" s="379" t="s">
        <v>2467</v>
      </c>
      <c r="AB367" s="380">
        <f t="shared" si="5"/>
        <v>1</v>
      </c>
    </row>
    <row r="368" spans="1:28" outlineLevel="2" x14ac:dyDescent="0.3">
      <c r="A368" s="379">
        <v>654</v>
      </c>
      <c r="B368" s="379">
        <v>813210</v>
      </c>
      <c r="C368" s="379" t="s">
        <v>1361</v>
      </c>
      <c r="D368" s="379">
        <v>6939753</v>
      </c>
      <c r="E368" s="379" t="s">
        <v>2798</v>
      </c>
      <c r="F368" s="379" t="s">
        <v>2366</v>
      </c>
      <c r="G368" s="383">
        <v>35947</v>
      </c>
      <c r="H368" s="379">
        <v>48286.34</v>
      </c>
      <c r="I368" s="379">
        <v>1731.78</v>
      </c>
      <c r="J368" s="379">
        <v>4849.2</v>
      </c>
      <c r="K368" s="379">
        <v>3658.7</v>
      </c>
      <c r="L368" s="379"/>
      <c r="M368" s="379">
        <v>166.2</v>
      </c>
      <c r="N368" s="379"/>
      <c r="O368" s="379">
        <v>39885.300000000003</v>
      </c>
      <c r="P368" s="379">
        <v>874.88</v>
      </c>
      <c r="Q368" s="379">
        <v>4164.16</v>
      </c>
      <c r="R368" s="379"/>
      <c r="S368" s="379"/>
      <c r="T368" s="379">
        <v>3362</v>
      </c>
      <c r="U368" s="379"/>
      <c r="V368" s="380">
        <v>58692.22</v>
      </c>
      <c r="W368" s="381">
        <v>6</v>
      </c>
      <c r="X368" s="379">
        <v>1</v>
      </c>
      <c r="Y368" s="379" t="s">
        <v>2353</v>
      </c>
      <c r="Z368" s="379">
        <v>5923001</v>
      </c>
      <c r="AA368" s="379" t="s">
        <v>2354</v>
      </c>
      <c r="AB368" s="380">
        <f t="shared" si="5"/>
        <v>0.5</v>
      </c>
    </row>
    <row r="369" spans="1:28" outlineLevel="2" x14ac:dyDescent="0.3">
      <c r="A369" s="379">
        <v>654</v>
      </c>
      <c r="B369" s="379">
        <v>813210</v>
      </c>
      <c r="C369" s="379" t="s">
        <v>1361</v>
      </c>
      <c r="D369" s="379">
        <v>31590734</v>
      </c>
      <c r="E369" s="379" t="s">
        <v>2749</v>
      </c>
      <c r="F369" s="379" t="s">
        <v>2799</v>
      </c>
      <c r="G369" s="383">
        <v>43405</v>
      </c>
      <c r="H369" s="379">
        <v>958.75</v>
      </c>
      <c r="I369" s="379">
        <v>34.03</v>
      </c>
      <c r="J369" s="379">
        <v>129.44</v>
      </c>
      <c r="K369" s="379">
        <v>71.900000000000006</v>
      </c>
      <c r="L369" s="379"/>
      <c r="M369" s="379"/>
      <c r="N369" s="379"/>
      <c r="O369" s="379"/>
      <c r="P369" s="379">
        <v>958.75</v>
      </c>
      <c r="Q369" s="379"/>
      <c r="R369" s="379"/>
      <c r="S369" s="379"/>
      <c r="T369" s="379"/>
      <c r="U369" s="379"/>
      <c r="V369" s="380">
        <v>1194.1199999999999</v>
      </c>
      <c r="W369" s="381"/>
      <c r="X369" s="379"/>
      <c r="Y369" s="379"/>
      <c r="Z369" s="379">
        <v>1031001</v>
      </c>
      <c r="AA369" s="379" t="s">
        <v>2328</v>
      </c>
      <c r="AB369" s="380">
        <f t="shared" si="5"/>
        <v>0</v>
      </c>
    </row>
    <row r="370" spans="1:28" outlineLevel="1" x14ac:dyDescent="0.3">
      <c r="A370" s="379"/>
      <c r="B370" s="384" t="s">
        <v>2800</v>
      </c>
      <c r="C370" s="379"/>
      <c r="D370" s="379"/>
      <c r="E370" s="379"/>
      <c r="F370" s="379"/>
      <c r="G370" s="383"/>
      <c r="H370" s="379"/>
      <c r="I370" s="379"/>
      <c r="J370" s="379"/>
      <c r="K370" s="379"/>
      <c r="L370" s="379"/>
      <c r="M370" s="379"/>
      <c r="N370" s="379"/>
      <c r="O370" s="379"/>
      <c r="P370" s="379"/>
      <c r="Q370" s="379"/>
      <c r="R370" s="379"/>
      <c r="S370" s="379"/>
      <c r="T370" s="379"/>
      <c r="U370" s="379"/>
      <c r="V370" s="380">
        <f>SUBTOTAL(9,V357:V369)</f>
        <v>818081.46999999986</v>
      </c>
      <c r="W370" s="381">
        <f>SUBTOTAL(9,W357:W369)</f>
        <v>77.66</v>
      </c>
      <c r="X370" s="379"/>
      <c r="Y370" s="379"/>
      <c r="Z370" s="379"/>
      <c r="AA370" s="379"/>
      <c r="AB370" s="380">
        <f>SUBTOTAL(9,AB357:AB369)</f>
        <v>6.4716666666666667</v>
      </c>
    </row>
    <row r="371" spans="1:28" outlineLevel="2" x14ac:dyDescent="0.3">
      <c r="A371" s="379">
        <v>654</v>
      </c>
      <c r="B371" s="379">
        <v>813220</v>
      </c>
      <c r="C371" s="379" t="s">
        <v>1373</v>
      </c>
      <c r="D371" s="379">
        <v>2273751</v>
      </c>
      <c r="E371" s="379" t="s">
        <v>2524</v>
      </c>
      <c r="F371" s="379" t="s">
        <v>2450</v>
      </c>
      <c r="G371" s="383">
        <v>41944</v>
      </c>
      <c r="H371" s="379">
        <v>441.48</v>
      </c>
      <c r="I371" s="379">
        <v>15.75</v>
      </c>
      <c r="J371" s="379">
        <v>59.6</v>
      </c>
      <c r="K371" s="379">
        <v>33.19</v>
      </c>
      <c r="L371" s="379"/>
      <c r="M371" s="379"/>
      <c r="N371" s="379"/>
      <c r="O371" s="379"/>
      <c r="P371" s="379">
        <v>441.48</v>
      </c>
      <c r="Q371" s="379"/>
      <c r="R371" s="379"/>
      <c r="S371" s="379"/>
      <c r="T371" s="379"/>
      <c r="U371" s="379"/>
      <c r="V371" s="380">
        <v>550.02</v>
      </c>
      <c r="W371" s="381"/>
      <c r="X371" s="379">
        <v>12107</v>
      </c>
      <c r="Y371" s="379" t="s">
        <v>2801</v>
      </c>
      <c r="Z371" s="379">
        <v>1422001</v>
      </c>
      <c r="AA371" s="379" t="s">
        <v>2648</v>
      </c>
      <c r="AB371" s="380">
        <f t="shared" si="5"/>
        <v>0</v>
      </c>
    </row>
    <row r="372" spans="1:28" outlineLevel="2" x14ac:dyDescent="0.3">
      <c r="A372" s="379">
        <v>654</v>
      </c>
      <c r="B372" s="379">
        <v>813220</v>
      </c>
      <c r="C372" s="379" t="s">
        <v>1373</v>
      </c>
      <c r="D372" s="379">
        <v>2391375</v>
      </c>
      <c r="E372" s="379" t="s">
        <v>2802</v>
      </c>
      <c r="F372" s="379" t="s">
        <v>2478</v>
      </c>
      <c r="G372" s="383">
        <v>41883</v>
      </c>
      <c r="H372" s="379">
        <v>80527.23</v>
      </c>
      <c r="I372" s="379">
        <v>3678.05</v>
      </c>
      <c r="J372" s="379">
        <v>15428.75</v>
      </c>
      <c r="K372" s="379">
        <v>6076.77</v>
      </c>
      <c r="L372" s="379"/>
      <c r="M372" s="379">
        <v>289.05</v>
      </c>
      <c r="N372" s="379"/>
      <c r="O372" s="379">
        <v>66166.509999999995</v>
      </c>
      <c r="P372" s="379">
        <v>7077.44</v>
      </c>
      <c r="Q372" s="379">
        <v>1976</v>
      </c>
      <c r="R372" s="379">
        <v>1926</v>
      </c>
      <c r="S372" s="379"/>
      <c r="T372" s="379">
        <v>3381.28</v>
      </c>
      <c r="U372" s="379"/>
      <c r="V372" s="380">
        <v>105999.85</v>
      </c>
      <c r="W372" s="381">
        <v>10</v>
      </c>
      <c r="X372" s="379"/>
      <c r="Y372" s="379"/>
      <c r="Z372" s="379">
        <v>5302002</v>
      </c>
      <c r="AA372" s="379" t="s">
        <v>2467</v>
      </c>
      <c r="AB372" s="380">
        <f t="shared" si="5"/>
        <v>0.83333333333333337</v>
      </c>
    </row>
    <row r="373" spans="1:28" outlineLevel="2" x14ac:dyDescent="0.3">
      <c r="A373" s="379">
        <v>654</v>
      </c>
      <c r="B373" s="379">
        <v>813220</v>
      </c>
      <c r="C373" s="379" t="s">
        <v>1373</v>
      </c>
      <c r="D373" s="379">
        <v>2393447</v>
      </c>
      <c r="E373" s="379" t="s">
        <v>2803</v>
      </c>
      <c r="F373" s="379" t="s">
        <v>2644</v>
      </c>
      <c r="G373" s="383">
        <v>40787</v>
      </c>
      <c r="H373" s="379">
        <v>12716.48</v>
      </c>
      <c r="I373" s="379">
        <v>467.16</v>
      </c>
      <c r="J373" s="379">
        <v>2597.1</v>
      </c>
      <c r="K373" s="379">
        <v>953.75</v>
      </c>
      <c r="L373" s="379"/>
      <c r="M373" s="379">
        <v>49</v>
      </c>
      <c r="N373" s="379"/>
      <c r="O373" s="379">
        <v>12258</v>
      </c>
      <c r="P373" s="379"/>
      <c r="Q373" s="379">
        <v>458.48</v>
      </c>
      <c r="R373" s="379"/>
      <c r="S373" s="379"/>
      <c r="T373" s="379"/>
      <c r="U373" s="379"/>
      <c r="V373" s="380">
        <v>16783.490000000002</v>
      </c>
      <c r="W373" s="381">
        <v>1.8</v>
      </c>
      <c r="X373" s="379">
        <v>9</v>
      </c>
      <c r="Y373" s="379" t="s">
        <v>2804</v>
      </c>
      <c r="Z373" s="379">
        <v>1401202</v>
      </c>
      <c r="AA373" s="379" t="s">
        <v>2380</v>
      </c>
      <c r="AB373" s="380">
        <f t="shared" si="5"/>
        <v>0.15</v>
      </c>
    </row>
    <row r="374" spans="1:28" outlineLevel="2" x14ac:dyDescent="0.3">
      <c r="A374" s="379">
        <v>654</v>
      </c>
      <c r="B374" s="379">
        <v>813220</v>
      </c>
      <c r="C374" s="379" t="s">
        <v>1373</v>
      </c>
      <c r="D374" s="379">
        <v>2416438</v>
      </c>
      <c r="E374" s="379" t="s">
        <v>2805</v>
      </c>
      <c r="F374" s="379" t="s">
        <v>2664</v>
      </c>
      <c r="G374" s="383">
        <v>43070</v>
      </c>
      <c r="H374" s="379">
        <v>1106.25</v>
      </c>
      <c r="I374" s="379">
        <v>39.270000000000003</v>
      </c>
      <c r="J374" s="379">
        <v>149.34</v>
      </c>
      <c r="K374" s="379">
        <v>82.96</v>
      </c>
      <c r="L374" s="379"/>
      <c r="M374" s="379"/>
      <c r="N374" s="379"/>
      <c r="O374" s="379"/>
      <c r="P374" s="379">
        <v>1106.25</v>
      </c>
      <c r="Q374" s="379"/>
      <c r="R374" s="379"/>
      <c r="S374" s="379"/>
      <c r="T374" s="379"/>
      <c r="U374" s="379"/>
      <c r="V374" s="380">
        <v>1377.82</v>
      </c>
      <c r="W374" s="381"/>
      <c r="X374" s="379">
        <v>12107</v>
      </c>
      <c r="Y374" s="379" t="s">
        <v>2801</v>
      </c>
      <c r="Z374" s="379">
        <v>1422001</v>
      </c>
      <c r="AA374" s="379" t="s">
        <v>2648</v>
      </c>
      <c r="AB374" s="380">
        <f t="shared" si="5"/>
        <v>0</v>
      </c>
    </row>
    <row r="375" spans="1:28" outlineLevel="2" x14ac:dyDescent="0.3">
      <c r="A375" s="379">
        <v>654</v>
      </c>
      <c r="B375" s="379">
        <v>813220</v>
      </c>
      <c r="C375" s="379" t="s">
        <v>1373</v>
      </c>
      <c r="D375" s="379">
        <v>2458625</v>
      </c>
      <c r="E375" s="379" t="s">
        <v>2806</v>
      </c>
      <c r="F375" s="379" t="s">
        <v>2673</v>
      </c>
      <c r="G375" s="383">
        <v>33970</v>
      </c>
      <c r="H375" s="379">
        <v>123740.78</v>
      </c>
      <c r="I375" s="379">
        <v>6441.83</v>
      </c>
      <c r="J375" s="379">
        <v>11740.7</v>
      </c>
      <c r="K375" s="379">
        <v>9317.7999999999993</v>
      </c>
      <c r="L375" s="379"/>
      <c r="M375" s="379">
        <v>434.4</v>
      </c>
      <c r="N375" s="379"/>
      <c r="O375" s="379">
        <v>94089.03</v>
      </c>
      <c r="P375" s="379">
        <v>12344.23</v>
      </c>
      <c r="Q375" s="379">
        <v>2809.2</v>
      </c>
      <c r="R375" s="379"/>
      <c r="S375" s="379"/>
      <c r="T375" s="379">
        <v>12268.32</v>
      </c>
      <c r="U375" s="379">
        <v>2230</v>
      </c>
      <c r="V375" s="380">
        <v>151675.51</v>
      </c>
      <c r="W375" s="381">
        <v>12</v>
      </c>
      <c r="X375" s="379">
        <v>21</v>
      </c>
      <c r="Y375" s="379" t="s">
        <v>2632</v>
      </c>
      <c r="Z375" s="379">
        <v>3202002</v>
      </c>
      <c r="AA375" s="379" t="s">
        <v>2290</v>
      </c>
      <c r="AB375" s="380">
        <f t="shared" si="5"/>
        <v>1</v>
      </c>
    </row>
    <row r="376" spans="1:28" outlineLevel="2" x14ac:dyDescent="0.3">
      <c r="A376" s="379">
        <v>654</v>
      </c>
      <c r="B376" s="379">
        <v>813220</v>
      </c>
      <c r="C376" s="379" t="s">
        <v>1373</v>
      </c>
      <c r="D376" s="379">
        <v>2517319</v>
      </c>
      <c r="E376" s="379" t="s">
        <v>2807</v>
      </c>
      <c r="F376" s="379" t="s">
        <v>2636</v>
      </c>
      <c r="G376" s="383">
        <v>41883</v>
      </c>
      <c r="H376" s="379">
        <v>81513.37</v>
      </c>
      <c r="I376" s="379">
        <v>3180.21</v>
      </c>
      <c r="J376" s="379">
        <v>16802.060000000001</v>
      </c>
      <c r="K376" s="379">
        <v>6150.75</v>
      </c>
      <c r="L376" s="379"/>
      <c r="M376" s="379">
        <v>293.89999999999998</v>
      </c>
      <c r="N376" s="379"/>
      <c r="O376" s="379">
        <v>65814.179999999993</v>
      </c>
      <c r="P376" s="379">
        <v>7690.57</v>
      </c>
      <c r="Q376" s="379">
        <v>3264.54</v>
      </c>
      <c r="R376" s="379"/>
      <c r="S376" s="379"/>
      <c r="T376" s="379">
        <v>4744.08</v>
      </c>
      <c r="U376" s="379"/>
      <c r="V376" s="380">
        <v>107940.29</v>
      </c>
      <c r="W376" s="381">
        <v>10.38</v>
      </c>
      <c r="X376" s="379"/>
      <c r="Y376" s="379"/>
      <c r="Z376" s="379">
        <v>1027</v>
      </c>
      <c r="AA376" s="379" t="s">
        <v>2383</v>
      </c>
      <c r="AB376" s="380">
        <f t="shared" si="5"/>
        <v>0.8650000000000001</v>
      </c>
    </row>
    <row r="377" spans="1:28" outlineLevel="2" x14ac:dyDescent="0.3">
      <c r="A377" s="379">
        <v>654</v>
      </c>
      <c r="B377" s="379">
        <v>813220</v>
      </c>
      <c r="C377" s="379" t="s">
        <v>1373</v>
      </c>
      <c r="D377" s="379">
        <v>2705749</v>
      </c>
      <c r="E377" s="379" t="s">
        <v>2486</v>
      </c>
      <c r="F377" s="379" t="s">
        <v>2376</v>
      </c>
      <c r="G377" s="383">
        <v>34029</v>
      </c>
      <c r="H377" s="379">
        <v>54993.64</v>
      </c>
      <c r="I377" s="379">
        <v>1969.23</v>
      </c>
      <c r="J377" s="379">
        <v>5326.32</v>
      </c>
      <c r="K377" s="379">
        <v>4161.6000000000004</v>
      </c>
      <c r="L377" s="379"/>
      <c r="M377" s="379">
        <v>186.2</v>
      </c>
      <c r="N377" s="379"/>
      <c r="O377" s="379">
        <v>42707.199999999997</v>
      </c>
      <c r="P377" s="379">
        <v>2337.7600000000002</v>
      </c>
      <c r="Q377" s="379">
        <v>4197.6000000000004</v>
      </c>
      <c r="R377" s="379"/>
      <c r="S377" s="379"/>
      <c r="T377" s="379">
        <v>5751.08</v>
      </c>
      <c r="U377" s="379"/>
      <c r="V377" s="380">
        <v>66636.990000000005</v>
      </c>
      <c r="W377" s="381">
        <v>6</v>
      </c>
      <c r="X377" s="379">
        <v>1</v>
      </c>
      <c r="Y377" s="379" t="s">
        <v>2353</v>
      </c>
      <c r="Z377" s="379">
        <v>5923001</v>
      </c>
      <c r="AA377" s="379" t="s">
        <v>2354</v>
      </c>
      <c r="AB377" s="380">
        <f t="shared" si="5"/>
        <v>0.5</v>
      </c>
    </row>
    <row r="378" spans="1:28" outlineLevel="2" x14ac:dyDescent="0.3">
      <c r="A378" s="379">
        <v>654</v>
      </c>
      <c r="B378" s="379">
        <v>813220</v>
      </c>
      <c r="C378" s="379" t="s">
        <v>1373</v>
      </c>
      <c r="D378" s="379">
        <v>2885775</v>
      </c>
      <c r="E378" s="379" t="s">
        <v>2630</v>
      </c>
      <c r="F378" s="379" t="s">
        <v>2631</v>
      </c>
      <c r="G378" s="383">
        <v>36770</v>
      </c>
      <c r="H378" s="379">
        <v>64186.76</v>
      </c>
      <c r="I378" s="379">
        <v>2915.67</v>
      </c>
      <c r="J378" s="379">
        <v>5225.7299999999996</v>
      </c>
      <c r="K378" s="379">
        <v>4851.2</v>
      </c>
      <c r="L378" s="379"/>
      <c r="M378" s="379">
        <v>217.9</v>
      </c>
      <c r="N378" s="379"/>
      <c r="O378" s="379">
        <v>54345.7</v>
      </c>
      <c r="P378" s="379">
        <v>634.26</v>
      </c>
      <c r="Q378" s="379">
        <v>1872.8</v>
      </c>
      <c r="R378" s="379"/>
      <c r="S378" s="379"/>
      <c r="T378" s="379">
        <v>7334</v>
      </c>
      <c r="U378" s="379"/>
      <c r="V378" s="380">
        <v>77397.259999999995</v>
      </c>
      <c r="W378" s="381">
        <v>8</v>
      </c>
      <c r="X378" s="379">
        <v>21</v>
      </c>
      <c r="Y378" s="379" t="s">
        <v>2632</v>
      </c>
      <c r="Z378" s="379">
        <v>3202002</v>
      </c>
      <c r="AA378" s="379" t="s">
        <v>2290</v>
      </c>
      <c r="AB378" s="380">
        <f t="shared" si="5"/>
        <v>0.66666666666666663</v>
      </c>
    </row>
    <row r="379" spans="1:28" outlineLevel="2" x14ac:dyDescent="0.3">
      <c r="A379" s="379">
        <v>654</v>
      </c>
      <c r="B379" s="379">
        <v>813220</v>
      </c>
      <c r="C379" s="379" t="s">
        <v>1373</v>
      </c>
      <c r="D379" s="379">
        <v>2974226</v>
      </c>
      <c r="E379" s="379" t="s">
        <v>2318</v>
      </c>
      <c r="F379" s="379" t="s">
        <v>2733</v>
      </c>
      <c r="G379" s="383">
        <v>42705</v>
      </c>
      <c r="H379" s="379">
        <v>11386.41</v>
      </c>
      <c r="I379" s="379">
        <v>404.22</v>
      </c>
      <c r="J379" s="379">
        <v>2260.5300000000002</v>
      </c>
      <c r="K379" s="379">
        <v>853.95</v>
      </c>
      <c r="L379" s="379"/>
      <c r="M379" s="379">
        <v>43.05</v>
      </c>
      <c r="N379" s="379"/>
      <c r="O379" s="379">
        <v>10764.3</v>
      </c>
      <c r="P379" s="379"/>
      <c r="Q379" s="379">
        <v>622.11</v>
      </c>
      <c r="R379" s="379"/>
      <c r="S379" s="379"/>
      <c r="T379" s="379"/>
      <c r="U379" s="379"/>
      <c r="V379" s="380">
        <v>14948.16</v>
      </c>
      <c r="W379" s="381">
        <v>1.8</v>
      </c>
      <c r="X379" s="379"/>
      <c r="Y379" s="379"/>
      <c r="Z379" s="379">
        <v>1422001</v>
      </c>
      <c r="AA379" s="379" t="s">
        <v>2648</v>
      </c>
      <c r="AB379" s="380">
        <f t="shared" si="5"/>
        <v>0.15</v>
      </c>
    </row>
    <row r="380" spans="1:28" outlineLevel="2" x14ac:dyDescent="0.3">
      <c r="A380" s="379">
        <v>654</v>
      </c>
      <c r="B380" s="379">
        <v>813220</v>
      </c>
      <c r="C380" s="379" t="s">
        <v>1373</v>
      </c>
      <c r="D380" s="379">
        <v>3190147</v>
      </c>
      <c r="E380" s="379" t="s">
        <v>2332</v>
      </c>
      <c r="F380" s="379" t="s">
        <v>2310</v>
      </c>
      <c r="G380" s="383">
        <v>43739</v>
      </c>
      <c r="H380" s="379">
        <v>900</v>
      </c>
      <c r="I380" s="379">
        <v>31.95</v>
      </c>
      <c r="J380" s="379">
        <v>121.5</v>
      </c>
      <c r="K380" s="379">
        <v>67.5</v>
      </c>
      <c r="L380" s="379"/>
      <c r="M380" s="379"/>
      <c r="N380" s="379"/>
      <c r="O380" s="379"/>
      <c r="P380" s="379">
        <v>900</v>
      </c>
      <c r="Q380" s="379"/>
      <c r="R380" s="379"/>
      <c r="S380" s="379"/>
      <c r="T380" s="379"/>
      <c r="U380" s="379"/>
      <c r="V380" s="380">
        <v>1120.95</v>
      </c>
      <c r="W380" s="381"/>
      <c r="X380" s="379"/>
      <c r="Y380" s="379"/>
      <c r="Z380" s="379">
        <v>5821001</v>
      </c>
      <c r="AA380" s="379" t="s">
        <v>2427</v>
      </c>
      <c r="AB380" s="380">
        <f t="shared" si="5"/>
        <v>0</v>
      </c>
    </row>
    <row r="381" spans="1:28" outlineLevel="2" x14ac:dyDescent="0.3">
      <c r="A381" s="379">
        <v>654</v>
      </c>
      <c r="B381" s="379">
        <v>813220</v>
      </c>
      <c r="C381" s="379" t="s">
        <v>1373</v>
      </c>
      <c r="D381" s="379">
        <v>3369180</v>
      </c>
      <c r="E381" s="379" t="s">
        <v>2546</v>
      </c>
      <c r="F381" s="379" t="s">
        <v>2750</v>
      </c>
      <c r="G381" s="383">
        <v>36586</v>
      </c>
      <c r="H381" s="379">
        <v>85641.15</v>
      </c>
      <c r="I381" s="379">
        <v>3547.93</v>
      </c>
      <c r="J381" s="379">
        <v>6859.65</v>
      </c>
      <c r="K381" s="379">
        <v>6460.2</v>
      </c>
      <c r="L381" s="379"/>
      <c r="M381" s="379">
        <v>305.2</v>
      </c>
      <c r="N381" s="379"/>
      <c r="O381" s="379">
        <v>75653.72</v>
      </c>
      <c r="P381" s="379">
        <v>635.95000000000005</v>
      </c>
      <c r="Q381" s="379">
        <v>2750.88</v>
      </c>
      <c r="R381" s="379"/>
      <c r="S381" s="379"/>
      <c r="T381" s="379">
        <v>6600.6</v>
      </c>
      <c r="U381" s="379"/>
      <c r="V381" s="380">
        <v>102814.13</v>
      </c>
      <c r="W381" s="381">
        <v>10.8</v>
      </c>
      <c r="X381" s="379"/>
      <c r="Y381" s="379"/>
      <c r="Z381" s="379">
        <v>1027</v>
      </c>
      <c r="AA381" s="379" t="s">
        <v>2383</v>
      </c>
      <c r="AB381" s="380">
        <f t="shared" si="5"/>
        <v>0.9</v>
      </c>
    </row>
    <row r="382" spans="1:28" outlineLevel="2" x14ac:dyDescent="0.3">
      <c r="A382" s="379">
        <v>654</v>
      </c>
      <c r="B382" s="379">
        <v>813220</v>
      </c>
      <c r="C382" s="379" t="s">
        <v>1373</v>
      </c>
      <c r="D382" s="379">
        <v>3655494</v>
      </c>
      <c r="E382" s="379" t="s">
        <v>2792</v>
      </c>
      <c r="F382" s="379" t="s">
        <v>2793</v>
      </c>
      <c r="G382" s="383">
        <v>42826</v>
      </c>
      <c r="H382" s="379">
        <v>1003</v>
      </c>
      <c r="I382" s="379">
        <v>35.6</v>
      </c>
      <c r="J382" s="379">
        <v>135.38999999999999</v>
      </c>
      <c r="K382" s="379">
        <v>75.22</v>
      </c>
      <c r="L382" s="379"/>
      <c r="M382" s="379"/>
      <c r="N382" s="379"/>
      <c r="O382" s="379"/>
      <c r="P382" s="379">
        <v>1003</v>
      </c>
      <c r="Q382" s="379"/>
      <c r="R382" s="379"/>
      <c r="S382" s="379"/>
      <c r="T382" s="379"/>
      <c r="U382" s="379"/>
      <c r="V382" s="380">
        <v>1249.21</v>
      </c>
      <c r="W382" s="381"/>
      <c r="X382" s="379"/>
      <c r="Y382" s="379"/>
      <c r="Z382" s="379">
        <v>1027</v>
      </c>
      <c r="AA382" s="379" t="s">
        <v>2383</v>
      </c>
      <c r="AB382" s="380">
        <f t="shared" si="5"/>
        <v>0</v>
      </c>
    </row>
    <row r="383" spans="1:28" outlineLevel="2" x14ac:dyDescent="0.3">
      <c r="A383" s="379">
        <v>654</v>
      </c>
      <c r="B383" s="379">
        <v>813220</v>
      </c>
      <c r="C383" s="379" t="s">
        <v>1373</v>
      </c>
      <c r="D383" s="379">
        <v>4917220</v>
      </c>
      <c r="E383" s="379" t="s">
        <v>2600</v>
      </c>
      <c r="F383" s="379" t="s">
        <v>2755</v>
      </c>
      <c r="G383" s="383">
        <v>42917</v>
      </c>
      <c r="H383" s="379">
        <v>47084.19</v>
      </c>
      <c r="I383" s="379">
        <v>1807.07</v>
      </c>
      <c r="J383" s="379">
        <v>9933.81</v>
      </c>
      <c r="K383" s="379">
        <v>3568.55</v>
      </c>
      <c r="L383" s="379"/>
      <c r="M383" s="379">
        <v>164.6</v>
      </c>
      <c r="N383" s="379"/>
      <c r="O383" s="379">
        <v>36983.31</v>
      </c>
      <c r="P383" s="379">
        <v>4641.57</v>
      </c>
      <c r="Q383" s="379">
        <v>1697.71</v>
      </c>
      <c r="R383" s="379"/>
      <c r="S383" s="379"/>
      <c r="T383" s="379">
        <v>3761.6</v>
      </c>
      <c r="U383" s="379"/>
      <c r="V383" s="380">
        <v>62558.22</v>
      </c>
      <c r="W383" s="381">
        <v>5.86</v>
      </c>
      <c r="X383" s="379"/>
      <c r="Y383" s="379"/>
      <c r="Z383" s="379">
        <v>1027</v>
      </c>
      <c r="AA383" s="379" t="s">
        <v>2383</v>
      </c>
      <c r="AB383" s="380">
        <f t="shared" si="5"/>
        <v>0.48833333333333334</v>
      </c>
    </row>
    <row r="384" spans="1:28" outlineLevel="2" x14ac:dyDescent="0.3">
      <c r="A384" s="379">
        <v>654</v>
      </c>
      <c r="B384" s="379">
        <v>813220</v>
      </c>
      <c r="C384" s="379" t="s">
        <v>1373</v>
      </c>
      <c r="D384" s="379">
        <v>5272074</v>
      </c>
      <c r="E384" s="379" t="s">
        <v>2415</v>
      </c>
      <c r="F384" s="379" t="s">
        <v>2410</v>
      </c>
      <c r="G384" s="383">
        <v>43344</v>
      </c>
      <c r="H384" s="379">
        <v>1743.25</v>
      </c>
      <c r="I384" s="379">
        <v>61.89</v>
      </c>
      <c r="J384" s="379">
        <v>221.03</v>
      </c>
      <c r="K384" s="379">
        <v>130.75</v>
      </c>
      <c r="L384" s="379"/>
      <c r="M384" s="379"/>
      <c r="N384" s="379"/>
      <c r="O384" s="379"/>
      <c r="P384" s="379">
        <v>1637.25</v>
      </c>
      <c r="Q384" s="379">
        <v>106</v>
      </c>
      <c r="R384" s="379"/>
      <c r="S384" s="379"/>
      <c r="T384" s="379"/>
      <c r="U384" s="379"/>
      <c r="V384" s="380">
        <v>2156.92</v>
      </c>
      <c r="W384" s="381"/>
      <c r="X384" s="379"/>
      <c r="Y384" s="379"/>
      <c r="Z384" s="379">
        <v>1027</v>
      </c>
      <c r="AA384" s="379" t="s">
        <v>2383</v>
      </c>
      <c r="AB384" s="380">
        <f t="shared" si="5"/>
        <v>0</v>
      </c>
    </row>
    <row r="385" spans="1:28" outlineLevel="2" x14ac:dyDescent="0.3">
      <c r="A385" s="379">
        <v>654</v>
      </c>
      <c r="B385" s="379">
        <v>813220</v>
      </c>
      <c r="C385" s="379" t="s">
        <v>1373</v>
      </c>
      <c r="D385" s="379">
        <v>5287181</v>
      </c>
      <c r="E385" s="379" t="s">
        <v>2323</v>
      </c>
      <c r="F385" s="379" t="s">
        <v>2676</v>
      </c>
      <c r="G385" s="383">
        <v>36800</v>
      </c>
      <c r="H385" s="379">
        <v>48125.78</v>
      </c>
      <c r="I385" s="379">
        <v>233.37</v>
      </c>
      <c r="J385" s="379">
        <v>4055.45</v>
      </c>
      <c r="K385" s="379">
        <v>3646.7</v>
      </c>
      <c r="L385" s="379"/>
      <c r="M385" s="379">
        <v>168.9</v>
      </c>
      <c r="N385" s="379"/>
      <c r="O385" s="379">
        <v>40566.480000000003</v>
      </c>
      <c r="P385" s="379">
        <v>215.7</v>
      </c>
      <c r="Q385" s="379">
        <v>4197.6000000000004</v>
      </c>
      <c r="R385" s="379"/>
      <c r="S385" s="379"/>
      <c r="T385" s="379">
        <v>3146</v>
      </c>
      <c r="U385" s="379"/>
      <c r="V385" s="380">
        <v>56230.2</v>
      </c>
      <c r="W385" s="381">
        <v>6</v>
      </c>
      <c r="X385" s="379">
        <v>1</v>
      </c>
      <c r="Y385" s="379" t="s">
        <v>2353</v>
      </c>
      <c r="Z385" s="379">
        <v>5931001</v>
      </c>
      <c r="AA385" s="379" t="s">
        <v>2320</v>
      </c>
      <c r="AB385" s="380">
        <f t="shared" si="5"/>
        <v>0.5</v>
      </c>
    </row>
    <row r="386" spans="1:28" outlineLevel="2" x14ac:dyDescent="0.3">
      <c r="A386" s="379">
        <v>654</v>
      </c>
      <c r="B386" s="379">
        <v>813220</v>
      </c>
      <c r="C386" s="379" t="s">
        <v>1373</v>
      </c>
      <c r="D386" s="379">
        <v>5526738</v>
      </c>
      <c r="E386" s="379" t="s">
        <v>2425</v>
      </c>
      <c r="F386" s="379" t="s">
        <v>2808</v>
      </c>
      <c r="G386" s="383">
        <v>30286</v>
      </c>
      <c r="H386" s="379">
        <v>101662.24</v>
      </c>
      <c r="I386" s="379">
        <v>4764.26</v>
      </c>
      <c r="J386" s="379">
        <v>9288.43</v>
      </c>
      <c r="K386" s="379">
        <v>7661.9</v>
      </c>
      <c r="L386" s="379"/>
      <c r="M386" s="379">
        <v>367.65</v>
      </c>
      <c r="N386" s="379"/>
      <c r="O386" s="379">
        <v>84575.6</v>
      </c>
      <c r="P386" s="379"/>
      <c r="Q386" s="379">
        <v>5774.88</v>
      </c>
      <c r="R386" s="379"/>
      <c r="S386" s="379"/>
      <c r="T386" s="379">
        <v>11311.76</v>
      </c>
      <c r="U386" s="379"/>
      <c r="V386" s="380">
        <v>123744.48</v>
      </c>
      <c r="W386" s="381">
        <v>10.8</v>
      </c>
      <c r="X386" s="379"/>
      <c r="Y386" s="379"/>
      <c r="Z386" s="379">
        <v>1027</v>
      </c>
      <c r="AA386" s="379" t="s">
        <v>2383</v>
      </c>
      <c r="AB386" s="380">
        <f t="shared" si="5"/>
        <v>0.9</v>
      </c>
    </row>
    <row r="387" spans="1:28" outlineLevel="2" x14ac:dyDescent="0.3">
      <c r="A387" s="379">
        <v>654</v>
      </c>
      <c r="B387" s="379">
        <v>813220</v>
      </c>
      <c r="C387" s="379" t="s">
        <v>1373</v>
      </c>
      <c r="D387" s="379">
        <v>5646436</v>
      </c>
      <c r="E387" s="379" t="s">
        <v>2716</v>
      </c>
      <c r="F387" s="379" t="s">
        <v>2717</v>
      </c>
      <c r="G387" s="383">
        <v>43009</v>
      </c>
      <c r="H387" s="379">
        <v>944</v>
      </c>
      <c r="I387" s="379">
        <v>33.33</v>
      </c>
      <c r="J387" s="379">
        <v>127.44</v>
      </c>
      <c r="K387" s="379">
        <v>70.8</v>
      </c>
      <c r="L387" s="379"/>
      <c r="M387" s="379"/>
      <c r="N387" s="379"/>
      <c r="O387" s="379"/>
      <c r="P387" s="379">
        <v>944</v>
      </c>
      <c r="Q387" s="379"/>
      <c r="R387" s="379"/>
      <c r="S387" s="379"/>
      <c r="T387" s="379"/>
      <c r="U387" s="379"/>
      <c r="V387" s="380">
        <v>1175.57</v>
      </c>
      <c r="W387" s="381"/>
      <c r="X387" s="379"/>
      <c r="Y387" s="379"/>
      <c r="Z387" s="379">
        <v>5821001</v>
      </c>
      <c r="AA387" s="379" t="s">
        <v>2427</v>
      </c>
      <c r="AB387" s="380">
        <f t="shared" si="5"/>
        <v>0</v>
      </c>
    </row>
    <row r="388" spans="1:28" outlineLevel="2" x14ac:dyDescent="0.3">
      <c r="A388" s="379">
        <v>654</v>
      </c>
      <c r="B388" s="379">
        <v>813220</v>
      </c>
      <c r="C388" s="379" t="s">
        <v>1373</v>
      </c>
      <c r="D388" s="379">
        <v>5717237</v>
      </c>
      <c r="E388" s="379" t="s">
        <v>2809</v>
      </c>
      <c r="F388" s="379" t="s">
        <v>2810</v>
      </c>
      <c r="G388" s="383">
        <v>43739</v>
      </c>
      <c r="H388" s="379">
        <v>2538.65</v>
      </c>
      <c r="I388" s="379">
        <v>90.12</v>
      </c>
      <c r="J388" s="379"/>
      <c r="K388" s="379">
        <v>190.4</v>
      </c>
      <c r="L388" s="379"/>
      <c r="M388" s="379">
        <v>10.1</v>
      </c>
      <c r="N388" s="379"/>
      <c r="O388" s="379">
        <v>2520.42</v>
      </c>
      <c r="P388" s="379"/>
      <c r="Q388" s="379">
        <v>18.23</v>
      </c>
      <c r="R388" s="379"/>
      <c r="S388" s="379"/>
      <c r="T388" s="379"/>
      <c r="U388" s="379"/>
      <c r="V388" s="380">
        <v>2829.27</v>
      </c>
      <c r="W388" s="381">
        <v>0.5</v>
      </c>
      <c r="X388" s="379"/>
      <c r="Y388" s="379"/>
      <c r="Z388" s="379">
        <v>1027</v>
      </c>
      <c r="AA388" s="379" t="s">
        <v>2383</v>
      </c>
      <c r="AB388" s="380">
        <f t="shared" si="5"/>
        <v>4.1666666666666664E-2</v>
      </c>
    </row>
    <row r="389" spans="1:28" outlineLevel="2" x14ac:dyDescent="0.3">
      <c r="A389" s="379">
        <v>654</v>
      </c>
      <c r="B389" s="379">
        <v>813220</v>
      </c>
      <c r="C389" s="379" t="s">
        <v>1373</v>
      </c>
      <c r="D389" s="379">
        <v>5789805</v>
      </c>
      <c r="E389" s="379" t="s">
        <v>2811</v>
      </c>
      <c r="F389" s="379" t="s">
        <v>2333</v>
      </c>
      <c r="G389" s="383">
        <v>36892</v>
      </c>
      <c r="H389" s="379">
        <v>70107.94</v>
      </c>
      <c r="I389" s="379">
        <v>2979.94</v>
      </c>
      <c r="J389" s="379">
        <v>14703.3</v>
      </c>
      <c r="K389" s="379">
        <v>5294.89</v>
      </c>
      <c r="L389" s="379"/>
      <c r="M389" s="379">
        <v>248.03</v>
      </c>
      <c r="N389" s="379"/>
      <c r="O389" s="379">
        <v>59568.41</v>
      </c>
      <c r="P389" s="379">
        <v>1272.5899999999999</v>
      </c>
      <c r="Q389" s="379">
        <v>4965.24</v>
      </c>
      <c r="R389" s="379"/>
      <c r="S389" s="379"/>
      <c r="T389" s="379">
        <v>4301.7</v>
      </c>
      <c r="U389" s="379"/>
      <c r="V389" s="380">
        <v>93334.1</v>
      </c>
      <c r="W389" s="381">
        <v>9</v>
      </c>
      <c r="X389" s="379"/>
      <c r="Y389" s="379"/>
      <c r="Z389" s="379">
        <v>5921001</v>
      </c>
      <c r="AA389" s="379" t="s">
        <v>2374</v>
      </c>
      <c r="AB389" s="380">
        <f t="shared" si="5"/>
        <v>0.75</v>
      </c>
    </row>
    <row r="390" spans="1:28" outlineLevel="2" x14ac:dyDescent="0.3">
      <c r="A390" s="379">
        <v>654</v>
      </c>
      <c r="B390" s="379">
        <v>813220</v>
      </c>
      <c r="C390" s="379" t="s">
        <v>1373</v>
      </c>
      <c r="D390" s="379">
        <v>6201545</v>
      </c>
      <c r="E390" s="379" t="s">
        <v>2812</v>
      </c>
      <c r="F390" s="379" t="s">
        <v>2813</v>
      </c>
      <c r="G390" s="383">
        <v>35096</v>
      </c>
      <c r="H390" s="379">
        <v>17169</v>
      </c>
      <c r="I390" s="379">
        <v>161.81</v>
      </c>
      <c r="J390" s="379">
        <v>1382.51</v>
      </c>
      <c r="K390" s="379">
        <v>1287.6500000000001</v>
      </c>
      <c r="L390" s="379"/>
      <c r="M390" s="379">
        <v>65</v>
      </c>
      <c r="N390" s="379"/>
      <c r="O390" s="379">
        <v>14287.8</v>
      </c>
      <c r="P390" s="379">
        <v>1963</v>
      </c>
      <c r="Q390" s="379">
        <v>468.2</v>
      </c>
      <c r="R390" s="379">
        <v>450</v>
      </c>
      <c r="S390" s="379"/>
      <c r="T390" s="379"/>
      <c r="U390" s="379"/>
      <c r="V390" s="380">
        <v>20065.97</v>
      </c>
      <c r="W390" s="381">
        <v>2</v>
      </c>
      <c r="X390" s="379"/>
      <c r="Y390" s="379"/>
      <c r="Z390" s="379">
        <v>5911007</v>
      </c>
      <c r="AA390" s="379" t="s">
        <v>2814</v>
      </c>
      <c r="AB390" s="380">
        <f t="shared" si="5"/>
        <v>0.16666666666666666</v>
      </c>
    </row>
    <row r="391" spans="1:28" outlineLevel="2" x14ac:dyDescent="0.3">
      <c r="A391" s="379">
        <v>654</v>
      </c>
      <c r="B391" s="379">
        <v>813220</v>
      </c>
      <c r="C391" s="379" t="s">
        <v>1373</v>
      </c>
      <c r="D391" s="379">
        <v>6313656</v>
      </c>
      <c r="E391" s="379" t="s">
        <v>2398</v>
      </c>
      <c r="F391" s="379" t="s">
        <v>2366</v>
      </c>
      <c r="G391" s="383">
        <v>35370</v>
      </c>
      <c r="H391" s="379">
        <v>55505.120000000003</v>
      </c>
      <c r="I391" s="379">
        <v>276.70999999999998</v>
      </c>
      <c r="J391" s="379">
        <v>5681.67</v>
      </c>
      <c r="K391" s="379">
        <v>4200.05</v>
      </c>
      <c r="L391" s="379"/>
      <c r="M391" s="379">
        <v>179.15</v>
      </c>
      <c r="N391" s="379"/>
      <c r="O391" s="379">
        <v>41692.720000000001</v>
      </c>
      <c r="P391" s="379">
        <v>6252.8</v>
      </c>
      <c r="Q391" s="379">
        <v>4197.6000000000004</v>
      </c>
      <c r="R391" s="379"/>
      <c r="S391" s="379"/>
      <c r="T391" s="379">
        <v>3362</v>
      </c>
      <c r="U391" s="379"/>
      <c r="V391" s="380">
        <v>65842.7</v>
      </c>
      <c r="W391" s="381">
        <v>6</v>
      </c>
      <c r="X391" s="379">
        <v>1</v>
      </c>
      <c r="Y391" s="379" t="s">
        <v>2353</v>
      </c>
      <c r="Z391" s="379">
        <v>5931001</v>
      </c>
      <c r="AA391" s="379" t="s">
        <v>2320</v>
      </c>
      <c r="AB391" s="380">
        <f t="shared" si="5"/>
        <v>0.5</v>
      </c>
    </row>
    <row r="392" spans="1:28" outlineLevel="2" x14ac:dyDescent="0.3">
      <c r="A392" s="379">
        <v>654</v>
      </c>
      <c r="B392" s="379">
        <v>813220</v>
      </c>
      <c r="C392" s="379" t="s">
        <v>1373</v>
      </c>
      <c r="D392" s="379">
        <v>6748772</v>
      </c>
      <c r="E392" s="379" t="s">
        <v>2318</v>
      </c>
      <c r="F392" s="379" t="s">
        <v>2815</v>
      </c>
      <c r="G392" s="383">
        <v>34090</v>
      </c>
      <c r="H392" s="379">
        <v>52997.26</v>
      </c>
      <c r="I392" s="379">
        <v>1897.18</v>
      </c>
      <c r="J392" s="379">
        <v>5087.6000000000004</v>
      </c>
      <c r="K392" s="379">
        <v>4012.1</v>
      </c>
      <c r="L392" s="379"/>
      <c r="M392" s="379">
        <v>186.8</v>
      </c>
      <c r="N392" s="379"/>
      <c r="O392" s="379">
        <v>42856.639999999999</v>
      </c>
      <c r="P392" s="379">
        <v>629.94000000000005</v>
      </c>
      <c r="Q392" s="379">
        <v>3759.6</v>
      </c>
      <c r="R392" s="379"/>
      <c r="S392" s="379"/>
      <c r="T392" s="379">
        <v>5751.08</v>
      </c>
      <c r="U392" s="379"/>
      <c r="V392" s="380">
        <v>64180.94</v>
      </c>
      <c r="W392" s="381">
        <v>6</v>
      </c>
      <c r="X392" s="379">
        <v>1</v>
      </c>
      <c r="Y392" s="379" t="s">
        <v>2353</v>
      </c>
      <c r="Z392" s="379">
        <v>5923001</v>
      </c>
      <c r="AA392" s="379" t="s">
        <v>2354</v>
      </c>
      <c r="AB392" s="380">
        <f t="shared" si="5"/>
        <v>0.5</v>
      </c>
    </row>
    <row r="393" spans="1:28" outlineLevel="2" x14ac:dyDescent="0.3">
      <c r="A393" s="379">
        <v>654</v>
      </c>
      <c r="B393" s="379">
        <v>813220</v>
      </c>
      <c r="C393" s="379" t="s">
        <v>1373</v>
      </c>
      <c r="D393" s="379">
        <v>6777597</v>
      </c>
      <c r="E393" s="379" t="s">
        <v>2384</v>
      </c>
      <c r="F393" s="379" t="s">
        <v>2385</v>
      </c>
      <c r="G393" s="383">
        <v>42278</v>
      </c>
      <c r="H393" s="379">
        <v>118</v>
      </c>
      <c r="I393" s="379">
        <v>4.18</v>
      </c>
      <c r="J393" s="379">
        <v>15.92</v>
      </c>
      <c r="K393" s="379">
        <v>8.84</v>
      </c>
      <c r="L393" s="379"/>
      <c r="M393" s="379"/>
      <c r="N393" s="379"/>
      <c r="O393" s="379"/>
      <c r="P393" s="379">
        <v>118</v>
      </c>
      <c r="Q393" s="379"/>
      <c r="R393" s="379"/>
      <c r="S393" s="379"/>
      <c r="T393" s="379"/>
      <c r="U393" s="379"/>
      <c r="V393" s="380">
        <v>146.94</v>
      </c>
      <c r="W393" s="381"/>
      <c r="X393" s="379">
        <v>1</v>
      </c>
      <c r="Y393" s="379" t="s">
        <v>2353</v>
      </c>
      <c r="Z393" s="379">
        <v>5923001</v>
      </c>
      <c r="AA393" s="379" t="s">
        <v>2354</v>
      </c>
      <c r="AB393" s="380">
        <f t="shared" si="5"/>
        <v>0</v>
      </c>
    </row>
    <row r="394" spans="1:28" outlineLevel="2" x14ac:dyDescent="0.3">
      <c r="A394" s="379">
        <v>654</v>
      </c>
      <c r="B394" s="379">
        <v>813220</v>
      </c>
      <c r="C394" s="379" t="s">
        <v>1373</v>
      </c>
      <c r="D394" s="379">
        <v>20900302</v>
      </c>
      <c r="E394" s="379" t="s">
        <v>2816</v>
      </c>
      <c r="F394" s="379" t="s">
        <v>2817</v>
      </c>
      <c r="G394" s="383">
        <v>43525</v>
      </c>
      <c r="H394" s="379">
        <v>10833.02</v>
      </c>
      <c r="I394" s="379">
        <v>384.57</v>
      </c>
      <c r="J394" s="379">
        <v>1333.93</v>
      </c>
      <c r="K394" s="379">
        <v>812.55</v>
      </c>
      <c r="L394" s="379"/>
      <c r="M394" s="379"/>
      <c r="N394" s="379"/>
      <c r="O394" s="379">
        <v>8021</v>
      </c>
      <c r="P394" s="379">
        <v>1859.98</v>
      </c>
      <c r="Q394" s="379">
        <v>952.04</v>
      </c>
      <c r="R394" s="379"/>
      <c r="S394" s="379"/>
      <c r="T394" s="379"/>
      <c r="U394" s="379"/>
      <c r="V394" s="380">
        <v>13364.07</v>
      </c>
      <c r="W394" s="381">
        <v>1.4</v>
      </c>
      <c r="X394" s="379"/>
      <c r="Y394" s="379"/>
      <c r="Z394" s="379">
        <v>1422001</v>
      </c>
      <c r="AA394" s="379" t="s">
        <v>2648</v>
      </c>
      <c r="AB394" s="380">
        <f t="shared" si="5"/>
        <v>0.11666666666666665</v>
      </c>
    </row>
    <row r="395" spans="1:28" outlineLevel="2" x14ac:dyDescent="0.3">
      <c r="A395" s="379">
        <v>654</v>
      </c>
      <c r="B395" s="379">
        <v>813220</v>
      </c>
      <c r="C395" s="379" t="s">
        <v>1373</v>
      </c>
      <c r="D395" s="379">
        <v>30296968</v>
      </c>
      <c r="E395" s="379" t="s">
        <v>2340</v>
      </c>
      <c r="F395" s="379" t="s">
        <v>2600</v>
      </c>
      <c r="G395" s="383">
        <v>43709</v>
      </c>
      <c r="H395" s="379">
        <v>1241.5</v>
      </c>
      <c r="I395" s="379">
        <v>44.07</v>
      </c>
      <c r="J395" s="379"/>
      <c r="K395" s="379">
        <v>93.1</v>
      </c>
      <c r="L395" s="379"/>
      <c r="M395" s="379"/>
      <c r="N395" s="379"/>
      <c r="O395" s="379"/>
      <c r="P395" s="379">
        <v>1209.5</v>
      </c>
      <c r="Q395" s="379">
        <v>32</v>
      </c>
      <c r="R395" s="379"/>
      <c r="S395" s="379"/>
      <c r="T395" s="379"/>
      <c r="U395" s="379"/>
      <c r="V395" s="380">
        <v>1378.67</v>
      </c>
      <c r="W395" s="381"/>
      <c r="X395" s="379"/>
      <c r="Y395" s="379"/>
      <c r="Z395" s="379">
        <v>1027</v>
      </c>
      <c r="AA395" s="379" t="s">
        <v>2383</v>
      </c>
      <c r="AB395" s="380">
        <f t="shared" si="5"/>
        <v>0</v>
      </c>
    </row>
    <row r="396" spans="1:28" outlineLevel="2" x14ac:dyDescent="0.3">
      <c r="A396" s="379">
        <v>654</v>
      </c>
      <c r="B396" s="379">
        <v>813220</v>
      </c>
      <c r="C396" s="379" t="s">
        <v>1373</v>
      </c>
      <c r="D396" s="379">
        <v>31808439</v>
      </c>
      <c r="E396" s="379" t="s">
        <v>2818</v>
      </c>
      <c r="F396" s="379" t="s">
        <v>2819</v>
      </c>
      <c r="G396" s="383">
        <v>42614</v>
      </c>
      <c r="H396" s="379">
        <v>295</v>
      </c>
      <c r="I396" s="379">
        <v>10.47</v>
      </c>
      <c r="J396" s="379"/>
      <c r="K396" s="379">
        <v>22.15</v>
      </c>
      <c r="L396" s="379"/>
      <c r="M396" s="379"/>
      <c r="N396" s="379"/>
      <c r="O396" s="379"/>
      <c r="P396" s="379">
        <v>295</v>
      </c>
      <c r="Q396" s="379"/>
      <c r="R396" s="379"/>
      <c r="S396" s="379"/>
      <c r="T396" s="379"/>
      <c r="U396" s="379"/>
      <c r="V396" s="380">
        <v>327.62</v>
      </c>
      <c r="W396" s="381"/>
      <c r="X396" s="379"/>
      <c r="Y396" s="379"/>
      <c r="Z396" s="379">
        <v>1031001</v>
      </c>
      <c r="AA396" s="379" t="s">
        <v>2328</v>
      </c>
      <c r="AB396" s="380">
        <f t="shared" si="5"/>
        <v>0</v>
      </c>
    </row>
    <row r="397" spans="1:28" outlineLevel="1" x14ac:dyDescent="0.3">
      <c r="A397" s="379"/>
      <c r="B397" s="384" t="s">
        <v>2820</v>
      </c>
      <c r="C397" s="379"/>
      <c r="D397" s="379"/>
      <c r="E397" s="379"/>
      <c r="F397" s="379"/>
      <c r="G397" s="383"/>
      <c r="H397" s="379"/>
      <c r="I397" s="379"/>
      <c r="J397" s="379"/>
      <c r="K397" s="379"/>
      <c r="L397" s="379"/>
      <c r="M397" s="379"/>
      <c r="N397" s="379"/>
      <c r="O397" s="379"/>
      <c r="P397" s="379"/>
      <c r="Q397" s="379"/>
      <c r="R397" s="379"/>
      <c r="S397" s="379"/>
      <c r="T397" s="379"/>
      <c r="U397" s="379"/>
      <c r="V397" s="380">
        <f>SUBTOTAL(9,V371:V396)</f>
        <v>1155829.3499999999</v>
      </c>
      <c r="W397" s="381">
        <f>SUBTOTAL(9,W371:W396)</f>
        <v>108.34</v>
      </c>
      <c r="X397" s="379"/>
      <c r="Y397" s="379"/>
      <c r="Z397" s="379"/>
      <c r="AA397" s="379"/>
      <c r="AB397" s="380">
        <f>SUBTOTAL(9,AB371:AB396)</f>
        <v>9.028333333333336</v>
      </c>
    </row>
    <row r="398" spans="1:28" outlineLevel="2" x14ac:dyDescent="0.3">
      <c r="A398" s="379">
        <v>654</v>
      </c>
      <c r="B398" s="379">
        <v>813230</v>
      </c>
      <c r="C398" s="379" t="s">
        <v>1393</v>
      </c>
      <c r="D398" s="379">
        <v>2371218</v>
      </c>
      <c r="E398" s="379" t="s">
        <v>2486</v>
      </c>
      <c r="F398" s="379" t="s">
        <v>2285</v>
      </c>
      <c r="G398" s="383">
        <v>42522</v>
      </c>
      <c r="H398" s="379">
        <v>109178.24000000001</v>
      </c>
      <c r="I398" s="379">
        <v>5337.01</v>
      </c>
      <c r="J398" s="379">
        <v>20789.64</v>
      </c>
      <c r="K398" s="379">
        <v>8225.65</v>
      </c>
      <c r="L398" s="379"/>
      <c r="M398" s="379">
        <v>385.05</v>
      </c>
      <c r="N398" s="379"/>
      <c r="O398" s="379">
        <v>77726.67</v>
      </c>
      <c r="P398" s="379">
        <v>19537.169999999998</v>
      </c>
      <c r="Q398" s="379">
        <v>2809.2</v>
      </c>
      <c r="R398" s="379">
        <v>3067.2</v>
      </c>
      <c r="S398" s="379"/>
      <c r="T398" s="379">
        <v>6038</v>
      </c>
      <c r="U398" s="379"/>
      <c r="V398" s="380">
        <v>143915.59</v>
      </c>
      <c r="W398" s="381">
        <v>12</v>
      </c>
      <c r="X398" s="379">
        <v>111</v>
      </c>
      <c r="Y398" s="379" t="s">
        <v>2575</v>
      </c>
      <c r="Z398" s="379">
        <v>5302002</v>
      </c>
      <c r="AA398" s="379" t="s">
        <v>2467</v>
      </c>
      <c r="AB398" s="380">
        <f t="shared" si="5"/>
        <v>1</v>
      </c>
    </row>
    <row r="399" spans="1:28" outlineLevel="2" x14ac:dyDescent="0.3">
      <c r="A399" s="379">
        <v>654</v>
      </c>
      <c r="B399" s="379">
        <v>813230</v>
      </c>
      <c r="C399" s="379" t="s">
        <v>1393</v>
      </c>
      <c r="D399" s="379">
        <v>2418574</v>
      </c>
      <c r="E399" s="379" t="s">
        <v>2760</v>
      </c>
      <c r="F399" s="379" t="s">
        <v>2669</v>
      </c>
      <c r="G399" s="383">
        <v>43101</v>
      </c>
      <c r="H399" s="379">
        <v>4112.24</v>
      </c>
      <c r="I399" s="379">
        <v>158.22</v>
      </c>
      <c r="J399" s="379">
        <v>544.67999999999995</v>
      </c>
      <c r="K399" s="379">
        <v>308.45999999999998</v>
      </c>
      <c r="L399" s="379"/>
      <c r="M399" s="379">
        <v>9.9</v>
      </c>
      <c r="N399" s="379"/>
      <c r="O399" s="379">
        <v>2355.08</v>
      </c>
      <c r="P399" s="379">
        <v>1562</v>
      </c>
      <c r="Q399" s="379">
        <v>195.16</v>
      </c>
      <c r="R399" s="379"/>
      <c r="S399" s="379"/>
      <c r="T399" s="379"/>
      <c r="U399" s="379"/>
      <c r="V399" s="380">
        <v>5133.5</v>
      </c>
      <c r="W399" s="381">
        <v>0.41899999999999998</v>
      </c>
      <c r="X399" s="379"/>
      <c r="Y399" s="379"/>
      <c r="Z399" s="379">
        <v>5923001</v>
      </c>
      <c r="AA399" s="379" t="s">
        <v>2354</v>
      </c>
      <c r="AB399" s="380">
        <f t="shared" si="5"/>
        <v>3.4916666666666665E-2</v>
      </c>
    </row>
    <row r="400" spans="1:28" outlineLevel="2" x14ac:dyDescent="0.3">
      <c r="A400" s="379">
        <v>654</v>
      </c>
      <c r="B400" s="379">
        <v>813230</v>
      </c>
      <c r="C400" s="379" t="s">
        <v>1393</v>
      </c>
      <c r="D400" s="379">
        <v>2459743</v>
      </c>
      <c r="E400" s="379" t="s">
        <v>2770</v>
      </c>
      <c r="F400" s="379" t="s">
        <v>2346</v>
      </c>
      <c r="G400" s="383">
        <v>41395</v>
      </c>
      <c r="H400" s="379">
        <v>23641.5</v>
      </c>
      <c r="I400" s="379">
        <v>839.27</v>
      </c>
      <c r="J400" s="379">
        <v>3030.68</v>
      </c>
      <c r="K400" s="379">
        <v>1773.3</v>
      </c>
      <c r="L400" s="379"/>
      <c r="M400" s="379"/>
      <c r="N400" s="379"/>
      <c r="O400" s="379"/>
      <c r="P400" s="379">
        <v>22449.5</v>
      </c>
      <c r="Q400" s="379">
        <v>1192</v>
      </c>
      <c r="R400" s="379"/>
      <c r="S400" s="379"/>
      <c r="T400" s="379"/>
      <c r="U400" s="379"/>
      <c r="V400" s="380">
        <v>29284.75</v>
      </c>
      <c r="W400" s="381"/>
      <c r="X400" s="379"/>
      <c r="Y400" s="379"/>
      <c r="Z400" s="379">
        <v>5923001</v>
      </c>
      <c r="AA400" s="379" t="s">
        <v>2354</v>
      </c>
      <c r="AB400" s="380">
        <f t="shared" si="5"/>
        <v>0</v>
      </c>
    </row>
    <row r="401" spans="1:28" outlineLevel="2" x14ac:dyDescent="0.3">
      <c r="A401" s="379">
        <v>654</v>
      </c>
      <c r="B401" s="379">
        <v>813230</v>
      </c>
      <c r="C401" s="379" t="s">
        <v>1393</v>
      </c>
      <c r="D401" s="379">
        <v>2968532</v>
      </c>
      <c r="E401" s="379" t="s">
        <v>2534</v>
      </c>
      <c r="F401" s="379" t="s">
        <v>2669</v>
      </c>
      <c r="G401" s="383">
        <v>42736</v>
      </c>
      <c r="H401" s="379">
        <v>46163.07</v>
      </c>
      <c r="I401" s="379">
        <v>1656.4</v>
      </c>
      <c r="J401" s="379">
        <v>9362.0300000000007</v>
      </c>
      <c r="K401" s="379">
        <v>3499.4</v>
      </c>
      <c r="L401" s="379"/>
      <c r="M401" s="379">
        <v>147.44999999999999</v>
      </c>
      <c r="N401" s="379"/>
      <c r="O401" s="379">
        <v>35192.639999999999</v>
      </c>
      <c r="P401" s="379">
        <v>4095.31</v>
      </c>
      <c r="Q401" s="379">
        <v>4161.12</v>
      </c>
      <c r="R401" s="379"/>
      <c r="S401" s="379"/>
      <c r="T401" s="379">
        <v>2714</v>
      </c>
      <c r="U401" s="379"/>
      <c r="V401" s="380">
        <v>60828.35</v>
      </c>
      <c r="W401" s="381">
        <v>6</v>
      </c>
      <c r="X401" s="379"/>
      <c r="Y401" s="379"/>
      <c r="Z401" s="379">
        <v>5923001</v>
      </c>
      <c r="AA401" s="379" t="s">
        <v>2354</v>
      </c>
      <c r="AB401" s="380">
        <f t="shared" si="5"/>
        <v>0.5</v>
      </c>
    </row>
    <row r="402" spans="1:28" outlineLevel="2" x14ac:dyDescent="0.3">
      <c r="A402" s="379">
        <v>654</v>
      </c>
      <c r="B402" s="379">
        <v>813230</v>
      </c>
      <c r="C402" s="379" t="s">
        <v>1393</v>
      </c>
      <c r="D402" s="379">
        <v>3487657</v>
      </c>
      <c r="E402" s="379" t="s">
        <v>2340</v>
      </c>
      <c r="F402" s="379" t="s">
        <v>2821</v>
      </c>
      <c r="G402" s="383">
        <v>42614</v>
      </c>
      <c r="H402" s="379">
        <v>35170.74</v>
      </c>
      <c r="I402" s="379">
        <v>1266.4100000000001</v>
      </c>
      <c r="J402" s="379">
        <v>7351.12</v>
      </c>
      <c r="K402" s="379">
        <v>2675.33</v>
      </c>
      <c r="L402" s="379"/>
      <c r="M402" s="379">
        <v>128.52000000000001</v>
      </c>
      <c r="N402" s="379"/>
      <c r="O402" s="379">
        <v>29699.599999999999</v>
      </c>
      <c r="P402" s="379">
        <v>1747.16</v>
      </c>
      <c r="Q402" s="379">
        <v>3723.98</v>
      </c>
      <c r="R402" s="379"/>
      <c r="S402" s="379"/>
      <c r="T402" s="379"/>
      <c r="U402" s="379"/>
      <c r="V402" s="380">
        <v>46592.12</v>
      </c>
      <c r="W402" s="381">
        <v>5.415</v>
      </c>
      <c r="X402" s="379"/>
      <c r="Y402" s="379"/>
      <c r="Z402" s="379">
        <v>5923001</v>
      </c>
      <c r="AA402" s="379" t="s">
        <v>2354</v>
      </c>
      <c r="AB402" s="380">
        <f t="shared" si="5"/>
        <v>0.45124999999999998</v>
      </c>
    </row>
    <row r="403" spans="1:28" outlineLevel="2" x14ac:dyDescent="0.3">
      <c r="A403" s="379">
        <v>654</v>
      </c>
      <c r="B403" s="379">
        <v>813230</v>
      </c>
      <c r="C403" s="379" t="s">
        <v>1393</v>
      </c>
      <c r="D403" s="379">
        <v>4056047</v>
      </c>
      <c r="E403" s="379" t="s">
        <v>2822</v>
      </c>
      <c r="F403" s="379" t="s">
        <v>2755</v>
      </c>
      <c r="G403" s="383">
        <v>42736</v>
      </c>
      <c r="H403" s="379">
        <v>38284.21</v>
      </c>
      <c r="I403" s="379">
        <v>1410.29</v>
      </c>
      <c r="J403" s="379">
        <v>7590.59</v>
      </c>
      <c r="K403" s="379">
        <v>2908.71</v>
      </c>
      <c r="L403" s="379"/>
      <c r="M403" s="379">
        <v>117.1</v>
      </c>
      <c r="N403" s="379"/>
      <c r="O403" s="379">
        <v>29481.21</v>
      </c>
      <c r="P403" s="379">
        <v>1312</v>
      </c>
      <c r="Q403" s="379">
        <v>2086.36</v>
      </c>
      <c r="R403" s="379"/>
      <c r="S403" s="379"/>
      <c r="T403" s="379">
        <v>3691.04</v>
      </c>
      <c r="U403" s="379">
        <v>1713.6</v>
      </c>
      <c r="V403" s="380">
        <v>50310.9</v>
      </c>
      <c r="W403" s="381">
        <v>5.44</v>
      </c>
      <c r="X403" s="379"/>
      <c r="Y403" s="379"/>
      <c r="Z403" s="379">
        <v>3204001</v>
      </c>
      <c r="AA403" s="379" t="s">
        <v>2420</v>
      </c>
      <c r="AB403" s="380">
        <f t="shared" si="5"/>
        <v>0.45333333333333337</v>
      </c>
    </row>
    <row r="404" spans="1:28" outlineLevel="2" x14ac:dyDescent="0.3">
      <c r="A404" s="379">
        <v>654</v>
      </c>
      <c r="B404" s="379">
        <v>813230</v>
      </c>
      <c r="C404" s="379" t="s">
        <v>1393</v>
      </c>
      <c r="D404" s="379">
        <v>4060352</v>
      </c>
      <c r="E404" s="379" t="s">
        <v>2823</v>
      </c>
      <c r="F404" s="379" t="s">
        <v>2706</v>
      </c>
      <c r="G404" s="383">
        <v>39692</v>
      </c>
      <c r="H404" s="379">
        <v>62812.78</v>
      </c>
      <c r="I404" s="379">
        <v>2245.61</v>
      </c>
      <c r="J404" s="379">
        <v>12846.79</v>
      </c>
      <c r="K404" s="379">
        <v>4748.1000000000004</v>
      </c>
      <c r="L404" s="379"/>
      <c r="M404" s="379">
        <v>212.5</v>
      </c>
      <c r="N404" s="379"/>
      <c r="O404" s="379">
        <v>52063.199999999997</v>
      </c>
      <c r="P404" s="379">
        <v>1070.3499999999999</v>
      </c>
      <c r="Q404" s="379">
        <v>2622.6</v>
      </c>
      <c r="R404" s="379"/>
      <c r="S404" s="379"/>
      <c r="T404" s="379">
        <v>4486.2299999999996</v>
      </c>
      <c r="U404" s="379">
        <v>2570.4</v>
      </c>
      <c r="V404" s="380">
        <v>82865.78</v>
      </c>
      <c r="W404" s="381">
        <v>8.16</v>
      </c>
      <c r="X404" s="379"/>
      <c r="Y404" s="379"/>
      <c r="Z404" s="379">
        <v>1401202</v>
      </c>
      <c r="AA404" s="379" t="s">
        <v>2380</v>
      </c>
      <c r="AB404" s="380">
        <f t="shared" si="5"/>
        <v>0.68</v>
      </c>
    </row>
    <row r="405" spans="1:28" outlineLevel="2" x14ac:dyDescent="0.3">
      <c r="A405" s="379">
        <v>654</v>
      </c>
      <c r="B405" s="379">
        <v>813230</v>
      </c>
      <c r="C405" s="379" t="s">
        <v>1393</v>
      </c>
      <c r="D405" s="379">
        <v>5448945</v>
      </c>
      <c r="E405" s="379" t="s">
        <v>2323</v>
      </c>
      <c r="F405" s="379" t="s">
        <v>2824</v>
      </c>
      <c r="G405" s="383">
        <v>32994</v>
      </c>
      <c r="H405" s="379">
        <v>88173.47</v>
      </c>
      <c r="I405" s="379">
        <v>96.21</v>
      </c>
      <c r="J405" s="379">
        <v>7714.06</v>
      </c>
      <c r="K405" s="379">
        <v>6650.3</v>
      </c>
      <c r="L405" s="379"/>
      <c r="M405" s="379">
        <v>292.75</v>
      </c>
      <c r="N405" s="379"/>
      <c r="O405" s="379">
        <v>72615.56</v>
      </c>
      <c r="P405" s="379">
        <v>992.64</v>
      </c>
      <c r="Q405" s="379">
        <v>2673.36</v>
      </c>
      <c r="R405" s="379"/>
      <c r="S405" s="379"/>
      <c r="T405" s="379">
        <v>9661.91</v>
      </c>
      <c r="U405" s="379">
        <v>2230</v>
      </c>
      <c r="V405" s="380">
        <v>102926.79</v>
      </c>
      <c r="W405" s="381">
        <v>9.2040000000000006</v>
      </c>
      <c r="X405" s="379">
        <v>21</v>
      </c>
      <c r="Y405" s="379" t="s">
        <v>2632</v>
      </c>
      <c r="Z405" s="379">
        <v>3202002</v>
      </c>
      <c r="AA405" s="379" t="s">
        <v>2290</v>
      </c>
      <c r="AB405" s="380">
        <f t="shared" si="5"/>
        <v>0.76700000000000002</v>
      </c>
    </row>
    <row r="406" spans="1:28" outlineLevel="2" x14ac:dyDescent="0.3">
      <c r="A406" s="379">
        <v>654</v>
      </c>
      <c r="B406" s="379">
        <v>813230</v>
      </c>
      <c r="C406" s="379" t="s">
        <v>1393</v>
      </c>
      <c r="D406" s="379">
        <v>30553771</v>
      </c>
      <c r="E406" s="379" t="s">
        <v>2365</v>
      </c>
      <c r="F406" s="379" t="s">
        <v>2733</v>
      </c>
      <c r="G406" s="383">
        <v>43435</v>
      </c>
      <c r="H406" s="379">
        <v>6436.76</v>
      </c>
      <c r="I406" s="379">
        <v>228.51</v>
      </c>
      <c r="J406" s="379">
        <v>833.2</v>
      </c>
      <c r="K406" s="379">
        <v>482.8</v>
      </c>
      <c r="L406" s="379"/>
      <c r="M406" s="379"/>
      <c r="N406" s="379"/>
      <c r="O406" s="379">
        <v>4601.2299999999996</v>
      </c>
      <c r="P406" s="379">
        <v>1349.34</v>
      </c>
      <c r="Q406" s="379">
        <v>486.19</v>
      </c>
      <c r="R406" s="379"/>
      <c r="S406" s="379"/>
      <c r="T406" s="379"/>
      <c r="U406" s="379"/>
      <c r="V406" s="380">
        <v>7981.27</v>
      </c>
      <c r="W406" s="381">
        <v>0.79</v>
      </c>
      <c r="X406" s="379"/>
      <c r="Y406" s="379"/>
      <c r="Z406" s="379">
        <v>5923001</v>
      </c>
      <c r="AA406" s="379" t="s">
        <v>2354</v>
      </c>
      <c r="AB406" s="380">
        <f t="shared" si="5"/>
        <v>6.5833333333333341E-2</v>
      </c>
    </row>
    <row r="407" spans="1:28" outlineLevel="2" x14ac:dyDescent="0.3">
      <c r="A407" s="379">
        <v>654</v>
      </c>
      <c r="B407" s="379">
        <v>813230</v>
      </c>
      <c r="C407" s="379" t="s">
        <v>1393</v>
      </c>
      <c r="D407" s="379">
        <v>31590734</v>
      </c>
      <c r="E407" s="379" t="s">
        <v>2749</v>
      </c>
      <c r="F407" s="379" t="s">
        <v>2799</v>
      </c>
      <c r="G407" s="383">
        <v>43405</v>
      </c>
      <c r="H407" s="379">
        <v>4231.5</v>
      </c>
      <c r="I407" s="379">
        <v>150.22</v>
      </c>
      <c r="J407" s="379">
        <v>364.16</v>
      </c>
      <c r="K407" s="379">
        <v>317.38</v>
      </c>
      <c r="L407" s="379"/>
      <c r="M407" s="379"/>
      <c r="N407" s="379"/>
      <c r="O407" s="379"/>
      <c r="P407" s="379">
        <v>4231.5</v>
      </c>
      <c r="Q407" s="379"/>
      <c r="R407" s="379"/>
      <c r="S407" s="379"/>
      <c r="T407" s="379"/>
      <c r="U407" s="379"/>
      <c r="V407" s="380">
        <v>5063.26</v>
      </c>
      <c r="W407" s="381"/>
      <c r="X407" s="379"/>
      <c r="Y407" s="379"/>
      <c r="Z407" s="379">
        <v>1031001</v>
      </c>
      <c r="AA407" s="379" t="s">
        <v>2328</v>
      </c>
      <c r="AB407" s="380">
        <f t="shared" si="5"/>
        <v>0</v>
      </c>
    </row>
    <row r="408" spans="1:28" outlineLevel="2" x14ac:dyDescent="0.3">
      <c r="A408" s="379">
        <v>654</v>
      </c>
      <c r="B408" s="379">
        <v>813230</v>
      </c>
      <c r="C408" s="379" t="s">
        <v>1393</v>
      </c>
      <c r="D408" s="379">
        <v>32152272</v>
      </c>
      <c r="E408" s="379" t="s">
        <v>2825</v>
      </c>
      <c r="F408" s="379" t="s">
        <v>2826</v>
      </c>
      <c r="G408" s="383">
        <v>42339</v>
      </c>
      <c r="H408" s="379">
        <v>47507.14</v>
      </c>
      <c r="I408" s="379">
        <v>1704.11</v>
      </c>
      <c r="J408" s="379">
        <v>9569.7900000000009</v>
      </c>
      <c r="K408" s="379">
        <v>3600.25</v>
      </c>
      <c r="L408" s="379"/>
      <c r="M408" s="379">
        <v>148.9</v>
      </c>
      <c r="N408" s="379"/>
      <c r="O408" s="379">
        <v>35542.839999999997</v>
      </c>
      <c r="P408" s="379">
        <v>5089.18</v>
      </c>
      <c r="Q408" s="379">
        <v>4161.12</v>
      </c>
      <c r="R408" s="379"/>
      <c r="S408" s="379"/>
      <c r="T408" s="379">
        <v>2714</v>
      </c>
      <c r="U408" s="379"/>
      <c r="V408" s="380">
        <v>62530.19</v>
      </c>
      <c r="W408" s="381">
        <v>6</v>
      </c>
      <c r="X408" s="379">
        <v>1</v>
      </c>
      <c r="Y408" s="379" t="s">
        <v>2353</v>
      </c>
      <c r="Z408" s="379">
        <v>5923001</v>
      </c>
      <c r="AA408" s="379" t="s">
        <v>2354</v>
      </c>
      <c r="AB408" s="380">
        <f t="shared" si="5"/>
        <v>0.5</v>
      </c>
    </row>
    <row r="409" spans="1:28" outlineLevel="2" x14ac:dyDescent="0.3">
      <c r="A409" s="379">
        <v>654</v>
      </c>
      <c r="B409" s="379">
        <v>813230</v>
      </c>
      <c r="C409" s="379" t="s">
        <v>1393</v>
      </c>
      <c r="D409" s="379">
        <v>32154779</v>
      </c>
      <c r="E409" s="379" t="s">
        <v>2825</v>
      </c>
      <c r="F409" s="379" t="s">
        <v>2827</v>
      </c>
      <c r="G409" s="383">
        <v>42339</v>
      </c>
      <c r="H409" s="379">
        <v>45880.04</v>
      </c>
      <c r="I409" s="379">
        <v>1646.35</v>
      </c>
      <c r="J409" s="379">
        <v>9324.7199999999993</v>
      </c>
      <c r="K409" s="379">
        <v>3478.1</v>
      </c>
      <c r="L409" s="379"/>
      <c r="M409" s="379">
        <v>147.5</v>
      </c>
      <c r="N409" s="379"/>
      <c r="O409" s="379">
        <v>35203.480000000003</v>
      </c>
      <c r="P409" s="379">
        <v>3801.44</v>
      </c>
      <c r="Q409" s="379">
        <v>4161.12</v>
      </c>
      <c r="R409" s="379"/>
      <c r="S409" s="379"/>
      <c r="T409" s="379">
        <v>2714</v>
      </c>
      <c r="U409" s="379"/>
      <c r="V409" s="380">
        <v>60476.71</v>
      </c>
      <c r="W409" s="381">
        <v>6</v>
      </c>
      <c r="X409" s="379">
        <v>1</v>
      </c>
      <c r="Y409" s="379" t="s">
        <v>2353</v>
      </c>
      <c r="Z409" s="379">
        <v>5923001</v>
      </c>
      <c r="AA409" s="379" t="s">
        <v>2354</v>
      </c>
      <c r="AB409" s="380">
        <f t="shared" si="5"/>
        <v>0.5</v>
      </c>
    </row>
    <row r="410" spans="1:28" outlineLevel="1" x14ac:dyDescent="0.3">
      <c r="A410" s="379"/>
      <c r="B410" s="384" t="s">
        <v>2828</v>
      </c>
      <c r="C410" s="379"/>
      <c r="D410" s="379"/>
      <c r="E410" s="379"/>
      <c r="F410" s="379"/>
      <c r="G410" s="383"/>
      <c r="H410" s="379"/>
      <c r="I410" s="379"/>
      <c r="J410" s="379"/>
      <c r="K410" s="379"/>
      <c r="L410" s="379"/>
      <c r="M410" s="379"/>
      <c r="N410" s="379"/>
      <c r="O410" s="379"/>
      <c r="P410" s="379"/>
      <c r="Q410" s="379"/>
      <c r="R410" s="379"/>
      <c r="S410" s="379"/>
      <c r="T410" s="379"/>
      <c r="U410" s="379"/>
      <c r="V410" s="380">
        <f>SUBTOTAL(9,V398:V409)</f>
        <v>657909.21</v>
      </c>
      <c r="W410" s="381">
        <f>SUBTOTAL(9,W398:W409)</f>
        <v>59.427999999999997</v>
      </c>
      <c r="X410" s="379"/>
      <c r="Y410" s="379"/>
      <c r="Z410" s="379"/>
      <c r="AA410" s="379"/>
      <c r="AB410" s="380">
        <f>SUBTOTAL(9,AB398:AB409)</f>
        <v>4.9523333333333337</v>
      </c>
    </row>
    <row r="411" spans="1:28" outlineLevel="2" x14ac:dyDescent="0.3">
      <c r="A411" s="379">
        <v>654</v>
      </c>
      <c r="B411" s="379">
        <v>813240</v>
      </c>
      <c r="C411" s="379" t="s">
        <v>1402</v>
      </c>
      <c r="D411" s="379">
        <v>2155137</v>
      </c>
      <c r="E411" s="379" t="s">
        <v>2315</v>
      </c>
      <c r="F411" s="379" t="s">
        <v>2316</v>
      </c>
      <c r="G411" s="383">
        <v>39692</v>
      </c>
      <c r="H411" s="379">
        <v>57459.08</v>
      </c>
      <c r="I411" s="379">
        <v>2408.36</v>
      </c>
      <c r="J411" s="379">
        <v>11565.62</v>
      </c>
      <c r="K411" s="379">
        <v>4346.6000000000004</v>
      </c>
      <c r="L411" s="379"/>
      <c r="M411" s="379">
        <v>180.2</v>
      </c>
      <c r="N411" s="379"/>
      <c r="O411" s="379">
        <v>44617.52</v>
      </c>
      <c r="P411" s="379">
        <v>923.73</v>
      </c>
      <c r="Q411" s="379">
        <v>1833.92</v>
      </c>
      <c r="R411" s="379"/>
      <c r="S411" s="379"/>
      <c r="T411" s="379">
        <v>6343.91</v>
      </c>
      <c r="U411" s="379">
        <v>3740</v>
      </c>
      <c r="V411" s="380">
        <v>75959.86</v>
      </c>
      <c r="W411" s="381">
        <v>7.2</v>
      </c>
      <c r="X411" s="379"/>
      <c r="Y411" s="379"/>
      <c r="Z411" s="379">
        <v>3204001</v>
      </c>
      <c r="AA411" s="379" t="s">
        <v>2420</v>
      </c>
      <c r="AB411" s="380">
        <f t="shared" si="5"/>
        <v>0.6</v>
      </c>
    </row>
    <row r="412" spans="1:28" outlineLevel="2" x14ac:dyDescent="0.3">
      <c r="A412" s="379">
        <v>654</v>
      </c>
      <c r="B412" s="379">
        <v>813240</v>
      </c>
      <c r="C412" s="379" t="s">
        <v>1402</v>
      </c>
      <c r="D412" s="379">
        <v>2282675</v>
      </c>
      <c r="E412" s="379" t="s">
        <v>2829</v>
      </c>
      <c r="F412" s="379" t="s">
        <v>2696</v>
      </c>
      <c r="G412" s="383">
        <v>35582</v>
      </c>
      <c r="H412" s="379">
        <v>48322.38</v>
      </c>
      <c r="I412" s="379">
        <v>1731.75</v>
      </c>
      <c r="J412" s="379">
        <v>4838.84</v>
      </c>
      <c r="K412" s="379">
        <v>3661.45</v>
      </c>
      <c r="L412" s="379"/>
      <c r="M412" s="379">
        <v>166.75</v>
      </c>
      <c r="N412" s="379"/>
      <c r="O412" s="379">
        <v>40018.78</v>
      </c>
      <c r="P412" s="379">
        <v>561.44000000000005</v>
      </c>
      <c r="Q412" s="379">
        <v>4164.16</v>
      </c>
      <c r="R412" s="379"/>
      <c r="S412" s="379"/>
      <c r="T412" s="379">
        <v>3578</v>
      </c>
      <c r="U412" s="379"/>
      <c r="V412" s="380">
        <v>58721.17</v>
      </c>
      <c r="W412" s="381">
        <v>6</v>
      </c>
      <c r="X412" s="379">
        <v>1</v>
      </c>
      <c r="Y412" s="379" t="s">
        <v>2353</v>
      </c>
      <c r="Z412" s="379">
        <v>5931001</v>
      </c>
      <c r="AA412" s="379" t="s">
        <v>2320</v>
      </c>
      <c r="AB412" s="380">
        <f t="shared" si="5"/>
        <v>0.5</v>
      </c>
    </row>
    <row r="413" spans="1:28" outlineLevel="2" x14ac:dyDescent="0.3">
      <c r="A413" s="379">
        <v>654</v>
      </c>
      <c r="B413" s="379">
        <v>813240</v>
      </c>
      <c r="C413" s="379" t="s">
        <v>1402</v>
      </c>
      <c r="D413" s="379">
        <v>2391586</v>
      </c>
      <c r="E413" s="379" t="s">
        <v>2830</v>
      </c>
      <c r="F413" s="379" t="s">
        <v>2831</v>
      </c>
      <c r="G413" s="383">
        <v>34973</v>
      </c>
      <c r="H413" s="379">
        <v>49796.959999999999</v>
      </c>
      <c r="I413" s="379">
        <v>1785.41</v>
      </c>
      <c r="J413" s="379">
        <v>4947.95</v>
      </c>
      <c r="K413" s="379">
        <v>3771.95</v>
      </c>
      <c r="L413" s="379"/>
      <c r="M413" s="379">
        <v>175.7</v>
      </c>
      <c r="N413" s="379"/>
      <c r="O413" s="379">
        <v>42237.36</v>
      </c>
      <c r="P413" s="379"/>
      <c r="Q413" s="379">
        <v>4197.6000000000004</v>
      </c>
      <c r="R413" s="379"/>
      <c r="S413" s="379"/>
      <c r="T413" s="379">
        <v>3362</v>
      </c>
      <c r="U413" s="379"/>
      <c r="V413" s="380">
        <v>60477.97</v>
      </c>
      <c r="W413" s="381">
        <v>6</v>
      </c>
      <c r="X413" s="379">
        <v>1</v>
      </c>
      <c r="Y413" s="379" t="s">
        <v>2353</v>
      </c>
      <c r="Z413" s="379">
        <v>5931001</v>
      </c>
      <c r="AA413" s="379" t="s">
        <v>2320</v>
      </c>
      <c r="AB413" s="380">
        <f t="shared" si="5"/>
        <v>0.5</v>
      </c>
    </row>
    <row r="414" spans="1:28" outlineLevel="2" x14ac:dyDescent="0.3">
      <c r="A414" s="379">
        <v>654</v>
      </c>
      <c r="B414" s="379">
        <v>813240</v>
      </c>
      <c r="C414" s="379" t="s">
        <v>1402</v>
      </c>
      <c r="D414" s="379">
        <v>2459889</v>
      </c>
      <c r="E414" s="379" t="s">
        <v>2451</v>
      </c>
      <c r="F414" s="379" t="s">
        <v>2832</v>
      </c>
      <c r="G414" s="383">
        <v>37712</v>
      </c>
      <c r="H414" s="379">
        <v>80622.97</v>
      </c>
      <c r="I414" s="379">
        <v>3230.05</v>
      </c>
      <c r="J414" s="379">
        <v>16986.7</v>
      </c>
      <c r="K414" s="379">
        <v>6083.95</v>
      </c>
      <c r="L414" s="379"/>
      <c r="M414" s="379">
        <v>288.14999999999998</v>
      </c>
      <c r="N414" s="379"/>
      <c r="O414" s="379">
        <v>71548.59</v>
      </c>
      <c r="P414" s="379">
        <v>500.5</v>
      </c>
      <c r="Q414" s="379">
        <v>2750.88</v>
      </c>
      <c r="R414" s="379"/>
      <c r="S414" s="379"/>
      <c r="T414" s="379">
        <v>5823</v>
      </c>
      <c r="U414" s="379"/>
      <c r="V414" s="380">
        <v>107211.82</v>
      </c>
      <c r="W414" s="381">
        <v>10.8</v>
      </c>
      <c r="X414" s="379"/>
      <c r="Y414" s="379"/>
      <c r="Z414" s="379">
        <v>1027</v>
      </c>
      <c r="AA414" s="379" t="s">
        <v>2383</v>
      </c>
      <c r="AB414" s="380">
        <f t="shared" si="5"/>
        <v>0.9</v>
      </c>
    </row>
    <row r="415" spans="1:28" outlineLevel="2" x14ac:dyDescent="0.3">
      <c r="A415" s="379">
        <v>654</v>
      </c>
      <c r="B415" s="379">
        <v>813240</v>
      </c>
      <c r="C415" s="379" t="s">
        <v>1402</v>
      </c>
      <c r="D415" s="379">
        <v>2528081</v>
      </c>
      <c r="E415" s="379" t="s">
        <v>2788</v>
      </c>
      <c r="F415" s="379" t="s">
        <v>2833</v>
      </c>
      <c r="G415" s="383">
        <v>40848</v>
      </c>
      <c r="H415" s="379">
        <v>55572.27</v>
      </c>
      <c r="I415" s="379">
        <v>1995.64</v>
      </c>
      <c r="J415" s="379">
        <v>11353.52</v>
      </c>
      <c r="K415" s="379">
        <v>4202.3500000000004</v>
      </c>
      <c r="L415" s="379"/>
      <c r="M415" s="379">
        <v>189.25</v>
      </c>
      <c r="N415" s="379"/>
      <c r="O415" s="379">
        <v>47778.49</v>
      </c>
      <c r="P415" s="379">
        <v>36.46</v>
      </c>
      <c r="Q415" s="379">
        <v>2575.92</v>
      </c>
      <c r="R415" s="379"/>
      <c r="S415" s="379"/>
      <c r="T415" s="379">
        <v>4400.3999999999996</v>
      </c>
      <c r="U415" s="379">
        <v>781</v>
      </c>
      <c r="V415" s="380">
        <v>73313.03</v>
      </c>
      <c r="W415" s="381">
        <v>7.2</v>
      </c>
      <c r="X415" s="379">
        <v>21</v>
      </c>
      <c r="Y415" s="379" t="s">
        <v>2632</v>
      </c>
      <c r="Z415" s="379">
        <v>3204001</v>
      </c>
      <c r="AA415" s="379" t="s">
        <v>2420</v>
      </c>
      <c r="AB415" s="380">
        <f t="shared" si="5"/>
        <v>0.6</v>
      </c>
    </row>
    <row r="416" spans="1:28" outlineLevel="2" x14ac:dyDescent="0.3">
      <c r="A416" s="379">
        <v>654</v>
      </c>
      <c r="B416" s="379">
        <v>813240</v>
      </c>
      <c r="C416" s="379" t="s">
        <v>1402</v>
      </c>
      <c r="D416" s="379">
        <v>3195918</v>
      </c>
      <c r="E416" s="379" t="s">
        <v>2372</v>
      </c>
      <c r="F416" s="379" t="s">
        <v>2373</v>
      </c>
      <c r="G416" s="383">
        <v>42186</v>
      </c>
      <c r="H416" s="379">
        <v>46151.519999999997</v>
      </c>
      <c r="I416" s="379">
        <v>1655.98</v>
      </c>
      <c r="J416" s="379">
        <v>9532.36</v>
      </c>
      <c r="K416" s="379">
        <v>3498.61</v>
      </c>
      <c r="L416" s="379"/>
      <c r="M416" s="379">
        <v>149.9</v>
      </c>
      <c r="N416" s="379"/>
      <c r="O416" s="379">
        <v>35795.08</v>
      </c>
      <c r="P416" s="379">
        <v>3525.39</v>
      </c>
      <c r="Q416" s="379">
        <v>4124.76</v>
      </c>
      <c r="R416" s="379"/>
      <c r="S416" s="379"/>
      <c r="T416" s="379">
        <v>2706.29</v>
      </c>
      <c r="U416" s="379"/>
      <c r="V416" s="380">
        <v>60988.37</v>
      </c>
      <c r="W416" s="381">
        <v>6</v>
      </c>
      <c r="X416" s="379"/>
      <c r="Y416" s="379"/>
      <c r="Z416" s="379">
        <v>5921001</v>
      </c>
      <c r="AA416" s="379" t="s">
        <v>2374</v>
      </c>
      <c r="AB416" s="380">
        <f t="shared" si="5"/>
        <v>0.5</v>
      </c>
    </row>
    <row r="417" spans="1:28" outlineLevel="2" x14ac:dyDescent="0.3">
      <c r="A417" s="379">
        <v>654</v>
      </c>
      <c r="B417" s="379">
        <v>813240</v>
      </c>
      <c r="C417" s="379" t="s">
        <v>1402</v>
      </c>
      <c r="D417" s="379">
        <v>3655494</v>
      </c>
      <c r="E417" s="379" t="s">
        <v>2792</v>
      </c>
      <c r="F417" s="379" t="s">
        <v>2793</v>
      </c>
      <c r="G417" s="383">
        <v>42826</v>
      </c>
      <c r="H417" s="379">
        <v>2376.25</v>
      </c>
      <c r="I417" s="379">
        <v>84.37</v>
      </c>
      <c r="J417" s="379">
        <v>300.68</v>
      </c>
      <c r="K417" s="379">
        <v>178.24</v>
      </c>
      <c r="L417" s="379"/>
      <c r="M417" s="379"/>
      <c r="N417" s="379"/>
      <c r="O417" s="379"/>
      <c r="P417" s="379">
        <v>2227.25</v>
      </c>
      <c r="Q417" s="379">
        <v>149</v>
      </c>
      <c r="R417" s="379"/>
      <c r="S417" s="379"/>
      <c r="T417" s="379"/>
      <c r="U417" s="379"/>
      <c r="V417" s="380">
        <v>2939.54</v>
      </c>
      <c r="W417" s="381"/>
      <c r="X417" s="379"/>
      <c r="Y417" s="379"/>
      <c r="Z417" s="379">
        <v>1027</v>
      </c>
      <c r="AA417" s="379" t="s">
        <v>2383</v>
      </c>
      <c r="AB417" s="380">
        <f t="shared" si="5"/>
        <v>0</v>
      </c>
    </row>
    <row r="418" spans="1:28" outlineLevel="2" x14ac:dyDescent="0.3">
      <c r="A418" s="379">
        <v>654</v>
      </c>
      <c r="B418" s="379">
        <v>813240</v>
      </c>
      <c r="C418" s="379" t="s">
        <v>1402</v>
      </c>
      <c r="D418" s="379">
        <v>4056047</v>
      </c>
      <c r="E418" s="379" t="s">
        <v>2822</v>
      </c>
      <c r="F418" s="379" t="s">
        <v>2755</v>
      </c>
      <c r="G418" s="383">
        <v>42736</v>
      </c>
      <c r="H418" s="379">
        <v>18244.560000000001</v>
      </c>
      <c r="I418" s="379">
        <v>647.53</v>
      </c>
      <c r="J418" s="379">
        <v>3549.01</v>
      </c>
      <c r="K418" s="379">
        <v>1368.19</v>
      </c>
      <c r="L418" s="379"/>
      <c r="M418" s="379">
        <v>67.45</v>
      </c>
      <c r="N418" s="379"/>
      <c r="O418" s="379">
        <v>16901.080000000002</v>
      </c>
      <c r="P418" s="379"/>
      <c r="Q418" s="379">
        <v>486.68</v>
      </c>
      <c r="R418" s="379"/>
      <c r="S418" s="379"/>
      <c r="T418" s="379"/>
      <c r="U418" s="379">
        <v>856.8</v>
      </c>
      <c r="V418" s="380">
        <v>23876.74</v>
      </c>
      <c r="W418" s="381">
        <v>2.72</v>
      </c>
      <c r="X418" s="379"/>
      <c r="Y418" s="379"/>
      <c r="Z418" s="379">
        <v>3204001</v>
      </c>
      <c r="AA418" s="379" t="s">
        <v>2420</v>
      </c>
      <c r="AB418" s="380">
        <f t="shared" si="5"/>
        <v>0.22666666666666668</v>
      </c>
    </row>
    <row r="419" spans="1:28" outlineLevel="2" x14ac:dyDescent="0.3">
      <c r="A419" s="379">
        <v>654</v>
      </c>
      <c r="B419" s="379">
        <v>813240</v>
      </c>
      <c r="C419" s="379" t="s">
        <v>1402</v>
      </c>
      <c r="D419" s="379">
        <v>5716950</v>
      </c>
      <c r="E419" s="379" t="s">
        <v>2834</v>
      </c>
      <c r="F419" s="379" t="s">
        <v>2358</v>
      </c>
      <c r="G419" s="383">
        <v>36161</v>
      </c>
      <c r="H419" s="379">
        <v>98740.06</v>
      </c>
      <c r="I419" s="379">
        <v>4590.87</v>
      </c>
      <c r="J419" s="379">
        <v>7557.75</v>
      </c>
      <c r="K419" s="379">
        <v>7442.75</v>
      </c>
      <c r="L419" s="379"/>
      <c r="M419" s="379">
        <v>352.75</v>
      </c>
      <c r="N419" s="379"/>
      <c r="O419" s="379">
        <v>88164.86</v>
      </c>
      <c r="P419" s="379"/>
      <c r="Q419" s="379">
        <v>2809.2</v>
      </c>
      <c r="R419" s="379"/>
      <c r="S419" s="379"/>
      <c r="T419" s="379">
        <v>7766</v>
      </c>
      <c r="U419" s="379"/>
      <c r="V419" s="380">
        <v>118684.18</v>
      </c>
      <c r="W419" s="381">
        <v>12</v>
      </c>
      <c r="X419" s="379"/>
      <c r="Y419" s="379"/>
      <c r="Z419" s="379">
        <v>1027</v>
      </c>
      <c r="AA419" s="379" t="s">
        <v>2383</v>
      </c>
      <c r="AB419" s="380">
        <f t="shared" si="5"/>
        <v>1</v>
      </c>
    </row>
    <row r="420" spans="1:28" outlineLevel="2" x14ac:dyDescent="0.3">
      <c r="A420" s="379">
        <v>654</v>
      </c>
      <c r="B420" s="379">
        <v>813240</v>
      </c>
      <c r="C420" s="379" t="s">
        <v>1402</v>
      </c>
      <c r="D420" s="379">
        <v>5716973</v>
      </c>
      <c r="E420" s="379" t="s">
        <v>2835</v>
      </c>
      <c r="F420" s="379" t="s">
        <v>2445</v>
      </c>
      <c r="G420" s="383">
        <v>42826</v>
      </c>
      <c r="H420" s="379">
        <v>1673</v>
      </c>
      <c r="I420" s="379">
        <v>59.4</v>
      </c>
      <c r="J420" s="379">
        <v>207.23</v>
      </c>
      <c r="K420" s="379">
        <v>125.5</v>
      </c>
      <c r="L420" s="379"/>
      <c r="M420" s="379"/>
      <c r="N420" s="379"/>
      <c r="O420" s="379">
        <v>1</v>
      </c>
      <c r="P420" s="379">
        <v>1534</v>
      </c>
      <c r="Q420" s="379">
        <v>138</v>
      </c>
      <c r="R420" s="379"/>
      <c r="S420" s="379"/>
      <c r="T420" s="379"/>
      <c r="U420" s="379"/>
      <c r="V420" s="380">
        <v>2065.13</v>
      </c>
      <c r="W420" s="381"/>
      <c r="X420" s="379"/>
      <c r="Y420" s="379"/>
      <c r="Z420" s="379">
        <v>5923001</v>
      </c>
      <c r="AA420" s="379" t="s">
        <v>2354</v>
      </c>
      <c r="AB420" s="380">
        <f t="shared" si="5"/>
        <v>0</v>
      </c>
    </row>
    <row r="421" spans="1:28" outlineLevel="2" x14ac:dyDescent="0.3">
      <c r="A421" s="379">
        <v>654</v>
      </c>
      <c r="B421" s="379">
        <v>813240</v>
      </c>
      <c r="C421" s="379" t="s">
        <v>1402</v>
      </c>
      <c r="D421" s="379">
        <v>5728552</v>
      </c>
      <c r="E421" s="379" t="s">
        <v>2377</v>
      </c>
      <c r="F421" s="379" t="s">
        <v>2378</v>
      </c>
      <c r="G421" s="383">
        <v>35278</v>
      </c>
      <c r="H421" s="379">
        <v>56516.24</v>
      </c>
      <c r="I421" s="379">
        <v>2473.67</v>
      </c>
      <c r="J421" s="379">
        <v>5873.42</v>
      </c>
      <c r="K421" s="379">
        <v>4276.6099999999997</v>
      </c>
      <c r="L421" s="379"/>
      <c r="M421" s="379">
        <v>174.25</v>
      </c>
      <c r="N421" s="379"/>
      <c r="O421" s="379">
        <v>42061.08</v>
      </c>
      <c r="P421" s="379">
        <v>7044.56</v>
      </c>
      <c r="Q421" s="379">
        <v>4048.6</v>
      </c>
      <c r="R421" s="379"/>
      <c r="S421" s="379"/>
      <c r="T421" s="379">
        <v>3362</v>
      </c>
      <c r="U421" s="379"/>
      <c r="V421" s="380">
        <v>69314.19</v>
      </c>
      <c r="W421" s="381">
        <v>6</v>
      </c>
      <c r="X421" s="379"/>
      <c r="Y421" s="379"/>
      <c r="Z421" s="379">
        <v>5923001</v>
      </c>
      <c r="AA421" s="379" t="s">
        <v>2354</v>
      </c>
      <c r="AB421" s="380">
        <f t="shared" si="5"/>
        <v>0.5</v>
      </c>
    </row>
    <row r="422" spans="1:28" outlineLevel="2" x14ac:dyDescent="0.3">
      <c r="A422" s="379">
        <v>654</v>
      </c>
      <c r="B422" s="379">
        <v>813240</v>
      </c>
      <c r="C422" s="379" t="s">
        <v>1402</v>
      </c>
      <c r="D422" s="379">
        <v>5836026</v>
      </c>
      <c r="E422" s="379" t="s">
        <v>2398</v>
      </c>
      <c r="F422" s="379" t="s">
        <v>2717</v>
      </c>
      <c r="G422" s="383">
        <v>35186</v>
      </c>
      <c r="H422" s="379">
        <v>49675.040000000001</v>
      </c>
      <c r="I422" s="379">
        <v>1781.09</v>
      </c>
      <c r="J422" s="379">
        <v>4158.68</v>
      </c>
      <c r="K422" s="379">
        <v>3762.95</v>
      </c>
      <c r="L422" s="379"/>
      <c r="M422" s="379">
        <v>175.1</v>
      </c>
      <c r="N422" s="379"/>
      <c r="O422" s="379">
        <v>42115.44</v>
      </c>
      <c r="P422" s="379"/>
      <c r="Q422" s="379">
        <v>4197.6000000000004</v>
      </c>
      <c r="R422" s="379"/>
      <c r="S422" s="379"/>
      <c r="T422" s="379">
        <v>3362</v>
      </c>
      <c r="U422" s="379"/>
      <c r="V422" s="380">
        <v>59552.86</v>
      </c>
      <c r="W422" s="381">
        <v>6</v>
      </c>
      <c r="X422" s="379">
        <v>1</v>
      </c>
      <c r="Y422" s="379" t="s">
        <v>2353</v>
      </c>
      <c r="Z422" s="379">
        <v>5923001</v>
      </c>
      <c r="AA422" s="379" t="s">
        <v>2354</v>
      </c>
      <c r="AB422" s="380">
        <f t="shared" si="5"/>
        <v>0.5</v>
      </c>
    </row>
    <row r="423" spans="1:28" outlineLevel="2" x14ac:dyDescent="0.3">
      <c r="A423" s="379">
        <v>654</v>
      </c>
      <c r="B423" s="379">
        <v>813240</v>
      </c>
      <c r="C423" s="379" t="s">
        <v>1402</v>
      </c>
      <c r="D423" s="379">
        <v>5904611</v>
      </c>
      <c r="E423" s="379" t="s">
        <v>2332</v>
      </c>
      <c r="F423" s="379" t="s">
        <v>2728</v>
      </c>
      <c r="G423" s="383">
        <v>40787</v>
      </c>
      <c r="H423" s="379">
        <v>4495.3100000000004</v>
      </c>
      <c r="I423" s="379">
        <v>159.58000000000001</v>
      </c>
      <c r="J423" s="379">
        <v>896.39</v>
      </c>
      <c r="K423" s="379">
        <v>337.15</v>
      </c>
      <c r="L423" s="379"/>
      <c r="M423" s="379">
        <v>17.05</v>
      </c>
      <c r="N423" s="379"/>
      <c r="O423" s="379">
        <v>4268.5</v>
      </c>
      <c r="P423" s="379"/>
      <c r="Q423" s="379">
        <v>226.81</v>
      </c>
      <c r="R423" s="379"/>
      <c r="S423" s="379"/>
      <c r="T423" s="379"/>
      <c r="U423" s="379"/>
      <c r="V423" s="380">
        <v>5905.48</v>
      </c>
      <c r="W423" s="381">
        <v>0.85</v>
      </c>
      <c r="X423" s="379"/>
      <c r="Y423" s="379"/>
      <c r="Z423" s="379">
        <v>1027</v>
      </c>
      <c r="AA423" s="379" t="s">
        <v>2383</v>
      </c>
      <c r="AB423" s="380">
        <f t="shared" si="5"/>
        <v>7.0833333333333331E-2</v>
      </c>
    </row>
    <row r="424" spans="1:28" outlineLevel="2" x14ac:dyDescent="0.3">
      <c r="A424" s="379">
        <v>654</v>
      </c>
      <c r="B424" s="379">
        <v>813240</v>
      </c>
      <c r="C424" s="379" t="s">
        <v>1402</v>
      </c>
      <c r="D424" s="379">
        <v>6075267</v>
      </c>
      <c r="E424" s="379" t="s">
        <v>2365</v>
      </c>
      <c r="F424" s="379" t="s">
        <v>2836</v>
      </c>
      <c r="G424" s="383">
        <v>42767</v>
      </c>
      <c r="H424" s="379">
        <v>94911.48</v>
      </c>
      <c r="I424" s="379">
        <v>4252.55</v>
      </c>
      <c r="J424" s="379">
        <v>23941.84</v>
      </c>
      <c r="K424" s="379">
        <v>7155.5</v>
      </c>
      <c r="L424" s="379"/>
      <c r="M424" s="379">
        <v>324.95</v>
      </c>
      <c r="N424" s="379"/>
      <c r="O424" s="379">
        <v>75398.27</v>
      </c>
      <c r="P424" s="379">
        <v>6826.01</v>
      </c>
      <c r="Q424" s="379">
        <v>2809.2</v>
      </c>
      <c r="R424" s="379">
        <v>3408</v>
      </c>
      <c r="S424" s="379"/>
      <c r="T424" s="379">
        <v>6470</v>
      </c>
      <c r="U424" s="379"/>
      <c r="V424" s="380">
        <v>130586.32</v>
      </c>
      <c r="W424" s="381">
        <v>12</v>
      </c>
      <c r="X424" s="379"/>
      <c r="Y424" s="379"/>
      <c r="Z424" s="379">
        <v>5302002</v>
      </c>
      <c r="AA424" s="379" t="s">
        <v>2467</v>
      </c>
      <c r="AB424" s="380">
        <f t="shared" ref="AB424:AB492" si="6">W424/12</f>
        <v>1</v>
      </c>
    </row>
    <row r="425" spans="1:28" outlineLevel="2" x14ac:dyDescent="0.3">
      <c r="A425" s="379">
        <v>654</v>
      </c>
      <c r="B425" s="379">
        <v>813240</v>
      </c>
      <c r="C425" s="379" t="s">
        <v>1402</v>
      </c>
      <c r="D425" s="379">
        <v>6332895</v>
      </c>
      <c r="E425" s="379" t="s">
        <v>2837</v>
      </c>
      <c r="F425" s="379" t="s">
        <v>2366</v>
      </c>
      <c r="G425" s="383">
        <v>33695</v>
      </c>
      <c r="H425" s="379">
        <v>53070</v>
      </c>
      <c r="I425" s="379">
        <v>255.27</v>
      </c>
      <c r="J425" s="379">
        <v>5047.45</v>
      </c>
      <c r="K425" s="379">
        <v>4017.5</v>
      </c>
      <c r="L425" s="379"/>
      <c r="M425" s="379">
        <v>188</v>
      </c>
      <c r="N425" s="379"/>
      <c r="O425" s="379">
        <v>43108.76</v>
      </c>
      <c r="P425" s="379"/>
      <c r="Q425" s="379">
        <v>4197.6000000000004</v>
      </c>
      <c r="R425" s="379"/>
      <c r="S425" s="379"/>
      <c r="T425" s="379">
        <v>5763.64</v>
      </c>
      <c r="U425" s="379"/>
      <c r="V425" s="380">
        <v>62578.22</v>
      </c>
      <c r="W425" s="381">
        <v>6</v>
      </c>
      <c r="X425" s="379">
        <v>1</v>
      </c>
      <c r="Y425" s="379" t="s">
        <v>2353</v>
      </c>
      <c r="Z425" s="379">
        <v>5923001</v>
      </c>
      <c r="AA425" s="379" t="s">
        <v>2354</v>
      </c>
      <c r="AB425" s="380">
        <f t="shared" si="6"/>
        <v>0.5</v>
      </c>
    </row>
    <row r="426" spans="1:28" outlineLevel="2" x14ac:dyDescent="0.3">
      <c r="A426" s="379">
        <v>654</v>
      </c>
      <c r="B426" s="379">
        <v>813240</v>
      </c>
      <c r="C426" s="379" t="s">
        <v>1402</v>
      </c>
      <c r="D426" s="379">
        <v>6580499</v>
      </c>
      <c r="E426" s="379" t="s">
        <v>2838</v>
      </c>
      <c r="F426" s="379" t="s">
        <v>2366</v>
      </c>
      <c r="G426" s="383">
        <v>32874</v>
      </c>
      <c r="H426" s="379">
        <v>72716.259999999995</v>
      </c>
      <c r="I426" s="379">
        <v>369.34</v>
      </c>
      <c r="J426" s="379">
        <v>6810.4</v>
      </c>
      <c r="K426" s="379">
        <v>5491.1</v>
      </c>
      <c r="L426" s="379"/>
      <c r="M426" s="379">
        <v>265.2</v>
      </c>
      <c r="N426" s="379"/>
      <c r="O426" s="379">
        <v>61069</v>
      </c>
      <c r="P426" s="379"/>
      <c r="Q426" s="379">
        <v>3542.24</v>
      </c>
      <c r="R426" s="379"/>
      <c r="S426" s="379"/>
      <c r="T426" s="379">
        <v>8105.02</v>
      </c>
      <c r="U426" s="379"/>
      <c r="V426" s="380">
        <v>85652.3</v>
      </c>
      <c r="W426" s="381">
        <v>8.4</v>
      </c>
      <c r="X426" s="379">
        <v>1</v>
      </c>
      <c r="Y426" s="379" t="s">
        <v>2353</v>
      </c>
      <c r="Z426" s="379">
        <v>5923001</v>
      </c>
      <c r="AA426" s="379" t="s">
        <v>2354</v>
      </c>
      <c r="AB426" s="380">
        <f t="shared" si="6"/>
        <v>0.70000000000000007</v>
      </c>
    </row>
    <row r="427" spans="1:28" outlineLevel="2" x14ac:dyDescent="0.3">
      <c r="A427" s="379">
        <v>654</v>
      </c>
      <c r="B427" s="379">
        <v>813240</v>
      </c>
      <c r="C427" s="379" t="s">
        <v>1402</v>
      </c>
      <c r="D427" s="379">
        <v>6836832</v>
      </c>
      <c r="E427" s="379" t="s">
        <v>2839</v>
      </c>
      <c r="F427" s="379" t="s">
        <v>2644</v>
      </c>
      <c r="G427" s="383">
        <v>36192</v>
      </c>
      <c r="H427" s="379">
        <v>46159.85</v>
      </c>
      <c r="I427" s="379">
        <v>1656.26</v>
      </c>
      <c r="J427" s="379">
        <v>3895.89</v>
      </c>
      <c r="K427" s="379">
        <v>3499.3</v>
      </c>
      <c r="L427" s="379"/>
      <c r="M427" s="379">
        <v>162.19999999999999</v>
      </c>
      <c r="N427" s="379"/>
      <c r="O427" s="379">
        <v>38849.69</v>
      </c>
      <c r="P427" s="379"/>
      <c r="Q427" s="379">
        <v>4164.16</v>
      </c>
      <c r="R427" s="379"/>
      <c r="S427" s="379"/>
      <c r="T427" s="379">
        <v>3146</v>
      </c>
      <c r="U427" s="379"/>
      <c r="V427" s="380">
        <v>55373.5</v>
      </c>
      <c r="W427" s="381">
        <v>6</v>
      </c>
      <c r="X427" s="379">
        <v>1</v>
      </c>
      <c r="Y427" s="379" t="s">
        <v>2353</v>
      </c>
      <c r="Z427" s="379">
        <v>5931001</v>
      </c>
      <c r="AA427" s="379" t="s">
        <v>2320</v>
      </c>
      <c r="AB427" s="380">
        <f t="shared" si="6"/>
        <v>0.5</v>
      </c>
    </row>
    <row r="428" spans="1:28" outlineLevel="1" x14ac:dyDescent="0.3">
      <c r="A428" s="379"/>
      <c r="B428" s="384" t="s">
        <v>2840</v>
      </c>
      <c r="C428" s="379"/>
      <c r="D428" s="379"/>
      <c r="E428" s="379"/>
      <c r="F428" s="379"/>
      <c r="G428" s="383"/>
      <c r="H428" s="379"/>
      <c r="I428" s="379"/>
      <c r="J428" s="379"/>
      <c r="K428" s="379"/>
      <c r="L428" s="379"/>
      <c r="M428" s="379"/>
      <c r="N428" s="379"/>
      <c r="O428" s="379"/>
      <c r="P428" s="379"/>
      <c r="Q428" s="379"/>
      <c r="R428" s="379"/>
      <c r="S428" s="379"/>
      <c r="T428" s="379"/>
      <c r="U428" s="379"/>
      <c r="V428" s="380">
        <f>SUBTOTAL(9,V411:V427)</f>
        <v>1053200.68</v>
      </c>
      <c r="W428" s="381">
        <f>SUBTOTAL(9,W411:W427)</f>
        <v>103.17</v>
      </c>
      <c r="X428" s="379"/>
      <c r="Y428" s="379"/>
      <c r="Z428" s="379"/>
      <c r="AA428" s="379"/>
      <c r="AB428" s="380">
        <f>SUBTOTAL(9,AB411:AB427)</f>
        <v>8.5975000000000001</v>
      </c>
    </row>
    <row r="429" spans="1:28" outlineLevel="2" x14ac:dyDescent="0.3">
      <c r="A429" s="379">
        <v>654</v>
      </c>
      <c r="B429" s="379">
        <v>813250</v>
      </c>
      <c r="C429" s="379" t="s">
        <v>1416</v>
      </c>
      <c r="D429" s="379">
        <v>2212085</v>
      </c>
      <c r="E429" s="379" t="s">
        <v>2841</v>
      </c>
      <c r="F429" s="379" t="s">
        <v>2368</v>
      </c>
      <c r="G429" s="383">
        <v>35462</v>
      </c>
      <c r="H429" s="379">
        <v>3810.7</v>
      </c>
      <c r="I429" s="379">
        <v>135.28</v>
      </c>
      <c r="J429" s="379">
        <v>346.17</v>
      </c>
      <c r="K429" s="379">
        <v>285.8</v>
      </c>
      <c r="L429" s="379"/>
      <c r="M429" s="379">
        <v>13.85</v>
      </c>
      <c r="N429" s="379"/>
      <c r="O429" s="379">
        <v>3324.66</v>
      </c>
      <c r="P429" s="379">
        <v>139.28</v>
      </c>
      <c r="Q429" s="379">
        <v>346.76</v>
      </c>
      <c r="R429" s="379"/>
      <c r="S429" s="379"/>
      <c r="T429" s="379"/>
      <c r="U429" s="379"/>
      <c r="V429" s="380">
        <v>4591.8</v>
      </c>
      <c r="W429" s="381">
        <v>0.5</v>
      </c>
      <c r="X429" s="379">
        <v>1</v>
      </c>
      <c r="Y429" s="379" t="s">
        <v>2353</v>
      </c>
      <c r="Z429" s="379">
        <v>5931001</v>
      </c>
      <c r="AA429" s="379" t="s">
        <v>2320</v>
      </c>
      <c r="AB429" s="380">
        <f t="shared" si="6"/>
        <v>4.1666666666666664E-2</v>
      </c>
    </row>
    <row r="430" spans="1:28" outlineLevel="2" x14ac:dyDescent="0.3">
      <c r="A430" s="379">
        <v>654</v>
      </c>
      <c r="B430" s="379">
        <v>813250</v>
      </c>
      <c r="C430" s="379" t="s">
        <v>1416</v>
      </c>
      <c r="D430" s="379">
        <v>2212085</v>
      </c>
      <c r="E430" s="379" t="s">
        <v>2841</v>
      </c>
      <c r="F430" s="379" t="s">
        <v>2368</v>
      </c>
      <c r="G430" s="383">
        <v>35462</v>
      </c>
      <c r="H430" s="379">
        <v>44556.05</v>
      </c>
      <c r="I430" s="379">
        <v>1599.34</v>
      </c>
      <c r="J430" s="379">
        <v>4478.37</v>
      </c>
      <c r="K430" s="379">
        <v>3378.8</v>
      </c>
      <c r="L430" s="379"/>
      <c r="M430" s="379">
        <v>155.75</v>
      </c>
      <c r="N430" s="379"/>
      <c r="O430" s="379">
        <v>37376.65</v>
      </c>
      <c r="P430" s="379"/>
      <c r="Q430" s="379">
        <v>3817.4</v>
      </c>
      <c r="R430" s="379"/>
      <c r="S430" s="379"/>
      <c r="T430" s="379">
        <v>3362</v>
      </c>
      <c r="U430" s="379"/>
      <c r="V430" s="380">
        <v>54168.31</v>
      </c>
      <c r="W430" s="381">
        <v>5.5</v>
      </c>
      <c r="X430" s="379">
        <v>1</v>
      </c>
      <c r="Y430" s="379" t="s">
        <v>2353</v>
      </c>
      <c r="Z430" s="379">
        <v>5923001</v>
      </c>
      <c r="AA430" s="379" t="s">
        <v>2354</v>
      </c>
      <c r="AB430" s="380">
        <f t="shared" si="6"/>
        <v>0.45833333333333331</v>
      </c>
    </row>
    <row r="431" spans="1:28" outlineLevel="2" x14ac:dyDescent="0.3">
      <c r="A431" s="379">
        <v>654</v>
      </c>
      <c r="B431" s="379">
        <v>813250</v>
      </c>
      <c r="C431" s="379" t="s">
        <v>1416</v>
      </c>
      <c r="D431" s="379">
        <v>2416438</v>
      </c>
      <c r="E431" s="379" t="s">
        <v>2805</v>
      </c>
      <c r="F431" s="379" t="s">
        <v>2664</v>
      </c>
      <c r="G431" s="383">
        <v>43070</v>
      </c>
      <c r="H431" s="379">
        <v>1811.21</v>
      </c>
      <c r="I431" s="379">
        <v>72.52</v>
      </c>
      <c r="J431" s="379">
        <v>231.57</v>
      </c>
      <c r="K431" s="379">
        <v>153.19999999999999</v>
      </c>
      <c r="L431" s="379"/>
      <c r="M431" s="379"/>
      <c r="N431" s="379"/>
      <c r="O431" s="379">
        <v>1715.27</v>
      </c>
      <c r="P431" s="379"/>
      <c r="Q431" s="379">
        <v>95.94</v>
      </c>
      <c r="R431" s="379"/>
      <c r="S431" s="379"/>
      <c r="T431" s="379"/>
      <c r="U431" s="379"/>
      <c r="V431" s="380">
        <v>2268.5</v>
      </c>
      <c r="W431" s="381">
        <v>0.3</v>
      </c>
      <c r="X431" s="379">
        <v>12107</v>
      </c>
      <c r="Y431" s="379" t="s">
        <v>2801</v>
      </c>
      <c r="Z431" s="379">
        <v>5821001</v>
      </c>
      <c r="AA431" s="379" t="s">
        <v>2427</v>
      </c>
      <c r="AB431" s="380">
        <f t="shared" si="6"/>
        <v>2.4999999999999998E-2</v>
      </c>
    </row>
    <row r="432" spans="1:28" outlineLevel="2" x14ac:dyDescent="0.3">
      <c r="A432" s="379">
        <v>654</v>
      </c>
      <c r="B432" s="379">
        <v>813250</v>
      </c>
      <c r="C432" s="379" t="s">
        <v>1416</v>
      </c>
      <c r="D432" s="379">
        <v>2416438</v>
      </c>
      <c r="E432" s="379" t="s">
        <v>2805</v>
      </c>
      <c r="F432" s="379" t="s">
        <v>2664</v>
      </c>
      <c r="G432" s="383">
        <v>43070</v>
      </c>
      <c r="H432" s="379">
        <v>17554.63</v>
      </c>
      <c r="I432" s="379">
        <v>575.34</v>
      </c>
      <c r="J432" s="379">
        <v>3015.8</v>
      </c>
      <c r="K432" s="379">
        <v>1336.48</v>
      </c>
      <c r="L432" s="379"/>
      <c r="M432" s="379"/>
      <c r="N432" s="379"/>
      <c r="O432" s="379">
        <v>11814.69</v>
      </c>
      <c r="P432" s="379">
        <v>2773.7</v>
      </c>
      <c r="Q432" s="379">
        <v>499.2</v>
      </c>
      <c r="R432" s="379"/>
      <c r="S432" s="379">
        <v>1612.98</v>
      </c>
      <c r="T432" s="379">
        <v>854.06</v>
      </c>
      <c r="U432" s="379"/>
      <c r="V432" s="380">
        <v>22482.25</v>
      </c>
      <c r="W432" s="381">
        <v>2.0350000000000001</v>
      </c>
      <c r="X432" s="379">
        <v>12107</v>
      </c>
      <c r="Y432" s="379" t="s">
        <v>2801</v>
      </c>
      <c r="Z432" s="379">
        <v>1422001</v>
      </c>
      <c r="AA432" s="379" t="s">
        <v>2648</v>
      </c>
      <c r="AB432" s="380">
        <f t="shared" si="6"/>
        <v>0.16958333333333334</v>
      </c>
    </row>
    <row r="433" spans="1:28" outlineLevel="2" x14ac:dyDescent="0.3">
      <c r="A433" s="379">
        <v>654</v>
      </c>
      <c r="B433" s="379">
        <v>813250</v>
      </c>
      <c r="C433" s="379" t="s">
        <v>1416</v>
      </c>
      <c r="D433" s="379">
        <v>2733200</v>
      </c>
      <c r="E433" s="379" t="s">
        <v>2455</v>
      </c>
      <c r="F433" s="379" t="s">
        <v>2842</v>
      </c>
      <c r="G433" s="383">
        <v>37257</v>
      </c>
      <c r="H433" s="379">
        <v>85015.38</v>
      </c>
      <c r="I433" s="379">
        <v>3500.53</v>
      </c>
      <c r="J433" s="379">
        <v>17909.099999999999</v>
      </c>
      <c r="K433" s="379">
        <v>6413.4</v>
      </c>
      <c r="L433" s="379"/>
      <c r="M433" s="379">
        <v>304.3</v>
      </c>
      <c r="N433" s="379"/>
      <c r="O433" s="379">
        <v>74070.62</v>
      </c>
      <c r="P433" s="379">
        <v>1730.08</v>
      </c>
      <c r="Q433" s="379">
        <v>3002.88</v>
      </c>
      <c r="R433" s="379"/>
      <c r="S433" s="379"/>
      <c r="T433" s="379">
        <v>6211.8</v>
      </c>
      <c r="U433" s="379"/>
      <c r="V433" s="380">
        <v>113142.71</v>
      </c>
      <c r="W433" s="381">
        <v>10.8</v>
      </c>
      <c r="X433" s="379">
        <v>8</v>
      </c>
      <c r="Y433" s="379" t="s">
        <v>2383</v>
      </c>
      <c r="Z433" s="379">
        <v>1027</v>
      </c>
      <c r="AA433" s="379" t="s">
        <v>2383</v>
      </c>
      <c r="AB433" s="380">
        <f t="shared" si="6"/>
        <v>0.9</v>
      </c>
    </row>
    <row r="434" spans="1:28" outlineLevel="2" x14ac:dyDescent="0.3">
      <c r="A434" s="379">
        <v>654</v>
      </c>
      <c r="B434" s="379">
        <v>813250</v>
      </c>
      <c r="C434" s="379" t="s">
        <v>1416</v>
      </c>
      <c r="D434" s="379">
        <v>5268037</v>
      </c>
      <c r="E434" s="379" t="s">
        <v>2387</v>
      </c>
      <c r="F434" s="379" t="s">
        <v>2631</v>
      </c>
      <c r="G434" s="383">
        <v>41883</v>
      </c>
      <c r="H434" s="379">
        <v>78332.350000000006</v>
      </c>
      <c r="I434" s="379">
        <v>2994.08</v>
      </c>
      <c r="J434" s="379">
        <v>15643.35</v>
      </c>
      <c r="K434" s="379">
        <v>5912.15</v>
      </c>
      <c r="L434" s="379"/>
      <c r="M434" s="379">
        <v>267</v>
      </c>
      <c r="N434" s="379"/>
      <c r="O434" s="379">
        <v>66607.58</v>
      </c>
      <c r="P434" s="379">
        <v>137.69</v>
      </c>
      <c r="Q434" s="379">
        <v>2750.88</v>
      </c>
      <c r="R434" s="379"/>
      <c r="S434" s="379"/>
      <c r="T434" s="379">
        <v>5434.2</v>
      </c>
      <c r="U434" s="379">
        <v>3402</v>
      </c>
      <c r="V434" s="380">
        <v>103148.93</v>
      </c>
      <c r="W434" s="381">
        <v>10.8</v>
      </c>
      <c r="X434" s="379"/>
      <c r="Y434" s="379"/>
      <c r="Z434" s="379">
        <v>1027</v>
      </c>
      <c r="AA434" s="379" t="s">
        <v>2383</v>
      </c>
      <c r="AB434" s="380">
        <f t="shared" si="6"/>
        <v>0.9</v>
      </c>
    </row>
    <row r="435" spans="1:28" outlineLevel="2" x14ac:dyDescent="0.3">
      <c r="A435" s="379">
        <v>654</v>
      </c>
      <c r="B435" s="379">
        <v>813250</v>
      </c>
      <c r="C435" s="379" t="s">
        <v>1416</v>
      </c>
      <c r="D435" s="379">
        <v>5618651</v>
      </c>
      <c r="E435" s="379" t="s">
        <v>2436</v>
      </c>
      <c r="F435" s="379" t="s">
        <v>2843</v>
      </c>
      <c r="G435" s="383">
        <v>34639</v>
      </c>
      <c r="H435" s="379">
        <v>49111.12</v>
      </c>
      <c r="I435" s="379">
        <v>1778.32</v>
      </c>
      <c r="J435" s="379">
        <v>4885.59</v>
      </c>
      <c r="K435" s="379">
        <v>3719.75</v>
      </c>
      <c r="L435" s="379"/>
      <c r="M435" s="379">
        <v>172.35</v>
      </c>
      <c r="N435" s="379"/>
      <c r="O435" s="379">
        <v>41588</v>
      </c>
      <c r="P435" s="379"/>
      <c r="Q435" s="379">
        <v>4161.12</v>
      </c>
      <c r="R435" s="379"/>
      <c r="S435" s="379"/>
      <c r="T435" s="379">
        <v>3362</v>
      </c>
      <c r="U435" s="379"/>
      <c r="V435" s="380">
        <v>59667.13</v>
      </c>
      <c r="W435" s="381">
        <v>6</v>
      </c>
      <c r="X435" s="379"/>
      <c r="Y435" s="379"/>
      <c r="Z435" s="379">
        <v>5923001</v>
      </c>
      <c r="AA435" s="379" t="s">
        <v>2354</v>
      </c>
      <c r="AB435" s="380">
        <f t="shared" si="6"/>
        <v>0.5</v>
      </c>
    </row>
    <row r="436" spans="1:28" outlineLevel="2" x14ac:dyDescent="0.3">
      <c r="A436" s="379">
        <v>654</v>
      </c>
      <c r="B436" s="379">
        <v>813250</v>
      </c>
      <c r="C436" s="379" t="s">
        <v>1416</v>
      </c>
      <c r="D436" s="379">
        <v>5663730</v>
      </c>
      <c r="E436" s="379" t="s">
        <v>2844</v>
      </c>
      <c r="F436" s="379" t="s">
        <v>2845</v>
      </c>
      <c r="G436" s="383">
        <v>41609</v>
      </c>
      <c r="H436" s="379">
        <v>46856.1</v>
      </c>
      <c r="I436" s="379">
        <v>1681.01</v>
      </c>
      <c r="J436" s="379">
        <v>9771.81</v>
      </c>
      <c r="K436" s="379">
        <v>3551.4</v>
      </c>
      <c r="L436" s="379"/>
      <c r="M436" s="379">
        <v>158</v>
      </c>
      <c r="N436" s="379"/>
      <c r="O436" s="379">
        <v>37795.760000000002</v>
      </c>
      <c r="P436" s="379">
        <v>2148.7399999999998</v>
      </c>
      <c r="Q436" s="379">
        <v>4197.6000000000004</v>
      </c>
      <c r="R436" s="379"/>
      <c r="S436" s="379"/>
      <c r="T436" s="379">
        <v>2714</v>
      </c>
      <c r="U436" s="379"/>
      <c r="V436" s="380">
        <v>62018.32</v>
      </c>
      <c r="W436" s="381">
        <v>6</v>
      </c>
      <c r="X436" s="379">
        <v>1</v>
      </c>
      <c r="Y436" s="379" t="s">
        <v>2353</v>
      </c>
      <c r="Z436" s="379">
        <v>5931001</v>
      </c>
      <c r="AA436" s="379" t="s">
        <v>2320</v>
      </c>
      <c r="AB436" s="380">
        <f t="shared" si="6"/>
        <v>0.5</v>
      </c>
    </row>
    <row r="437" spans="1:28" outlineLevel="2" x14ac:dyDescent="0.3">
      <c r="A437" s="379">
        <v>654</v>
      </c>
      <c r="B437" s="379">
        <v>813250</v>
      </c>
      <c r="C437" s="379" t="s">
        <v>1416</v>
      </c>
      <c r="D437" s="379">
        <v>5842717</v>
      </c>
      <c r="E437" s="379" t="s">
        <v>2846</v>
      </c>
      <c r="F437" s="379" t="s">
        <v>2847</v>
      </c>
      <c r="G437" s="383">
        <v>31868</v>
      </c>
      <c r="H437" s="379">
        <v>117812.41</v>
      </c>
      <c r="I437" s="379">
        <v>5991.68</v>
      </c>
      <c r="J437" s="379">
        <v>11358.23</v>
      </c>
      <c r="K437" s="379">
        <v>8873.15</v>
      </c>
      <c r="L437" s="379"/>
      <c r="M437" s="379">
        <v>413.5</v>
      </c>
      <c r="N437" s="379"/>
      <c r="O437" s="379">
        <v>86442.19</v>
      </c>
      <c r="P437" s="379">
        <v>15250.56</v>
      </c>
      <c r="Q437" s="379">
        <v>2750.88</v>
      </c>
      <c r="R437" s="379"/>
      <c r="S437" s="379"/>
      <c r="T437" s="379">
        <v>11138.78</v>
      </c>
      <c r="U437" s="379">
        <v>2230</v>
      </c>
      <c r="V437" s="380">
        <v>144448.97</v>
      </c>
      <c r="W437" s="381">
        <v>10.8</v>
      </c>
      <c r="X437" s="379"/>
      <c r="Y437" s="379"/>
      <c r="Z437" s="379">
        <v>3204001</v>
      </c>
      <c r="AA437" s="379" t="s">
        <v>2420</v>
      </c>
      <c r="AB437" s="380">
        <f t="shared" si="6"/>
        <v>0.9</v>
      </c>
    </row>
    <row r="438" spans="1:28" outlineLevel="2" x14ac:dyDescent="0.3">
      <c r="A438" s="379">
        <v>654</v>
      </c>
      <c r="B438" s="379">
        <v>813250</v>
      </c>
      <c r="C438" s="379" t="s">
        <v>1416</v>
      </c>
      <c r="D438" s="379">
        <v>6580500</v>
      </c>
      <c r="E438" s="379" t="s">
        <v>2451</v>
      </c>
      <c r="F438" s="379" t="s">
        <v>2848</v>
      </c>
      <c r="G438" s="383">
        <v>37347</v>
      </c>
      <c r="H438" s="379">
        <v>64417.09</v>
      </c>
      <c r="I438" s="379">
        <v>362.39</v>
      </c>
      <c r="J438" s="379">
        <v>13529.59</v>
      </c>
      <c r="K438" s="379">
        <v>4868.3999999999996</v>
      </c>
      <c r="L438" s="379"/>
      <c r="M438" s="379">
        <v>231.05</v>
      </c>
      <c r="N438" s="379"/>
      <c r="O438" s="379">
        <v>52461.54</v>
      </c>
      <c r="P438" s="379">
        <v>655.17999999999995</v>
      </c>
      <c r="Q438" s="379">
        <v>3379.9</v>
      </c>
      <c r="R438" s="379"/>
      <c r="S438" s="379"/>
      <c r="T438" s="379">
        <v>7920.47</v>
      </c>
      <c r="U438" s="379"/>
      <c r="V438" s="380">
        <v>83408.52</v>
      </c>
      <c r="W438" s="381">
        <v>7.5</v>
      </c>
      <c r="X438" s="379"/>
      <c r="Y438" s="379"/>
      <c r="Z438" s="379">
        <v>5923001</v>
      </c>
      <c r="AA438" s="379" t="s">
        <v>2354</v>
      </c>
      <c r="AB438" s="380">
        <f t="shared" si="6"/>
        <v>0.625</v>
      </c>
    </row>
    <row r="439" spans="1:28" outlineLevel="2" x14ac:dyDescent="0.3">
      <c r="A439" s="379">
        <v>654</v>
      </c>
      <c r="B439" s="379">
        <v>813250</v>
      </c>
      <c r="C439" s="379" t="s">
        <v>1416</v>
      </c>
      <c r="D439" s="379">
        <v>6833620</v>
      </c>
      <c r="E439" s="379" t="s">
        <v>2564</v>
      </c>
      <c r="F439" s="379" t="s">
        <v>2849</v>
      </c>
      <c r="G439" s="383">
        <v>34335</v>
      </c>
      <c r="H439" s="379">
        <v>66213.570000000007</v>
      </c>
      <c r="I439" s="379">
        <v>357.42</v>
      </c>
      <c r="J439" s="379">
        <v>6843.95</v>
      </c>
      <c r="K439" s="379">
        <v>5003.25</v>
      </c>
      <c r="L439" s="379"/>
      <c r="M439" s="379">
        <v>186.15</v>
      </c>
      <c r="N439" s="379"/>
      <c r="O439" s="379">
        <v>42669.16</v>
      </c>
      <c r="P439" s="379">
        <v>13605.56</v>
      </c>
      <c r="Q439" s="379">
        <v>4197.6000000000004</v>
      </c>
      <c r="R439" s="379"/>
      <c r="S439" s="379"/>
      <c r="T439" s="379">
        <v>5741.25</v>
      </c>
      <c r="U439" s="379"/>
      <c r="V439" s="380">
        <v>78604.34</v>
      </c>
      <c r="W439" s="381">
        <v>6</v>
      </c>
      <c r="X439" s="379">
        <v>1</v>
      </c>
      <c r="Y439" s="379" t="s">
        <v>2353</v>
      </c>
      <c r="Z439" s="379">
        <v>5923001</v>
      </c>
      <c r="AA439" s="379" t="s">
        <v>2354</v>
      </c>
      <c r="AB439" s="380">
        <f t="shared" si="6"/>
        <v>0.5</v>
      </c>
    </row>
    <row r="440" spans="1:28" outlineLevel="2" x14ac:dyDescent="0.3">
      <c r="A440" s="379">
        <v>654</v>
      </c>
      <c r="B440" s="379">
        <v>813250</v>
      </c>
      <c r="C440" s="379" t="s">
        <v>1416</v>
      </c>
      <c r="D440" s="379">
        <v>6862826</v>
      </c>
      <c r="E440" s="379" t="s">
        <v>2436</v>
      </c>
      <c r="F440" s="379" t="s">
        <v>2850</v>
      </c>
      <c r="G440" s="383">
        <v>36161</v>
      </c>
      <c r="H440" s="379">
        <v>113265.13</v>
      </c>
      <c r="I440" s="379">
        <v>5647.02</v>
      </c>
      <c r="J440" s="379">
        <v>10731.91</v>
      </c>
      <c r="K440" s="379">
        <v>8532</v>
      </c>
      <c r="L440" s="379"/>
      <c r="M440" s="379">
        <v>396.3</v>
      </c>
      <c r="N440" s="379"/>
      <c r="O440" s="379">
        <v>88480.76</v>
      </c>
      <c r="P440" s="379">
        <v>11576.67</v>
      </c>
      <c r="Q440" s="379">
        <v>2809.2</v>
      </c>
      <c r="R440" s="379">
        <v>3064.5</v>
      </c>
      <c r="S440" s="379"/>
      <c r="T440" s="379">
        <v>7334</v>
      </c>
      <c r="U440" s="379"/>
      <c r="V440" s="380">
        <v>138572.35999999999</v>
      </c>
      <c r="W440" s="381">
        <v>12</v>
      </c>
      <c r="X440" s="379">
        <v>12142</v>
      </c>
      <c r="Y440" s="379" t="s">
        <v>2851</v>
      </c>
      <c r="Z440" s="379">
        <v>6211002</v>
      </c>
      <c r="AA440" s="379" t="s">
        <v>2852</v>
      </c>
      <c r="AB440" s="380">
        <f t="shared" si="6"/>
        <v>1</v>
      </c>
    </row>
    <row r="441" spans="1:28" outlineLevel="1" x14ac:dyDescent="0.3">
      <c r="A441" s="379"/>
      <c r="B441" s="384" t="s">
        <v>2853</v>
      </c>
      <c r="C441" s="379"/>
      <c r="D441" s="379"/>
      <c r="E441" s="379"/>
      <c r="F441" s="379"/>
      <c r="G441" s="383"/>
      <c r="H441" s="379"/>
      <c r="I441" s="379"/>
      <c r="J441" s="379"/>
      <c r="K441" s="379"/>
      <c r="L441" s="379"/>
      <c r="M441" s="379"/>
      <c r="N441" s="379"/>
      <c r="O441" s="379"/>
      <c r="P441" s="379"/>
      <c r="Q441" s="379"/>
      <c r="R441" s="379"/>
      <c r="S441" s="379"/>
      <c r="T441" s="379"/>
      <c r="U441" s="379"/>
      <c r="V441" s="380">
        <f>SUBTOTAL(9,V429:V440)</f>
        <v>866522.14</v>
      </c>
      <c r="W441" s="381">
        <f>SUBTOTAL(9,W429:W440)</f>
        <v>78.234999999999999</v>
      </c>
      <c r="X441" s="379"/>
      <c r="Y441" s="379"/>
      <c r="Z441" s="379"/>
      <c r="AA441" s="379"/>
      <c r="AB441" s="380">
        <f>SUBTOTAL(9,AB429:AB440)</f>
        <v>6.5195833333333333</v>
      </c>
    </row>
    <row r="442" spans="1:28" outlineLevel="2" x14ac:dyDescent="0.3">
      <c r="A442" s="379">
        <v>654</v>
      </c>
      <c r="B442" s="379">
        <v>813260</v>
      </c>
      <c r="C442" s="379" t="s">
        <v>1425</v>
      </c>
      <c r="D442" s="379">
        <v>2244315</v>
      </c>
      <c r="E442" s="379" t="s">
        <v>2318</v>
      </c>
      <c r="F442" s="379" t="s">
        <v>2319</v>
      </c>
      <c r="G442" s="383">
        <v>42278</v>
      </c>
      <c r="H442" s="379">
        <v>6776.74</v>
      </c>
      <c r="I442" s="379">
        <v>240.42</v>
      </c>
      <c r="J442" s="379">
        <v>1336.08</v>
      </c>
      <c r="K442" s="379">
        <v>508.12</v>
      </c>
      <c r="L442" s="379"/>
      <c r="M442" s="379">
        <v>25.33</v>
      </c>
      <c r="N442" s="379"/>
      <c r="O442" s="379">
        <v>6083.22</v>
      </c>
      <c r="P442" s="379"/>
      <c r="Q442" s="379">
        <v>693.52</v>
      </c>
      <c r="R442" s="379"/>
      <c r="S442" s="379"/>
      <c r="T442" s="379"/>
      <c r="U442" s="379"/>
      <c r="V442" s="380">
        <v>8886.69</v>
      </c>
      <c r="W442" s="381">
        <v>1</v>
      </c>
      <c r="X442" s="379"/>
      <c r="Y442" s="379"/>
      <c r="Z442" s="379">
        <v>5931001</v>
      </c>
      <c r="AA442" s="379" t="s">
        <v>2320</v>
      </c>
      <c r="AB442" s="380">
        <f t="shared" si="6"/>
        <v>8.3333333333333329E-2</v>
      </c>
    </row>
    <row r="443" spans="1:28" outlineLevel="2" x14ac:dyDescent="0.3">
      <c r="A443" s="379">
        <v>654</v>
      </c>
      <c r="B443" s="379">
        <v>813260</v>
      </c>
      <c r="C443" s="379" t="s">
        <v>1425</v>
      </c>
      <c r="D443" s="379">
        <v>2733417</v>
      </c>
      <c r="E443" s="379" t="s">
        <v>2340</v>
      </c>
      <c r="F443" s="379" t="s">
        <v>2520</v>
      </c>
      <c r="G443" s="383">
        <v>41944</v>
      </c>
      <c r="H443" s="379">
        <v>65291.59</v>
      </c>
      <c r="I443" s="379">
        <v>3000.19</v>
      </c>
      <c r="J443" s="379">
        <v>13327.84</v>
      </c>
      <c r="K443" s="379">
        <v>4934.1000000000004</v>
      </c>
      <c r="L443" s="379"/>
      <c r="M443" s="379">
        <v>227.1</v>
      </c>
      <c r="N443" s="379"/>
      <c r="O443" s="379">
        <v>52009.59</v>
      </c>
      <c r="P443" s="379">
        <v>5760</v>
      </c>
      <c r="Q443" s="379">
        <v>1484</v>
      </c>
      <c r="R443" s="379"/>
      <c r="S443" s="379"/>
      <c r="T443" s="379">
        <v>6038</v>
      </c>
      <c r="U443" s="379"/>
      <c r="V443" s="380">
        <v>86780.82</v>
      </c>
      <c r="W443" s="381">
        <v>8</v>
      </c>
      <c r="X443" s="379">
        <v>111</v>
      </c>
      <c r="Y443" s="379" t="s">
        <v>2575</v>
      </c>
      <c r="Z443" s="379">
        <v>5302002</v>
      </c>
      <c r="AA443" s="379" t="s">
        <v>2467</v>
      </c>
      <c r="AB443" s="380">
        <f t="shared" si="6"/>
        <v>0.66666666666666663</v>
      </c>
    </row>
    <row r="444" spans="1:28" outlineLevel="2" x14ac:dyDescent="0.3">
      <c r="A444" s="379">
        <v>654</v>
      </c>
      <c r="B444" s="379">
        <v>813260</v>
      </c>
      <c r="C444" s="379" t="s">
        <v>1425</v>
      </c>
      <c r="D444" s="379">
        <v>5538172</v>
      </c>
      <c r="E444" s="379" t="s">
        <v>2365</v>
      </c>
      <c r="F444" s="379" t="s">
        <v>2771</v>
      </c>
      <c r="G444" s="383">
        <v>33147</v>
      </c>
      <c r="H444" s="379">
        <v>52197.78</v>
      </c>
      <c r="I444" s="379">
        <v>1944</v>
      </c>
      <c r="J444" s="379">
        <v>4988.37</v>
      </c>
      <c r="K444" s="379">
        <v>3952.11</v>
      </c>
      <c r="L444" s="379"/>
      <c r="M444" s="379">
        <v>178.86</v>
      </c>
      <c r="N444" s="379"/>
      <c r="O444" s="379">
        <v>40490.65</v>
      </c>
      <c r="P444" s="379">
        <v>1673.1</v>
      </c>
      <c r="Q444" s="379">
        <v>2876.16</v>
      </c>
      <c r="R444" s="379"/>
      <c r="S444" s="379"/>
      <c r="T444" s="379">
        <v>7157.87</v>
      </c>
      <c r="U444" s="379"/>
      <c r="V444" s="380">
        <v>63261.120000000003</v>
      </c>
      <c r="W444" s="381">
        <v>5.6</v>
      </c>
      <c r="X444" s="379"/>
      <c r="Y444" s="379"/>
      <c r="Z444" s="379">
        <v>5923001</v>
      </c>
      <c r="AA444" s="379" t="s">
        <v>2354</v>
      </c>
      <c r="AB444" s="380">
        <f t="shared" si="6"/>
        <v>0.46666666666666662</v>
      </c>
    </row>
    <row r="445" spans="1:28" outlineLevel="2" x14ac:dyDescent="0.3">
      <c r="A445" s="379">
        <v>654</v>
      </c>
      <c r="B445" s="379">
        <v>813260</v>
      </c>
      <c r="C445" s="379" t="s">
        <v>1425</v>
      </c>
      <c r="D445" s="379">
        <v>5547743</v>
      </c>
      <c r="E445" s="379" t="s">
        <v>2726</v>
      </c>
      <c r="F445" s="379" t="s">
        <v>2854</v>
      </c>
      <c r="G445" s="383">
        <v>30103</v>
      </c>
      <c r="H445" s="379">
        <v>118887.4</v>
      </c>
      <c r="I445" s="379">
        <v>6072.89</v>
      </c>
      <c r="J445" s="379">
        <v>10553.88</v>
      </c>
      <c r="K445" s="379">
        <v>8953.65</v>
      </c>
      <c r="L445" s="379"/>
      <c r="M445" s="379">
        <v>413.05</v>
      </c>
      <c r="N445" s="379"/>
      <c r="O445" s="379">
        <v>97858.43</v>
      </c>
      <c r="P445" s="379"/>
      <c r="Q445" s="379">
        <v>6169.2</v>
      </c>
      <c r="R445" s="379"/>
      <c r="S445" s="379"/>
      <c r="T445" s="379">
        <v>12629.77</v>
      </c>
      <c r="U445" s="379">
        <v>2230</v>
      </c>
      <c r="V445" s="380">
        <v>144880.87</v>
      </c>
      <c r="W445" s="381">
        <v>12</v>
      </c>
      <c r="X445" s="379">
        <v>21</v>
      </c>
      <c r="Y445" s="379" t="s">
        <v>2632</v>
      </c>
      <c r="Z445" s="379">
        <v>3202004</v>
      </c>
      <c r="AA445" s="379" t="s">
        <v>2532</v>
      </c>
      <c r="AB445" s="380">
        <f t="shared" si="6"/>
        <v>1</v>
      </c>
    </row>
    <row r="446" spans="1:28" outlineLevel="2" x14ac:dyDescent="0.3">
      <c r="A446" s="379">
        <v>654</v>
      </c>
      <c r="B446" s="379">
        <v>813260</v>
      </c>
      <c r="C446" s="379" t="s">
        <v>1425</v>
      </c>
      <c r="D446" s="379">
        <v>5586165</v>
      </c>
      <c r="E446" s="379" t="s">
        <v>2375</v>
      </c>
      <c r="F446" s="379" t="s">
        <v>2376</v>
      </c>
      <c r="G446" s="383">
        <v>40878</v>
      </c>
      <c r="H446" s="379">
        <v>67875.58</v>
      </c>
      <c r="I446" s="379">
        <v>2485.79</v>
      </c>
      <c r="J446" s="379">
        <v>14225.73</v>
      </c>
      <c r="K446" s="379">
        <v>5127.78</v>
      </c>
      <c r="L446" s="379"/>
      <c r="M446" s="379">
        <v>242.57</v>
      </c>
      <c r="N446" s="379"/>
      <c r="O446" s="379">
        <v>53912.73</v>
      </c>
      <c r="P446" s="379">
        <v>5860.17</v>
      </c>
      <c r="Q446" s="379">
        <v>4935.24</v>
      </c>
      <c r="R446" s="379"/>
      <c r="S446" s="379"/>
      <c r="T446" s="379">
        <v>3167.44</v>
      </c>
      <c r="U446" s="379"/>
      <c r="V446" s="380">
        <v>89957.45</v>
      </c>
      <c r="W446" s="381">
        <v>8.4</v>
      </c>
      <c r="X446" s="379"/>
      <c r="Y446" s="379"/>
      <c r="Z446" s="379">
        <v>5923001</v>
      </c>
      <c r="AA446" s="379" t="s">
        <v>2354</v>
      </c>
      <c r="AB446" s="380">
        <f t="shared" si="6"/>
        <v>0.70000000000000007</v>
      </c>
    </row>
    <row r="447" spans="1:28" outlineLevel="1" x14ac:dyDescent="0.3">
      <c r="A447" s="379"/>
      <c r="B447" s="384" t="s">
        <v>2855</v>
      </c>
      <c r="C447" s="379"/>
      <c r="D447" s="379"/>
      <c r="E447" s="379"/>
      <c r="F447" s="379"/>
      <c r="G447" s="383"/>
      <c r="H447" s="379"/>
      <c r="I447" s="379"/>
      <c r="J447" s="379"/>
      <c r="K447" s="379"/>
      <c r="L447" s="379"/>
      <c r="M447" s="379"/>
      <c r="N447" s="379"/>
      <c r="O447" s="379"/>
      <c r="P447" s="379"/>
      <c r="Q447" s="379"/>
      <c r="R447" s="379"/>
      <c r="S447" s="379"/>
      <c r="T447" s="379"/>
      <c r="U447" s="379"/>
      <c r="V447" s="380">
        <f>SUBTOTAL(9,V442:V446)</f>
        <v>393766.95</v>
      </c>
      <c r="W447" s="381">
        <f>SUBTOTAL(9,W442:W446)</f>
        <v>35</v>
      </c>
      <c r="X447" s="379"/>
      <c r="Y447" s="379"/>
      <c r="Z447" s="379"/>
      <c r="AA447" s="379"/>
      <c r="AB447" s="380">
        <f>SUBTOTAL(9,AB442:AB446)</f>
        <v>2.916666666666667</v>
      </c>
    </row>
    <row r="448" spans="1:28" outlineLevel="2" x14ac:dyDescent="0.3">
      <c r="A448" s="379">
        <v>654</v>
      </c>
      <c r="B448" s="379">
        <v>813270</v>
      </c>
      <c r="C448" s="379" t="s">
        <v>1431</v>
      </c>
      <c r="D448" s="379">
        <v>2273576</v>
      </c>
      <c r="E448" s="379" t="s">
        <v>2457</v>
      </c>
      <c r="F448" s="379" t="s">
        <v>2856</v>
      </c>
      <c r="G448" s="383">
        <v>37012</v>
      </c>
      <c r="H448" s="379">
        <v>68540.91</v>
      </c>
      <c r="I448" s="379">
        <v>2476.06</v>
      </c>
      <c r="J448" s="379">
        <v>5571.1</v>
      </c>
      <c r="K448" s="379">
        <v>5177.8999999999996</v>
      </c>
      <c r="L448" s="379"/>
      <c r="M448" s="379">
        <v>244.6</v>
      </c>
      <c r="N448" s="379"/>
      <c r="O448" s="379">
        <v>61140.53</v>
      </c>
      <c r="P448" s="379"/>
      <c r="Q448" s="379">
        <v>2618.46</v>
      </c>
      <c r="R448" s="379"/>
      <c r="S448" s="379"/>
      <c r="T448" s="379">
        <v>4781.92</v>
      </c>
      <c r="U448" s="379"/>
      <c r="V448" s="380">
        <v>82010.570000000007</v>
      </c>
      <c r="W448" s="381">
        <v>9.1199999999999992</v>
      </c>
      <c r="X448" s="379"/>
      <c r="Y448" s="379"/>
      <c r="Z448" s="379">
        <v>5302001</v>
      </c>
      <c r="AA448" s="379" t="s">
        <v>2367</v>
      </c>
      <c r="AB448" s="380">
        <f t="shared" si="6"/>
        <v>0.7599999999999999</v>
      </c>
    </row>
    <row r="449" spans="1:28" outlineLevel="2" x14ac:dyDescent="0.3">
      <c r="A449" s="379">
        <v>654</v>
      </c>
      <c r="B449" s="379">
        <v>813270</v>
      </c>
      <c r="C449" s="379" t="s">
        <v>1431</v>
      </c>
      <c r="D449" s="379">
        <v>2458646</v>
      </c>
      <c r="E449" s="379" t="s">
        <v>2307</v>
      </c>
      <c r="F449" s="379" t="s">
        <v>2591</v>
      </c>
      <c r="G449" s="383">
        <v>41730</v>
      </c>
      <c r="H449" s="379">
        <v>101237.73</v>
      </c>
      <c r="I449" s="379">
        <v>4732.97</v>
      </c>
      <c r="J449" s="379">
        <v>19884.41</v>
      </c>
      <c r="K449" s="379">
        <v>7630</v>
      </c>
      <c r="L449" s="379"/>
      <c r="M449" s="379">
        <v>348.5</v>
      </c>
      <c r="N449" s="379"/>
      <c r="O449" s="379">
        <v>78571.59</v>
      </c>
      <c r="P449" s="379">
        <v>9552.94</v>
      </c>
      <c r="Q449" s="379">
        <v>2371.1999999999998</v>
      </c>
      <c r="R449" s="379">
        <v>3408</v>
      </c>
      <c r="S449" s="379"/>
      <c r="T449" s="379">
        <v>7334</v>
      </c>
      <c r="U449" s="379"/>
      <c r="V449" s="380">
        <v>133833.60999999999</v>
      </c>
      <c r="W449" s="381">
        <v>12</v>
      </c>
      <c r="X449" s="379">
        <v>111</v>
      </c>
      <c r="Y449" s="379" t="s">
        <v>2575</v>
      </c>
      <c r="Z449" s="379">
        <v>5302002</v>
      </c>
      <c r="AA449" s="379" t="s">
        <v>2467</v>
      </c>
      <c r="AB449" s="380">
        <f t="shared" si="6"/>
        <v>1</v>
      </c>
    </row>
    <row r="450" spans="1:28" outlineLevel="2" x14ac:dyDescent="0.3">
      <c r="A450" s="379">
        <v>654</v>
      </c>
      <c r="B450" s="379">
        <v>813270</v>
      </c>
      <c r="C450" s="379" t="s">
        <v>1431</v>
      </c>
      <c r="D450" s="379">
        <v>3336282</v>
      </c>
      <c r="E450" s="379" t="s">
        <v>2590</v>
      </c>
      <c r="F450" s="379" t="s">
        <v>2443</v>
      </c>
      <c r="G450" s="383">
        <v>39295</v>
      </c>
      <c r="H450" s="379">
        <v>94280.72</v>
      </c>
      <c r="I450" s="379">
        <v>4204.79</v>
      </c>
      <c r="J450" s="379">
        <v>19293.25</v>
      </c>
      <c r="K450" s="379">
        <v>7108.25</v>
      </c>
      <c r="L450" s="379"/>
      <c r="M450" s="379">
        <v>329</v>
      </c>
      <c r="N450" s="379"/>
      <c r="O450" s="379">
        <v>80735.149999999994</v>
      </c>
      <c r="P450" s="379">
        <v>1523.69</v>
      </c>
      <c r="Q450" s="379">
        <v>2507.88</v>
      </c>
      <c r="R450" s="379"/>
      <c r="S450" s="379"/>
      <c r="T450" s="379">
        <v>5860</v>
      </c>
      <c r="U450" s="379">
        <v>3654</v>
      </c>
      <c r="V450" s="380">
        <v>125216.01</v>
      </c>
      <c r="W450" s="381">
        <v>11.6</v>
      </c>
      <c r="X450" s="379"/>
      <c r="Y450" s="379"/>
      <c r="Z450" s="379">
        <v>1027</v>
      </c>
      <c r="AA450" s="379" t="s">
        <v>2383</v>
      </c>
      <c r="AB450" s="380">
        <f t="shared" si="6"/>
        <v>0.96666666666666667</v>
      </c>
    </row>
    <row r="451" spans="1:28" outlineLevel="2" x14ac:dyDescent="0.3">
      <c r="A451" s="379">
        <v>654</v>
      </c>
      <c r="B451" s="379">
        <v>813270</v>
      </c>
      <c r="C451" s="379" t="s">
        <v>1431</v>
      </c>
      <c r="D451" s="379">
        <v>3655494</v>
      </c>
      <c r="E451" s="379" t="s">
        <v>2792</v>
      </c>
      <c r="F451" s="379" t="s">
        <v>2793</v>
      </c>
      <c r="G451" s="383">
        <v>42826</v>
      </c>
      <c r="H451" s="379">
        <v>2193</v>
      </c>
      <c r="I451" s="379">
        <v>77.88</v>
      </c>
      <c r="J451" s="379">
        <v>274.61</v>
      </c>
      <c r="K451" s="379">
        <v>164.54</v>
      </c>
      <c r="L451" s="379"/>
      <c r="M451" s="379"/>
      <c r="N451" s="379"/>
      <c r="O451" s="379"/>
      <c r="P451" s="379"/>
      <c r="Q451" s="379">
        <v>159</v>
      </c>
      <c r="R451" s="379"/>
      <c r="S451" s="379"/>
      <c r="T451" s="379">
        <v>2034</v>
      </c>
      <c r="U451" s="379"/>
      <c r="V451" s="380">
        <v>2710.03</v>
      </c>
      <c r="W451" s="381"/>
      <c r="X451" s="379"/>
      <c r="Y451" s="379"/>
      <c r="Z451" s="379">
        <v>1027</v>
      </c>
      <c r="AA451" s="379" t="s">
        <v>2383</v>
      </c>
      <c r="AB451" s="380">
        <f t="shared" si="6"/>
        <v>0</v>
      </c>
    </row>
    <row r="452" spans="1:28" outlineLevel="2" x14ac:dyDescent="0.3">
      <c r="A452" s="379">
        <v>654</v>
      </c>
      <c r="B452" s="379">
        <v>813270</v>
      </c>
      <c r="C452" s="379" t="s">
        <v>1431</v>
      </c>
      <c r="D452" s="379">
        <v>5080476</v>
      </c>
      <c r="E452" s="379" t="s">
        <v>2857</v>
      </c>
      <c r="F452" s="379" t="s">
        <v>2333</v>
      </c>
      <c r="G452" s="383">
        <v>34759</v>
      </c>
      <c r="H452" s="379">
        <v>57942.85</v>
      </c>
      <c r="I452" s="379">
        <v>283.45</v>
      </c>
      <c r="J452" s="379">
        <v>5718.78</v>
      </c>
      <c r="K452" s="379">
        <v>4382.8999999999996</v>
      </c>
      <c r="L452" s="379"/>
      <c r="M452" s="379">
        <v>187</v>
      </c>
      <c r="N452" s="379"/>
      <c r="O452" s="379">
        <v>42453.04</v>
      </c>
      <c r="P452" s="379">
        <v>5561.88</v>
      </c>
      <c r="Q452" s="379">
        <v>4197.6000000000004</v>
      </c>
      <c r="R452" s="379"/>
      <c r="S452" s="379"/>
      <c r="T452" s="379">
        <v>5730.33</v>
      </c>
      <c r="U452" s="379"/>
      <c r="V452" s="380">
        <v>68514.98</v>
      </c>
      <c r="W452" s="381">
        <v>6</v>
      </c>
      <c r="X452" s="379"/>
      <c r="Y452" s="379"/>
      <c r="Z452" s="379">
        <v>5923001</v>
      </c>
      <c r="AA452" s="379" t="s">
        <v>2354</v>
      </c>
      <c r="AB452" s="380">
        <f t="shared" si="6"/>
        <v>0.5</v>
      </c>
    </row>
    <row r="453" spans="1:28" outlineLevel="2" x14ac:dyDescent="0.3">
      <c r="A453" s="379">
        <v>654</v>
      </c>
      <c r="B453" s="379">
        <v>813270</v>
      </c>
      <c r="C453" s="379" t="s">
        <v>1431</v>
      </c>
      <c r="D453" s="379">
        <v>5462221</v>
      </c>
      <c r="E453" s="379" t="s">
        <v>2602</v>
      </c>
      <c r="F453" s="379" t="s">
        <v>2319</v>
      </c>
      <c r="G453" s="383">
        <v>36100</v>
      </c>
      <c r="H453" s="379">
        <v>49013.96</v>
      </c>
      <c r="I453" s="379">
        <v>1520.99</v>
      </c>
      <c r="J453" s="379">
        <v>4876.29</v>
      </c>
      <c r="K453" s="379">
        <v>3713.15</v>
      </c>
      <c r="L453" s="379"/>
      <c r="M453" s="379">
        <v>172.7</v>
      </c>
      <c r="N453" s="379"/>
      <c r="O453" s="379">
        <v>41454.36</v>
      </c>
      <c r="P453" s="379"/>
      <c r="Q453" s="379">
        <v>4197.6000000000004</v>
      </c>
      <c r="R453" s="379"/>
      <c r="S453" s="379"/>
      <c r="T453" s="379">
        <v>3362</v>
      </c>
      <c r="U453" s="379"/>
      <c r="V453" s="380">
        <v>59297.09</v>
      </c>
      <c r="W453" s="381">
        <v>6</v>
      </c>
      <c r="X453" s="379">
        <v>1</v>
      </c>
      <c r="Y453" s="379" t="s">
        <v>2353</v>
      </c>
      <c r="Z453" s="379">
        <v>5931001</v>
      </c>
      <c r="AA453" s="379" t="s">
        <v>2320</v>
      </c>
      <c r="AB453" s="380">
        <f t="shared" si="6"/>
        <v>0.5</v>
      </c>
    </row>
    <row r="454" spans="1:28" outlineLevel="2" x14ac:dyDescent="0.3">
      <c r="A454" s="379">
        <v>654</v>
      </c>
      <c r="B454" s="379">
        <v>813270</v>
      </c>
      <c r="C454" s="379" t="s">
        <v>1431</v>
      </c>
      <c r="D454" s="379">
        <v>5679891</v>
      </c>
      <c r="E454" s="379" t="s">
        <v>2634</v>
      </c>
      <c r="F454" s="379" t="s">
        <v>2624</v>
      </c>
      <c r="G454" s="383">
        <v>34304</v>
      </c>
      <c r="H454" s="379">
        <v>77144.259999999995</v>
      </c>
      <c r="I454" s="379">
        <v>2905.06</v>
      </c>
      <c r="J454" s="379">
        <v>7643.64</v>
      </c>
      <c r="K454" s="379">
        <v>5823.05</v>
      </c>
      <c r="L454" s="379"/>
      <c r="M454" s="379">
        <v>259.3</v>
      </c>
      <c r="N454" s="379"/>
      <c r="O454" s="379">
        <v>63172.97</v>
      </c>
      <c r="P454" s="379">
        <v>4584.8900000000003</v>
      </c>
      <c r="Q454" s="379">
        <v>4343.3999999999996</v>
      </c>
      <c r="R454" s="379"/>
      <c r="S454" s="379"/>
      <c r="T454" s="379">
        <v>5043</v>
      </c>
      <c r="U454" s="379"/>
      <c r="V454" s="380">
        <v>93775.31</v>
      </c>
      <c r="W454" s="381">
        <v>9</v>
      </c>
      <c r="X454" s="379">
        <v>1</v>
      </c>
      <c r="Y454" s="379" t="s">
        <v>2353</v>
      </c>
      <c r="Z454" s="379">
        <v>5923001</v>
      </c>
      <c r="AA454" s="379" t="s">
        <v>2354</v>
      </c>
      <c r="AB454" s="380">
        <f t="shared" si="6"/>
        <v>0.75</v>
      </c>
    </row>
    <row r="455" spans="1:28" outlineLevel="2" x14ac:dyDescent="0.3">
      <c r="A455" s="379">
        <v>654</v>
      </c>
      <c r="B455" s="379">
        <v>813270</v>
      </c>
      <c r="C455" s="379" t="s">
        <v>1431</v>
      </c>
      <c r="D455" s="379">
        <v>5829023</v>
      </c>
      <c r="E455" s="379" t="s">
        <v>2381</v>
      </c>
      <c r="F455" s="379" t="s">
        <v>2382</v>
      </c>
      <c r="G455" s="383">
        <v>41760</v>
      </c>
      <c r="H455" s="379">
        <v>44655.519999999997</v>
      </c>
      <c r="I455" s="379">
        <v>1818.18</v>
      </c>
      <c r="J455" s="379">
        <v>9270.52</v>
      </c>
      <c r="K455" s="379">
        <v>3349.89</v>
      </c>
      <c r="L455" s="379"/>
      <c r="M455" s="379">
        <v>147.57</v>
      </c>
      <c r="N455" s="379"/>
      <c r="O455" s="379">
        <v>35012.949999999997</v>
      </c>
      <c r="P455" s="379">
        <v>2767.45</v>
      </c>
      <c r="Q455" s="379">
        <v>4161.12</v>
      </c>
      <c r="R455" s="379"/>
      <c r="S455" s="379"/>
      <c r="T455" s="379">
        <v>2714</v>
      </c>
      <c r="U455" s="379"/>
      <c r="V455" s="380">
        <v>59241.68</v>
      </c>
      <c r="W455" s="381">
        <v>6</v>
      </c>
      <c r="X455" s="379"/>
      <c r="Y455" s="379"/>
      <c r="Z455" s="379">
        <v>5931001</v>
      </c>
      <c r="AA455" s="379" t="s">
        <v>2320</v>
      </c>
      <c r="AB455" s="380">
        <f t="shared" si="6"/>
        <v>0.5</v>
      </c>
    </row>
    <row r="456" spans="1:28" outlineLevel="2" x14ac:dyDescent="0.3">
      <c r="A456" s="379">
        <v>654</v>
      </c>
      <c r="B456" s="379">
        <v>813270</v>
      </c>
      <c r="C456" s="379" t="s">
        <v>1431</v>
      </c>
      <c r="D456" s="379">
        <v>5877726</v>
      </c>
      <c r="E456" s="379" t="s">
        <v>2693</v>
      </c>
      <c r="F456" s="379" t="s">
        <v>2333</v>
      </c>
      <c r="G456" s="383">
        <v>32051</v>
      </c>
      <c r="H456" s="379">
        <v>90318.03</v>
      </c>
      <c r="I456" s="379">
        <v>3902.82</v>
      </c>
      <c r="J456" s="379">
        <v>7631.21</v>
      </c>
      <c r="K456" s="379">
        <v>6811.1</v>
      </c>
      <c r="L456" s="379"/>
      <c r="M456" s="379">
        <v>296.8</v>
      </c>
      <c r="N456" s="379"/>
      <c r="O456" s="379">
        <v>75618.37</v>
      </c>
      <c r="P456" s="379">
        <v>488.76</v>
      </c>
      <c r="Q456" s="379">
        <v>5009.5200000000004</v>
      </c>
      <c r="R456" s="379"/>
      <c r="S456" s="379"/>
      <c r="T456" s="379">
        <v>9201.3799999999992</v>
      </c>
      <c r="U456" s="379"/>
      <c r="V456" s="380">
        <v>108959.96</v>
      </c>
      <c r="W456" s="381">
        <v>8.8800000000000008</v>
      </c>
      <c r="X456" s="379">
        <v>21</v>
      </c>
      <c r="Y456" s="379" t="s">
        <v>2632</v>
      </c>
      <c r="Z456" s="379">
        <v>3202002</v>
      </c>
      <c r="AA456" s="379" t="s">
        <v>2290</v>
      </c>
      <c r="AB456" s="380">
        <f t="shared" si="6"/>
        <v>0.7400000000000001</v>
      </c>
    </row>
    <row r="457" spans="1:28" outlineLevel="2" x14ac:dyDescent="0.3">
      <c r="A457" s="379">
        <v>654</v>
      </c>
      <c r="B457" s="379">
        <v>813270</v>
      </c>
      <c r="C457" s="379" t="s">
        <v>1431</v>
      </c>
      <c r="D457" s="379">
        <v>6777597</v>
      </c>
      <c r="E457" s="379" t="s">
        <v>2384</v>
      </c>
      <c r="F457" s="379" t="s">
        <v>2385</v>
      </c>
      <c r="G457" s="383">
        <v>42278</v>
      </c>
      <c r="H457" s="379">
        <v>472</v>
      </c>
      <c r="I457" s="379">
        <v>16.75</v>
      </c>
      <c r="J457" s="379">
        <v>63.72</v>
      </c>
      <c r="K457" s="379">
        <v>35.4</v>
      </c>
      <c r="L457" s="379"/>
      <c r="M457" s="379"/>
      <c r="N457" s="379"/>
      <c r="O457" s="379"/>
      <c r="P457" s="379">
        <v>472</v>
      </c>
      <c r="Q457" s="379"/>
      <c r="R457" s="379"/>
      <c r="S457" s="379"/>
      <c r="T457" s="379"/>
      <c r="U457" s="379"/>
      <c r="V457" s="380">
        <v>587.87</v>
      </c>
      <c r="W457" s="381"/>
      <c r="X457" s="379">
        <v>1</v>
      </c>
      <c r="Y457" s="379" t="s">
        <v>2353</v>
      </c>
      <c r="Z457" s="379">
        <v>5923001</v>
      </c>
      <c r="AA457" s="379" t="s">
        <v>2354</v>
      </c>
      <c r="AB457" s="380">
        <f t="shared" si="6"/>
        <v>0</v>
      </c>
    </row>
    <row r="458" spans="1:28" outlineLevel="2" x14ac:dyDescent="0.3">
      <c r="A458" s="379">
        <v>654</v>
      </c>
      <c r="B458" s="379">
        <v>813270</v>
      </c>
      <c r="C458" s="379" t="s">
        <v>1431</v>
      </c>
      <c r="D458" s="379">
        <v>6832413</v>
      </c>
      <c r="E458" s="379" t="s">
        <v>2451</v>
      </c>
      <c r="F458" s="379" t="s">
        <v>2376</v>
      </c>
      <c r="G458" s="383">
        <v>31747</v>
      </c>
      <c r="H458" s="379">
        <v>110100.12</v>
      </c>
      <c r="I458" s="379">
        <v>5405.54</v>
      </c>
      <c r="J458" s="379">
        <v>9420.2099999999991</v>
      </c>
      <c r="K458" s="379">
        <v>8294.65</v>
      </c>
      <c r="L458" s="379"/>
      <c r="M458" s="379">
        <v>364.7</v>
      </c>
      <c r="N458" s="379"/>
      <c r="O458" s="379">
        <v>90677.95</v>
      </c>
      <c r="P458" s="379">
        <v>180.23</v>
      </c>
      <c r="Q458" s="379">
        <v>5774.88</v>
      </c>
      <c r="R458" s="379"/>
      <c r="S458" s="379"/>
      <c r="T458" s="379">
        <v>11237.06</v>
      </c>
      <c r="U458" s="379">
        <v>2230</v>
      </c>
      <c r="V458" s="380">
        <v>133585.22</v>
      </c>
      <c r="W458" s="381">
        <v>10.8</v>
      </c>
      <c r="X458" s="379"/>
      <c r="Y458" s="379"/>
      <c r="Z458" s="379">
        <v>3204001</v>
      </c>
      <c r="AA458" s="379" t="s">
        <v>2420</v>
      </c>
      <c r="AB458" s="380">
        <f t="shared" si="6"/>
        <v>0.9</v>
      </c>
    </row>
    <row r="459" spans="1:28" outlineLevel="2" x14ac:dyDescent="0.3">
      <c r="A459" s="379">
        <v>654</v>
      </c>
      <c r="B459" s="379">
        <v>813270</v>
      </c>
      <c r="C459" s="379" t="s">
        <v>1431</v>
      </c>
      <c r="D459" s="379">
        <v>30548827</v>
      </c>
      <c r="E459" s="379" t="s">
        <v>2858</v>
      </c>
      <c r="F459" s="379" t="s">
        <v>2859</v>
      </c>
      <c r="G459" s="383">
        <v>42979</v>
      </c>
      <c r="H459" s="379">
        <v>125.87</v>
      </c>
      <c r="I459" s="379">
        <v>4.45</v>
      </c>
      <c r="J459" s="379">
        <v>0.02</v>
      </c>
      <c r="K459" s="379">
        <v>9.43</v>
      </c>
      <c r="L459" s="379"/>
      <c r="M459" s="379"/>
      <c r="N459" s="379"/>
      <c r="O459" s="379"/>
      <c r="P459" s="379"/>
      <c r="Q459" s="379">
        <v>125.87</v>
      </c>
      <c r="R459" s="379"/>
      <c r="S459" s="379"/>
      <c r="T459" s="379"/>
      <c r="U459" s="379"/>
      <c r="V459" s="380">
        <v>139.77000000000001</v>
      </c>
      <c r="W459" s="381"/>
      <c r="X459" s="379"/>
      <c r="Y459" s="379"/>
      <c r="Z459" s="379">
        <v>1401202</v>
      </c>
      <c r="AA459" s="379" t="s">
        <v>2380</v>
      </c>
      <c r="AB459" s="380">
        <f t="shared" si="6"/>
        <v>0</v>
      </c>
    </row>
    <row r="460" spans="1:28" outlineLevel="2" x14ac:dyDescent="0.3">
      <c r="A460" s="379">
        <v>654</v>
      </c>
      <c r="B460" s="379">
        <v>813270</v>
      </c>
      <c r="C460" s="379" t="s">
        <v>1431</v>
      </c>
      <c r="D460" s="379">
        <v>31923973</v>
      </c>
      <c r="E460" s="379" t="s">
        <v>2860</v>
      </c>
      <c r="F460" s="379" t="s">
        <v>2861</v>
      </c>
      <c r="G460" s="383">
        <v>41518</v>
      </c>
      <c r="H460" s="379">
        <v>66085.34</v>
      </c>
      <c r="I460" s="379">
        <v>2372.4899999999998</v>
      </c>
      <c r="J460" s="379">
        <v>13761.03</v>
      </c>
      <c r="K460" s="379">
        <v>4993.6499999999996</v>
      </c>
      <c r="L460" s="379"/>
      <c r="M460" s="379">
        <v>227.05</v>
      </c>
      <c r="N460" s="379"/>
      <c r="O460" s="379">
        <v>54278.37</v>
      </c>
      <c r="P460" s="379">
        <v>2607.29</v>
      </c>
      <c r="Q460" s="379">
        <v>5128.68</v>
      </c>
      <c r="R460" s="379"/>
      <c r="S460" s="379"/>
      <c r="T460" s="379">
        <v>4071</v>
      </c>
      <c r="U460" s="379"/>
      <c r="V460" s="380">
        <v>87439.56</v>
      </c>
      <c r="W460" s="381">
        <v>9</v>
      </c>
      <c r="X460" s="379"/>
      <c r="Y460" s="379"/>
      <c r="Z460" s="379">
        <v>5923001</v>
      </c>
      <c r="AA460" s="379" t="s">
        <v>2354</v>
      </c>
      <c r="AB460" s="380">
        <f t="shared" si="6"/>
        <v>0.75</v>
      </c>
    </row>
    <row r="461" spans="1:28" outlineLevel="1" x14ac:dyDescent="0.3">
      <c r="A461" s="379"/>
      <c r="B461" s="384" t="s">
        <v>2862</v>
      </c>
      <c r="C461" s="379"/>
      <c r="D461" s="379"/>
      <c r="E461" s="379"/>
      <c r="F461" s="379"/>
      <c r="G461" s="383"/>
      <c r="H461" s="379"/>
      <c r="I461" s="379"/>
      <c r="J461" s="379"/>
      <c r="K461" s="379"/>
      <c r="L461" s="379"/>
      <c r="M461" s="379"/>
      <c r="N461" s="379"/>
      <c r="O461" s="379"/>
      <c r="P461" s="379"/>
      <c r="Q461" s="379"/>
      <c r="R461" s="379"/>
      <c r="S461" s="379"/>
      <c r="T461" s="379"/>
      <c r="U461" s="379"/>
      <c r="V461" s="380">
        <f>SUBTOTAL(9,V448:V460)</f>
        <v>955311.66000000015</v>
      </c>
      <c r="W461" s="381">
        <f>SUBTOTAL(9,W448:W460)</f>
        <v>88.399999999999991</v>
      </c>
      <c r="X461" s="379"/>
      <c r="Y461" s="379"/>
      <c r="Z461" s="379"/>
      <c r="AA461" s="379"/>
      <c r="AB461" s="380">
        <f>SUBTOTAL(9,AB448:AB460)</f>
        <v>7.3666666666666671</v>
      </c>
    </row>
    <row r="462" spans="1:28" outlineLevel="2" x14ac:dyDescent="0.3">
      <c r="A462" s="379">
        <v>654</v>
      </c>
      <c r="B462" s="379">
        <v>813280</v>
      </c>
      <c r="C462" s="379" t="s">
        <v>1441</v>
      </c>
      <c r="D462" s="379">
        <v>2391761</v>
      </c>
      <c r="E462" s="379" t="s">
        <v>2645</v>
      </c>
      <c r="F462" s="379" t="s">
        <v>2333</v>
      </c>
      <c r="G462" s="383">
        <v>41883</v>
      </c>
      <c r="H462" s="379">
        <v>92456.26</v>
      </c>
      <c r="I462" s="379">
        <v>4065.95</v>
      </c>
      <c r="J462" s="379">
        <v>19516.349999999999</v>
      </c>
      <c r="K462" s="379">
        <v>6971.4</v>
      </c>
      <c r="L462" s="379"/>
      <c r="M462" s="379">
        <v>333.55</v>
      </c>
      <c r="N462" s="379"/>
      <c r="O462" s="379">
        <v>78408.800000000003</v>
      </c>
      <c r="P462" s="379">
        <v>5206.26</v>
      </c>
      <c r="Q462" s="379">
        <v>2371.1999999999998</v>
      </c>
      <c r="R462" s="379"/>
      <c r="S462" s="379"/>
      <c r="T462" s="379">
        <v>6470</v>
      </c>
      <c r="U462" s="379"/>
      <c r="V462" s="380">
        <v>123343.51</v>
      </c>
      <c r="W462" s="381">
        <v>12</v>
      </c>
      <c r="X462" s="379">
        <v>12107</v>
      </c>
      <c r="Y462" s="379" t="s">
        <v>2801</v>
      </c>
      <c r="Z462" s="379">
        <v>1422001</v>
      </c>
      <c r="AA462" s="379" t="s">
        <v>2648</v>
      </c>
      <c r="AB462" s="380">
        <f t="shared" si="6"/>
        <v>1</v>
      </c>
    </row>
    <row r="463" spans="1:28" outlineLevel="2" x14ac:dyDescent="0.3">
      <c r="A463" s="379">
        <v>654</v>
      </c>
      <c r="B463" s="379">
        <v>813280</v>
      </c>
      <c r="C463" s="379" t="s">
        <v>1441</v>
      </c>
      <c r="D463" s="379">
        <v>2564601</v>
      </c>
      <c r="E463" s="379" t="s">
        <v>2538</v>
      </c>
      <c r="F463" s="379" t="s">
        <v>2832</v>
      </c>
      <c r="G463" s="383">
        <v>42583</v>
      </c>
      <c r="H463" s="379">
        <v>72500.990000000005</v>
      </c>
      <c r="I463" s="379">
        <v>3144.02</v>
      </c>
      <c r="J463" s="379">
        <v>14548.56</v>
      </c>
      <c r="K463" s="379">
        <v>5474.65</v>
      </c>
      <c r="L463" s="379"/>
      <c r="M463" s="379">
        <v>253.31</v>
      </c>
      <c r="N463" s="379"/>
      <c r="O463" s="379">
        <v>61269.07</v>
      </c>
      <c r="P463" s="379">
        <v>6629.62</v>
      </c>
      <c r="Q463" s="379">
        <v>873.44</v>
      </c>
      <c r="R463" s="379"/>
      <c r="S463" s="379"/>
      <c r="T463" s="379">
        <v>3604.66</v>
      </c>
      <c r="U463" s="379">
        <v>124.2</v>
      </c>
      <c r="V463" s="380">
        <v>95921.53</v>
      </c>
      <c r="W463" s="381">
        <v>8.9600000000000009</v>
      </c>
      <c r="X463" s="379"/>
      <c r="Y463" s="379"/>
      <c r="Z463" s="379">
        <v>1422001</v>
      </c>
      <c r="AA463" s="379" t="s">
        <v>2648</v>
      </c>
      <c r="AB463" s="380">
        <f t="shared" si="6"/>
        <v>0.7466666666666667</v>
      </c>
    </row>
    <row r="464" spans="1:28" outlineLevel="2" x14ac:dyDescent="0.3">
      <c r="A464" s="379">
        <v>654</v>
      </c>
      <c r="B464" s="379">
        <v>813280</v>
      </c>
      <c r="C464" s="379" t="s">
        <v>1441</v>
      </c>
      <c r="D464" s="379">
        <v>2887585</v>
      </c>
      <c r="E464" s="379" t="s">
        <v>2451</v>
      </c>
      <c r="F464" s="379" t="s">
        <v>2366</v>
      </c>
      <c r="G464" s="383">
        <v>40909</v>
      </c>
      <c r="H464" s="379">
        <v>87500.93</v>
      </c>
      <c r="I464" s="379">
        <v>3683.25</v>
      </c>
      <c r="J464" s="379">
        <v>18312.330000000002</v>
      </c>
      <c r="K464" s="379">
        <v>6599.8</v>
      </c>
      <c r="L464" s="379"/>
      <c r="M464" s="379">
        <v>315.75</v>
      </c>
      <c r="N464" s="379"/>
      <c r="O464" s="379">
        <v>73865.36</v>
      </c>
      <c r="P464" s="379">
        <v>5314.78</v>
      </c>
      <c r="Q464" s="379">
        <v>2750.88</v>
      </c>
      <c r="R464" s="379"/>
      <c r="S464" s="379"/>
      <c r="T464" s="379">
        <v>5569.91</v>
      </c>
      <c r="U464" s="379"/>
      <c r="V464" s="380">
        <v>116412.06</v>
      </c>
      <c r="W464" s="381">
        <v>10.8</v>
      </c>
      <c r="X464" s="379">
        <v>13</v>
      </c>
      <c r="Y464" s="379" t="s">
        <v>2863</v>
      </c>
      <c r="Z464" s="379">
        <v>1422001</v>
      </c>
      <c r="AA464" s="379" t="s">
        <v>2648</v>
      </c>
      <c r="AB464" s="380">
        <f t="shared" si="6"/>
        <v>0.9</v>
      </c>
    </row>
    <row r="465" spans="1:28" outlineLevel="2" x14ac:dyDescent="0.3">
      <c r="A465" s="379">
        <v>654</v>
      </c>
      <c r="B465" s="379">
        <v>813280</v>
      </c>
      <c r="C465" s="379" t="s">
        <v>1441</v>
      </c>
      <c r="D465" s="379">
        <v>3366926</v>
      </c>
      <c r="E465" s="379" t="s">
        <v>2564</v>
      </c>
      <c r="F465" s="379" t="s">
        <v>2327</v>
      </c>
      <c r="G465" s="383">
        <v>42248</v>
      </c>
      <c r="H465" s="379">
        <v>73218.39</v>
      </c>
      <c r="I465" s="379">
        <v>2797.87</v>
      </c>
      <c r="J465" s="379">
        <v>15066.78</v>
      </c>
      <c r="K465" s="379">
        <v>5528.6</v>
      </c>
      <c r="L465" s="379"/>
      <c r="M465" s="379">
        <v>266.25</v>
      </c>
      <c r="N465" s="379"/>
      <c r="O465" s="379">
        <v>61705.19</v>
      </c>
      <c r="P465" s="379">
        <v>4858.84</v>
      </c>
      <c r="Q465" s="379">
        <v>2692.56</v>
      </c>
      <c r="R465" s="379"/>
      <c r="S465" s="379"/>
      <c r="T465" s="379">
        <v>3837.6</v>
      </c>
      <c r="U465" s="379">
        <v>124.2</v>
      </c>
      <c r="V465" s="380">
        <v>96877.89</v>
      </c>
      <c r="W465" s="381">
        <v>9.52</v>
      </c>
      <c r="X465" s="379"/>
      <c r="Y465" s="379"/>
      <c r="Z465" s="379">
        <v>1422001</v>
      </c>
      <c r="AA465" s="379" t="s">
        <v>2648</v>
      </c>
      <c r="AB465" s="380">
        <f t="shared" si="6"/>
        <v>0.79333333333333333</v>
      </c>
    </row>
    <row r="466" spans="1:28" outlineLevel="2" x14ac:dyDescent="0.3">
      <c r="A466" s="379">
        <v>654</v>
      </c>
      <c r="B466" s="379">
        <v>813280</v>
      </c>
      <c r="C466" s="379" t="s">
        <v>1441</v>
      </c>
      <c r="D466" s="379">
        <v>3764371</v>
      </c>
      <c r="E466" s="379" t="s">
        <v>2841</v>
      </c>
      <c r="F466" s="379" t="s">
        <v>2864</v>
      </c>
      <c r="G466" s="383">
        <v>42644</v>
      </c>
      <c r="H466" s="379">
        <v>76347.78</v>
      </c>
      <c r="I466" s="379">
        <v>2950.35</v>
      </c>
      <c r="J466" s="379">
        <v>15455.44</v>
      </c>
      <c r="K466" s="379">
        <v>5763.35</v>
      </c>
      <c r="L466" s="379"/>
      <c r="M466" s="379">
        <v>266.75</v>
      </c>
      <c r="N466" s="379"/>
      <c r="O466" s="379">
        <v>58585.43</v>
      </c>
      <c r="P466" s="379">
        <v>8129.85</v>
      </c>
      <c r="Q466" s="379">
        <v>2377.04</v>
      </c>
      <c r="R466" s="379"/>
      <c r="S466" s="379"/>
      <c r="T466" s="379">
        <v>4081.46</v>
      </c>
      <c r="U466" s="379">
        <v>3174</v>
      </c>
      <c r="V466" s="380">
        <v>100783.67</v>
      </c>
      <c r="W466" s="381">
        <v>9.6</v>
      </c>
      <c r="X466" s="379"/>
      <c r="Y466" s="379"/>
      <c r="Z466" s="379">
        <v>1027</v>
      </c>
      <c r="AA466" s="379" t="s">
        <v>2383</v>
      </c>
      <c r="AB466" s="380">
        <f t="shared" si="6"/>
        <v>0.79999999999999993</v>
      </c>
    </row>
    <row r="467" spans="1:28" outlineLevel="2" x14ac:dyDescent="0.3">
      <c r="A467" s="379">
        <v>654</v>
      </c>
      <c r="B467" s="379">
        <v>813280</v>
      </c>
      <c r="C467" s="379" t="s">
        <v>1441</v>
      </c>
      <c r="D467" s="379">
        <v>3827908</v>
      </c>
      <c r="E467" s="379" t="s">
        <v>2865</v>
      </c>
      <c r="F467" s="379" t="s">
        <v>2866</v>
      </c>
      <c r="G467" s="383">
        <v>43282</v>
      </c>
      <c r="H467" s="379">
        <v>76531.72</v>
      </c>
      <c r="I467" s="379">
        <v>2943.12</v>
      </c>
      <c r="J467" s="379">
        <v>12349.09</v>
      </c>
      <c r="K467" s="379">
        <v>5777.1</v>
      </c>
      <c r="L467" s="379"/>
      <c r="M467" s="379">
        <v>289.14999999999998</v>
      </c>
      <c r="N467" s="379"/>
      <c r="O467" s="379">
        <v>67453.45</v>
      </c>
      <c r="P467" s="379">
        <v>4854.01</v>
      </c>
      <c r="Q467" s="379">
        <v>2628.42</v>
      </c>
      <c r="R467" s="379"/>
      <c r="S467" s="379"/>
      <c r="T467" s="379">
        <v>1595.84</v>
      </c>
      <c r="U467" s="379"/>
      <c r="V467" s="380">
        <v>97890.18</v>
      </c>
      <c r="W467" s="381">
        <v>11.04</v>
      </c>
      <c r="X467" s="379"/>
      <c r="Y467" s="379"/>
      <c r="Z467" s="379">
        <v>1422001</v>
      </c>
      <c r="AA467" s="379" t="s">
        <v>2648</v>
      </c>
      <c r="AB467" s="380">
        <f t="shared" si="6"/>
        <v>0.91999999999999993</v>
      </c>
    </row>
    <row r="468" spans="1:28" outlineLevel="2" x14ac:dyDescent="0.3">
      <c r="A468" s="379">
        <v>654</v>
      </c>
      <c r="B468" s="379">
        <v>813280</v>
      </c>
      <c r="C468" s="379" t="s">
        <v>1441</v>
      </c>
      <c r="D468" s="379">
        <v>5272074</v>
      </c>
      <c r="E468" s="379" t="s">
        <v>2415</v>
      </c>
      <c r="F468" s="379" t="s">
        <v>2410</v>
      </c>
      <c r="G468" s="383">
        <v>43344</v>
      </c>
      <c r="H468" s="379">
        <v>17871.599999999999</v>
      </c>
      <c r="I468" s="379">
        <v>634.44000000000005</v>
      </c>
      <c r="J468" s="379">
        <v>2297.91</v>
      </c>
      <c r="K468" s="379">
        <v>1340.35</v>
      </c>
      <c r="L468" s="379"/>
      <c r="M468" s="379"/>
      <c r="N468" s="379"/>
      <c r="O468" s="379"/>
      <c r="P468" s="379">
        <v>17021.5</v>
      </c>
      <c r="Q468" s="379">
        <v>850.1</v>
      </c>
      <c r="R468" s="379"/>
      <c r="S468" s="379"/>
      <c r="T468" s="379"/>
      <c r="U468" s="379"/>
      <c r="V468" s="380">
        <v>22144.3</v>
      </c>
      <c r="W468" s="381"/>
      <c r="X468" s="379"/>
      <c r="Y468" s="379"/>
      <c r="Z468" s="379">
        <v>1027</v>
      </c>
      <c r="AA468" s="379" t="s">
        <v>2383</v>
      </c>
      <c r="AB468" s="380">
        <f t="shared" si="6"/>
        <v>0</v>
      </c>
    </row>
    <row r="469" spans="1:28" outlineLevel="2" x14ac:dyDescent="0.3">
      <c r="A469" s="379">
        <v>654</v>
      </c>
      <c r="B469" s="379">
        <v>813280</v>
      </c>
      <c r="C469" s="379" t="s">
        <v>1441</v>
      </c>
      <c r="D469" s="379">
        <v>5716984</v>
      </c>
      <c r="E469" s="379" t="s">
        <v>2578</v>
      </c>
      <c r="F469" s="379" t="s">
        <v>2644</v>
      </c>
      <c r="G469" s="383">
        <v>33604</v>
      </c>
      <c r="H469" s="379">
        <v>78616</v>
      </c>
      <c r="I469" s="379">
        <v>3014.14</v>
      </c>
      <c r="J469" s="379">
        <v>7278.35</v>
      </c>
      <c r="K469" s="379">
        <v>5933.4</v>
      </c>
      <c r="L469" s="379"/>
      <c r="M469" s="379">
        <v>282.35000000000002</v>
      </c>
      <c r="N469" s="379"/>
      <c r="O469" s="379">
        <v>64781.41</v>
      </c>
      <c r="P469" s="379"/>
      <c r="Q469" s="379">
        <v>5183.3999999999996</v>
      </c>
      <c r="R469" s="379"/>
      <c r="S469" s="379"/>
      <c r="T469" s="379">
        <v>8651.19</v>
      </c>
      <c r="U469" s="379"/>
      <c r="V469" s="380">
        <v>95124.24</v>
      </c>
      <c r="W469" s="381">
        <v>9</v>
      </c>
      <c r="X469" s="379">
        <v>1</v>
      </c>
      <c r="Y469" s="379" t="s">
        <v>2353</v>
      </c>
      <c r="Z469" s="379">
        <v>5923001</v>
      </c>
      <c r="AA469" s="379" t="s">
        <v>2354</v>
      </c>
      <c r="AB469" s="380">
        <f t="shared" si="6"/>
        <v>0.75</v>
      </c>
    </row>
    <row r="470" spans="1:28" outlineLevel="2" x14ac:dyDescent="0.3">
      <c r="A470" s="379">
        <v>654</v>
      </c>
      <c r="B470" s="379">
        <v>813280</v>
      </c>
      <c r="C470" s="379" t="s">
        <v>1441</v>
      </c>
      <c r="D470" s="379">
        <v>5746004</v>
      </c>
      <c r="E470" s="379" t="s">
        <v>2340</v>
      </c>
      <c r="F470" s="379" t="s">
        <v>2379</v>
      </c>
      <c r="G470" s="383">
        <v>41487</v>
      </c>
      <c r="H470" s="379">
        <v>590</v>
      </c>
      <c r="I470" s="379">
        <v>20.95</v>
      </c>
      <c r="J470" s="379">
        <v>29.5</v>
      </c>
      <c r="K470" s="379">
        <v>44.27</v>
      </c>
      <c r="L470" s="379"/>
      <c r="M470" s="379"/>
      <c r="N470" s="379"/>
      <c r="O470" s="379"/>
      <c r="P470" s="379">
        <v>590</v>
      </c>
      <c r="Q470" s="379"/>
      <c r="R470" s="379"/>
      <c r="S470" s="379"/>
      <c r="T470" s="379"/>
      <c r="U470" s="379"/>
      <c r="V470" s="380">
        <v>684.72</v>
      </c>
      <c r="W470" s="381"/>
      <c r="X470" s="379"/>
      <c r="Y470" s="379"/>
      <c r="Z470" s="379">
        <v>1401202</v>
      </c>
      <c r="AA470" s="379" t="s">
        <v>2380</v>
      </c>
      <c r="AB470" s="380">
        <f t="shared" si="6"/>
        <v>0</v>
      </c>
    </row>
    <row r="471" spans="1:28" outlineLevel="2" x14ac:dyDescent="0.3">
      <c r="A471" s="379">
        <v>654</v>
      </c>
      <c r="B471" s="379">
        <v>813280</v>
      </c>
      <c r="C471" s="379" t="s">
        <v>1441</v>
      </c>
      <c r="D471" s="379">
        <v>5746028</v>
      </c>
      <c r="E471" s="379" t="s">
        <v>2867</v>
      </c>
      <c r="F471" s="379" t="s">
        <v>2868</v>
      </c>
      <c r="G471" s="383">
        <v>43009</v>
      </c>
      <c r="H471" s="379">
        <v>78799.97</v>
      </c>
      <c r="I471" s="379">
        <v>3157.88</v>
      </c>
      <c r="J471" s="379">
        <v>16380.74</v>
      </c>
      <c r="K471" s="379">
        <v>5947.2</v>
      </c>
      <c r="L471" s="379"/>
      <c r="M471" s="379">
        <v>96.85</v>
      </c>
      <c r="N471" s="379"/>
      <c r="O471" s="379">
        <v>66775.08</v>
      </c>
      <c r="P471" s="379">
        <v>7958.14</v>
      </c>
      <c r="Q471" s="379">
        <v>2617.4699999999998</v>
      </c>
      <c r="R471" s="379"/>
      <c r="S471" s="379"/>
      <c r="T471" s="379">
        <v>1449.28</v>
      </c>
      <c r="U471" s="379"/>
      <c r="V471" s="380">
        <v>104382.64</v>
      </c>
      <c r="W471" s="381">
        <v>10.74</v>
      </c>
      <c r="X471" s="379"/>
      <c r="Y471" s="379"/>
      <c r="Z471" s="379">
        <v>1027</v>
      </c>
      <c r="AA471" s="379" t="s">
        <v>2383</v>
      </c>
      <c r="AB471" s="380">
        <f t="shared" si="6"/>
        <v>0.89500000000000002</v>
      </c>
    </row>
    <row r="472" spans="1:28" outlineLevel="2" x14ac:dyDescent="0.3">
      <c r="A472" s="379">
        <v>654</v>
      </c>
      <c r="B472" s="379">
        <v>813280</v>
      </c>
      <c r="C472" s="379" t="s">
        <v>1441</v>
      </c>
      <c r="D472" s="379">
        <v>5746076</v>
      </c>
      <c r="E472" s="379" t="s">
        <v>2869</v>
      </c>
      <c r="F472" s="379" t="s">
        <v>2644</v>
      </c>
      <c r="G472" s="383">
        <v>39295</v>
      </c>
      <c r="H472" s="379">
        <v>81774.28</v>
      </c>
      <c r="I472" s="379">
        <v>3169.82</v>
      </c>
      <c r="J472" s="379">
        <v>17229.64</v>
      </c>
      <c r="K472" s="379">
        <v>6170.3</v>
      </c>
      <c r="L472" s="379"/>
      <c r="M472" s="379">
        <v>298.8</v>
      </c>
      <c r="N472" s="379"/>
      <c r="O472" s="379">
        <v>71051.740000000005</v>
      </c>
      <c r="P472" s="379">
        <v>3778.3</v>
      </c>
      <c r="Q472" s="379">
        <v>2493.2800000000002</v>
      </c>
      <c r="R472" s="379"/>
      <c r="S472" s="379"/>
      <c r="T472" s="379">
        <v>4450.96</v>
      </c>
      <c r="U472" s="379"/>
      <c r="V472" s="380">
        <v>108642.84</v>
      </c>
      <c r="W472" s="381">
        <v>10.58</v>
      </c>
      <c r="X472" s="379"/>
      <c r="Y472" s="379"/>
      <c r="Z472" s="379">
        <v>931001</v>
      </c>
      <c r="AA472" s="379" t="s">
        <v>2667</v>
      </c>
      <c r="AB472" s="380">
        <f t="shared" si="6"/>
        <v>0.88166666666666671</v>
      </c>
    </row>
    <row r="473" spans="1:28" outlineLevel="2" x14ac:dyDescent="0.3">
      <c r="A473" s="379">
        <v>654</v>
      </c>
      <c r="B473" s="379">
        <v>813280</v>
      </c>
      <c r="C473" s="379" t="s">
        <v>1441</v>
      </c>
      <c r="D473" s="379">
        <v>5836327</v>
      </c>
      <c r="E473" s="379" t="s">
        <v>2340</v>
      </c>
      <c r="F473" s="379" t="s">
        <v>2870</v>
      </c>
      <c r="G473" s="383">
        <v>41821</v>
      </c>
      <c r="H473" s="379">
        <v>32072.23</v>
      </c>
      <c r="I473" s="379">
        <v>1156.18</v>
      </c>
      <c r="J473" s="379">
        <v>6485.59</v>
      </c>
      <c r="K473" s="379">
        <v>2442.5500000000002</v>
      </c>
      <c r="L473" s="379"/>
      <c r="M473" s="379">
        <v>50.8</v>
      </c>
      <c r="N473" s="379"/>
      <c r="O473" s="379">
        <v>29021.9</v>
      </c>
      <c r="P473" s="379"/>
      <c r="Q473" s="379">
        <v>1888.2</v>
      </c>
      <c r="R473" s="379">
        <v>1162.1300000000001</v>
      </c>
      <c r="S473" s="379"/>
      <c r="T473" s="379"/>
      <c r="U473" s="379"/>
      <c r="V473" s="380">
        <v>42207.35</v>
      </c>
      <c r="W473" s="381">
        <v>4.5</v>
      </c>
      <c r="X473" s="379"/>
      <c r="Y473" s="379"/>
      <c r="Z473" s="379">
        <v>5302002</v>
      </c>
      <c r="AA473" s="379" t="s">
        <v>2467</v>
      </c>
      <c r="AB473" s="380">
        <f t="shared" si="6"/>
        <v>0.375</v>
      </c>
    </row>
    <row r="474" spans="1:28" outlineLevel="2" x14ac:dyDescent="0.3">
      <c r="A474" s="379">
        <v>654</v>
      </c>
      <c r="B474" s="379">
        <v>813280</v>
      </c>
      <c r="C474" s="379" t="s">
        <v>1441</v>
      </c>
      <c r="D474" s="379">
        <v>6283574</v>
      </c>
      <c r="E474" s="379" t="s">
        <v>2871</v>
      </c>
      <c r="F474" s="379" t="s">
        <v>2872</v>
      </c>
      <c r="G474" s="383">
        <v>40603</v>
      </c>
      <c r="H474" s="379">
        <v>70259.67</v>
      </c>
      <c r="I474" s="379">
        <v>3131.79</v>
      </c>
      <c r="J474" s="379">
        <v>17603.73</v>
      </c>
      <c r="K474" s="379">
        <v>5354.05</v>
      </c>
      <c r="L474" s="379"/>
      <c r="M474" s="379">
        <v>230.55</v>
      </c>
      <c r="N474" s="379"/>
      <c r="O474" s="379">
        <v>57057.31</v>
      </c>
      <c r="P474" s="379">
        <v>1092</v>
      </c>
      <c r="Q474" s="379">
        <v>2061.58</v>
      </c>
      <c r="R474" s="379"/>
      <c r="S474" s="379"/>
      <c r="T474" s="379">
        <v>6038</v>
      </c>
      <c r="U474" s="379">
        <v>4010.78</v>
      </c>
      <c r="V474" s="380">
        <v>96579.79</v>
      </c>
      <c r="W474" s="381">
        <v>8.8059999999999992</v>
      </c>
      <c r="X474" s="379"/>
      <c r="Y474" s="379"/>
      <c r="Z474" s="379">
        <v>1027</v>
      </c>
      <c r="AA474" s="379" t="s">
        <v>2383</v>
      </c>
      <c r="AB474" s="380">
        <f t="shared" si="6"/>
        <v>0.73383333333333323</v>
      </c>
    </row>
    <row r="475" spans="1:28" outlineLevel="2" x14ac:dyDescent="0.3">
      <c r="A475" s="379">
        <v>654</v>
      </c>
      <c r="B475" s="379">
        <v>813280</v>
      </c>
      <c r="C475" s="379" t="s">
        <v>1441</v>
      </c>
      <c r="D475" s="379">
        <v>6665997</v>
      </c>
      <c r="E475" s="379" t="s">
        <v>2398</v>
      </c>
      <c r="F475" s="379" t="s">
        <v>2593</v>
      </c>
      <c r="G475" s="383">
        <v>41609</v>
      </c>
      <c r="H475" s="379">
        <v>8870.25</v>
      </c>
      <c r="I475" s="379">
        <v>313.39</v>
      </c>
      <c r="J475" s="379">
        <v>1673.83</v>
      </c>
      <c r="K475" s="379">
        <v>665.25</v>
      </c>
      <c r="L475" s="379"/>
      <c r="M475" s="379">
        <v>19.95</v>
      </c>
      <c r="N475" s="379"/>
      <c r="O475" s="379">
        <v>4939.6499999999996</v>
      </c>
      <c r="P475" s="379"/>
      <c r="Q475" s="379">
        <v>419.6</v>
      </c>
      <c r="R475" s="379">
        <v>517</v>
      </c>
      <c r="S475" s="379"/>
      <c r="T475" s="379">
        <v>2994</v>
      </c>
      <c r="U475" s="379"/>
      <c r="V475" s="380">
        <v>11542.67</v>
      </c>
      <c r="W475" s="381">
        <v>1</v>
      </c>
      <c r="X475" s="379"/>
      <c r="Y475" s="379"/>
      <c r="Z475" s="379">
        <v>5302002</v>
      </c>
      <c r="AA475" s="379" t="s">
        <v>2467</v>
      </c>
      <c r="AB475" s="380">
        <f t="shared" si="6"/>
        <v>8.3333333333333329E-2</v>
      </c>
    </row>
    <row r="476" spans="1:28" outlineLevel="2" x14ac:dyDescent="0.3">
      <c r="A476" s="379">
        <v>654</v>
      </c>
      <c r="B476" s="379">
        <v>813280</v>
      </c>
      <c r="C476" s="379" t="s">
        <v>1441</v>
      </c>
      <c r="D476" s="379">
        <v>6777597</v>
      </c>
      <c r="E476" s="379" t="s">
        <v>2384</v>
      </c>
      <c r="F476" s="379" t="s">
        <v>2385</v>
      </c>
      <c r="G476" s="383">
        <v>42278</v>
      </c>
      <c r="H476" s="379">
        <v>2714</v>
      </c>
      <c r="I476" s="379">
        <v>96.33</v>
      </c>
      <c r="J476" s="379">
        <v>366.38</v>
      </c>
      <c r="K476" s="379">
        <v>203.53</v>
      </c>
      <c r="L476" s="379"/>
      <c r="M476" s="379"/>
      <c r="N476" s="379"/>
      <c r="O476" s="379"/>
      <c r="P476" s="379">
        <v>2714</v>
      </c>
      <c r="Q476" s="379"/>
      <c r="R476" s="379"/>
      <c r="S476" s="379"/>
      <c r="T476" s="379"/>
      <c r="U476" s="379"/>
      <c r="V476" s="380">
        <v>3380.24</v>
      </c>
      <c r="W476" s="381"/>
      <c r="X476" s="379">
        <v>1</v>
      </c>
      <c r="Y476" s="379" t="s">
        <v>2353</v>
      </c>
      <c r="Z476" s="379">
        <v>5923001</v>
      </c>
      <c r="AA476" s="379" t="s">
        <v>2354</v>
      </c>
      <c r="AB476" s="380">
        <f t="shared" si="6"/>
        <v>0</v>
      </c>
    </row>
    <row r="477" spans="1:28" outlineLevel="2" x14ac:dyDescent="0.3">
      <c r="A477" s="379">
        <v>654</v>
      </c>
      <c r="B477" s="379">
        <v>813280</v>
      </c>
      <c r="C477" s="379" t="s">
        <v>1441</v>
      </c>
      <c r="D477" s="379">
        <v>20471328</v>
      </c>
      <c r="E477" s="379" t="s">
        <v>2873</v>
      </c>
      <c r="F477" s="379" t="s">
        <v>2512</v>
      </c>
      <c r="G477" s="383">
        <v>43435</v>
      </c>
      <c r="H477" s="379">
        <v>1362</v>
      </c>
      <c r="I477" s="379">
        <v>48.35</v>
      </c>
      <c r="J477" s="379">
        <v>175.24</v>
      </c>
      <c r="K477" s="379">
        <v>102.15</v>
      </c>
      <c r="L477" s="379"/>
      <c r="M477" s="379"/>
      <c r="N477" s="379"/>
      <c r="O477" s="379"/>
      <c r="P477" s="379">
        <v>1298</v>
      </c>
      <c r="Q477" s="379">
        <v>64</v>
      </c>
      <c r="R477" s="379"/>
      <c r="S477" s="379"/>
      <c r="T477" s="379"/>
      <c r="U477" s="379"/>
      <c r="V477" s="380">
        <v>1687.74</v>
      </c>
      <c r="W477" s="381"/>
      <c r="X477" s="379"/>
      <c r="Y477" s="379"/>
      <c r="Z477" s="379">
        <v>1027</v>
      </c>
      <c r="AA477" s="379" t="s">
        <v>2383</v>
      </c>
      <c r="AB477" s="380">
        <f t="shared" si="6"/>
        <v>0</v>
      </c>
    </row>
    <row r="478" spans="1:28" outlineLevel="2" x14ac:dyDescent="0.3">
      <c r="A478" s="379">
        <v>654</v>
      </c>
      <c r="B478" s="379">
        <v>813280</v>
      </c>
      <c r="C478" s="379" t="s">
        <v>1441</v>
      </c>
      <c r="D478" s="379">
        <v>30930701</v>
      </c>
      <c r="E478" s="379" t="s">
        <v>2874</v>
      </c>
      <c r="F478" s="379" t="s">
        <v>2875</v>
      </c>
      <c r="G478" s="383">
        <v>42795</v>
      </c>
      <c r="H478" s="379">
        <v>47848.25</v>
      </c>
      <c r="I478" s="379">
        <v>1716.24</v>
      </c>
      <c r="J478" s="379">
        <v>9986.64</v>
      </c>
      <c r="K478" s="379">
        <v>3625.9</v>
      </c>
      <c r="L478" s="379"/>
      <c r="M478" s="379"/>
      <c r="N478" s="379"/>
      <c r="O478" s="379">
        <v>39414.839999999997</v>
      </c>
      <c r="P478" s="379">
        <v>4995.68</v>
      </c>
      <c r="Q478" s="379">
        <v>2460.69</v>
      </c>
      <c r="R478" s="379"/>
      <c r="S478" s="379"/>
      <c r="T478" s="379">
        <v>977.04</v>
      </c>
      <c r="U478" s="379"/>
      <c r="V478" s="380">
        <v>63177.03</v>
      </c>
      <c r="W478" s="381">
        <v>6.4390000000000001</v>
      </c>
      <c r="X478" s="379"/>
      <c r="Y478" s="379"/>
      <c r="Z478" s="379">
        <v>1422001</v>
      </c>
      <c r="AA478" s="379" t="s">
        <v>2648</v>
      </c>
      <c r="AB478" s="380">
        <f t="shared" si="6"/>
        <v>0.5365833333333333</v>
      </c>
    </row>
    <row r="479" spans="1:28" outlineLevel="1" x14ac:dyDescent="0.3">
      <c r="A479" s="379"/>
      <c r="B479" s="384" t="s">
        <v>2876</v>
      </c>
      <c r="C479" s="379"/>
      <c r="D479" s="379"/>
      <c r="E479" s="379"/>
      <c r="F479" s="379"/>
      <c r="G479" s="383"/>
      <c r="H479" s="379"/>
      <c r="I479" s="379"/>
      <c r="J479" s="379"/>
      <c r="K479" s="379"/>
      <c r="L479" s="379"/>
      <c r="M479" s="379"/>
      <c r="N479" s="379"/>
      <c r="O479" s="379"/>
      <c r="P479" s="379"/>
      <c r="Q479" s="379"/>
      <c r="R479" s="379"/>
      <c r="S479" s="379"/>
      <c r="T479" s="379"/>
      <c r="U479" s="379"/>
      <c r="V479" s="380">
        <f>SUBTOTAL(9,V462:V478)</f>
        <v>1180782.3999999999</v>
      </c>
      <c r="W479" s="381">
        <f>SUBTOTAL(9,W462:W478)</f>
        <v>112.98499999999999</v>
      </c>
      <c r="X479" s="379"/>
      <c r="Y479" s="379"/>
      <c r="Z479" s="379"/>
      <c r="AA479" s="379"/>
      <c r="AB479" s="380">
        <f>SUBTOTAL(9,AB462:AB478)</f>
        <v>9.4154166666666672</v>
      </c>
    </row>
    <row r="480" spans="1:28" outlineLevel="2" x14ac:dyDescent="0.3">
      <c r="A480" s="379">
        <v>431</v>
      </c>
      <c r="B480" s="379">
        <v>813300</v>
      </c>
      <c r="C480" s="379" t="s">
        <v>2877</v>
      </c>
      <c r="D480" s="379">
        <v>2246222</v>
      </c>
      <c r="E480" s="379" t="s">
        <v>2303</v>
      </c>
      <c r="F480" s="379" t="s">
        <v>2878</v>
      </c>
      <c r="G480" s="383">
        <v>41640</v>
      </c>
      <c r="H480" s="379">
        <v>4065.1</v>
      </c>
      <c r="I480" s="379">
        <v>144.28</v>
      </c>
      <c r="J480" s="379">
        <v>593.03</v>
      </c>
      <c r="K480" s="379">
        <v>304.86</v>
      </c>
      <c r="L480" s="379"/>
      <c r="M480" s="379">
        <v>2.36</v>
      </c>
      <c r="N480" s="379"/>
      <c r="O480" s="379"/>
      <c r="P480" s="379">
        <v>4065.1</v>
      </c>
      <c r="Q480" s="379"/>
      <c r="R480" s="379"/>
      <c r="S480" s="379"/>
      <c r="T480" s="379"/>
      <c r="U480" s="379"/>
      <c r="V480" s="380">
        <v>5109.63</v>
      </c>
      <c r="W480" s="381"/>
      <c r="X480" s="379"/>
      <c r="Y480" s="379"/>
      <c r="Z480" s="379">
        <v>5421002</v>
      </c>
      <c r="AA480" s="379" t="s">
        <v>2879</v>
      </c>
      <c r="AB480" s="380">
        <f t="shared" si="6"/>
        <v>0</v>
      </c>
    </row>
    <row r="481" spans="1:28" outlineLevel="2" x14ac:dyDescent="0.3">
      <c r="A481" s="379">
        <v>431</v>
      </c>
      <c r="B481" s="379">
        <v>813300</v>
      </c>
      <c r="C481" s="379" t="s">
        <v>2877</v>
      </c>
      <c r="D481" s="379">
        <v>5399646</v>
      </c>
      <c r="E481" s="379" t="s">
        <v>2880</v>
      </c>
      <c r="F481" s="379" t="s">
        <v>2366</v>
      </c>
      <c r="G481" s="383">
        <v>43040</v>
      </c>
      <c r="H481" s="379">
        <v>5510.6</v>
      </c>
      <c r="I481" s="379">
        <v>179.07</v>
      </c>
      <c r="J481" s="379">
        <v>862.29</v>
      </c>
      <c r="K481" s="379">
        <v>413.27</v>
      </c>
      <c r="L481" s="379"/>
      <c r="M481" s="379"/>
      <c r="N481" s="379"/>
      <c r="O481" s="379"/>
      <c r="P481" s="379">
        <v>5510.6</v>
      </c>
      <c r="Q481" s="379"/>
      <c r="R481" s="379"/>
      <c r="S481" s="379"/>
      <c r="T481" s="379"/>
      <c r="U481" s="379"/>
      <c r="V481" s="380">
        <v>6965.23</v>
      </c>
      <c r="W481" s="381"/>
      <c r="X481" s="379"/>
      <c r="Y481" s="379"/>
      <c r="Z481" s="379">
        <v>1031001</v>
      </c>
      <c r="AA481" s="379" t="s">
        <v>2328</v>
      </c>
      <c r="AB481" s="380">
        <f t="shared" si="6"/>
        <v>0</v>
      </c>
    </row>
    <row r="482" spans="1:28" outlineLevel="2" x14ac:dyDescent="0.3">
      <c r="A482" s="379">
        <v>431</v>
      </c>
      <c r="B482" s="379">
        <v>813300</v>
      </c>
      <c r="C482" s="379" t="s">
        <v>2877</v>
      </c>
      <c r="D482" s="379">
        <v>5495774</v>
      </c>
      <c r="E482" s="379" t="s">
        <v>2881</v>
      </c>
      <c r="F482" s="379" t="s">
        <v>2882</v>
      </c>
      <c r="G482" s="383">
        <v>41821</v>
      </c>
      <c r="H482" s="379">
        <v>324.5</v>
      </c>
      <c r="I482" s="379">
        <v>11.51</v>
      </c>
      <c r="J482" s="379"/>
      <c r="K482" s="379">
        <v>24.33</v>
      </c>
      <c r="L482" s="379"/>
      <c r="M482" s="379"/>
      <c r="N482" s="379"/>
      <c r="O482" s="379"/>
      <c r="P482" s="379">
        <v>324.5</v>
      </c>
      <c r="Q482" s="379"/>
      <c r="R482" s="379"/>
      <c r="S482" s="379"/>
      <c r="T482" s="379"/>
      <c r="U482" s="379"/>
      <c r="V482" s="380">
        <v>360.34</v>
      </c>
      <c r="W482" s="381"/>
      <c r="X482" s="379"/>
      <c r="Y482" s="379"/>
      <c r="Z482" s="379">
        <v>1041001</v>
      </c>
      <c r="AA482" s="379" t="s">
        <v>2677</v>
      </c>
      <c r="AB482" s="380">
        <f t="shared" si="6"/>
        <v>0</v>
      </c>
    </row>
    <row r="483" spans="1:28" outlineLevel="2" x14ac:dyDescent="0.3">
      <c r="A483" s="379">
        <v>431</v>
      </c>
      <c r="B483" s="379">
        <v>813300</v>
      </c>
      <c r="C483" s="379" t="s">
        <v>2877</v>
      </c>
      <c r="D483" s="379">
        <v>5495774</v>
      </c>
      <c r="E483" s="379" t="s">
        <v>2881</v>
      </c>
      <c r="F483" s="379" t="s">
        <v>2882</v>
      </c>
      <c r="G483" s="383">
        <v>41821</v>
      </c>
      <c r="H483" s="379">
        <v>1623.88</v>
      </c>
      <c r="I483" s="379">
        <v>57.62</v>
      </c>
      <c r="J483" s="379">
        <v>136.57</v>
      </c>
      <c r="K483" s="379">
        <v>121.77</v>
      </c>
      <c r="L483" s="379"/>
      <c r="M483" s="379"/>
      <c r="N483" s="379"/>
      <c r="O483" s="379"/>
      <c r="P483" s="379">
        <v>973.5</v>
      </c>
      <c r="Q483" s="379"/>
      <c r="R483" s="379"/>
      <c r="S483" s="379"/>
      <c r="T483" s="379">
        <v>650.38</v>
      </c>
      <c r="U483" s="379"/>
      <c r="V483" s="380">
        <v>1939.84</v>
      </c>
      <c r="W483" s="381"/>
      <c r="X483" s="379"/>
      <c r="Y483" s="379"/>
      <c r="Z483" s="379">
        <v>5421002</v>
      </c>
      <c r="AA483" s="379" t="s">
        <v>2879</v>
      </c>
      <c r="AB483" s="380">
        <f t="shared" si="6"/>
        <v>0</v>
      </c>
    </row>
    <row r="484" spans="1:28" outlineLevel="2" x14ac:dyDescent="0.3">
      <c r="A484" s="379">
        <v>431</v>
      </c>
      <c r="B484" s="379">
        <v>813300</v>
      </c>
      <c r="C484" s="379" t="s">
        <v>2877</v>
      </c>
      <c r="D484" s="379">
        <v>5547590</v>
      </c>
      <c r="E484" s="379" t="s">
        <v>2645</v>
      </c>
      <c r="F484" s="379" t="s">
        <v>2644</v>
      </c>
      <c r="G484" s="383">
        <v>43101</v>
      </c>
      <c r="H484" s="379">
        <v>973.5</v>
      </c>
      <c r="I484" s="379">
        <v>34.549999999999997</v>
      </c>
      <c r="J484" s="379"/>
      <c r="K484" s="379">
        <v>73</v>
      </c>
      <c r="L484" s="379"/>
      <c r="M484" s="379"/>
      <c r="N484" s="379"/>
      <c r="O484" s="379"/>
      <c r="P484" s="379">
        <v>973.5</v>
      </c>
      <c r="Q484" s="379"/>
      <c r="R484" s="379"/>
      <c r="S484" s="379"/>
      <c r="T484" s="379"/>
      <c r="U484" s="379"/>
      <c r="V484" s="380">
        <v>1081.05</v>
      </c>
      <c r="W484" s="381"/>
      <c r="X484" s="379"/>
      <c r="Y484" s="379"/>
      <c r="Z484" s="379">
        <v>5421002</v>
      </c>
      <c r="AA484" s="379" t="s">
        <v>2879</v>
      </c>
      <c r="AB484" s="380">
        <f t="shared" si="6"/>
        <v>0</v>
      </c>
    </row>
    <row r="485" spans="1:28" outlineLevel="2" x14ac:dyDescent="0.3">
      <c r="A485" s="379">
        <v>431</v>
      </c>
      <c r="B485" s="379">
        <v>813300</v>
      </c>
      <c r="C485" s="379" t="s">
        <v>2877</v>
      </c>
      <c r="D485" s="379">
        <v>5873721</v>
      </c>
      <c r="E485" s="379" t="s">
        <v>2806</v>
      </c>
      <c r="F485" s="379" t="s">
        <v>2644</v>
      </c>
      <c r="G485" s="383">
        <v>40909</v>
      </c>
      <c r="H485" s="379">
        <v>15236.26</v>
      </c>
      <c r="I485" s="379">
        <v>543.63</v>
      </c>
      <c r="J485" s="379">
        <v>3200.53</v>
      </c>
      <c r="K485" s="379">
        <v>1143.3599999999999</v>
      </c>
      <c r="L485" s="379"/>
      <c r="M485" s="379">
        <v>57.14</v>
      </c>
      <c r="N485" s="379"/>
      <c r="O485" s="379">
        <v>14150.66</v>
      </c>
      <c r="P485" s="379"/>
      <c r="Q485" s="379"/>
      <c r="R485" s="379"/>
      <c r="S485" s="379"/>
      <c r="T485" s="379">
        <v>1085.5999999999999</v>
      </c>
      <c r="U485" s="379"/>
      <c r="V485" s="380">
        <v>20180.919999999998</v>
      </c>
      <c r="W485" s="381">
        <v>2.4</v>
      </c>
      <c r="X485" s="379"/>
      <c r="Y485" s="379"/>
      <c r="Z485" s="379">
        <v>5421002</v>
      </c>
      <c r="AA485" s="379" t="s">
        <v>2879</v>
      </c>
      <c r="AB485" s="380">
        <f t="shared" si="6"/>
        <v>0.19999999999999998</v>
      </c>
    </row>
    <row r="486" spans="1:28" outlineLevel="2" x14ac:dyDescent="0.3">
      <c r="A486" s="379">
        <v>654</v>
      </c>
      <c r="B486" s="379">
        <v>813300</v>
      </c>
      <c r="C486" s="379" t="s">
        <v>2877</v>
      </c>
      <c r="D486" s="379">
        <v>2226254</v>
      </c>
      <c r="E486" s="379" t="s">
        <v>2540</v>
      </c>
      <c r="F486" s="379" t="s">
        <v>2883</v>
      </c>
      <c r="G486" s="383">
        <v>36404</v>
      </c>
      <c r="H486" s="379">
        <v>96934.34</v>
      </c>
      <c r="I486" s="379">
        <v>4582.75</v>
      </c>
      <c r="J486" s="379">
        <v>7716.33</v>
      </c>
      <c r="K486" s="379">
        <v>7307.27</v>
      </c>
      <c r="L486" s="379"/>
      <c r="M486" s="379">
        <v>350.3</v>
      </c>
      <c r="N486" s="379"/>
      <c r="O486" s="379">
        <v>81061.56</v>
      </c>
      <c r="P486" s="379">
        <v>4757.3</v>
      </c>
      <c r="Q486" s="379">
        <v>4514.88</v>
      </c>
      <c r="R486" s="379"/>
      <c r="S486" s="379"/>
      <c r="T486" s="379">
        <v>6600.6</v>
      </c>
      <c r="U486" s="379"/>
      <c r="V486" s="380">
        <v>116890.99</v>
      </c>
      <c r="W486" s="381">
        <v>10.8</v>
      </c>
      <c r="X486" s="379">
        <v>8</v>
      </c>
      <c r="Y486" s="379" t="s">
        <v>2383</v>
      </c>
      <c r="Z486" s="379">
        <v>1422001</v>
      </c>
      <c r="AA486" s="379" t="s">
        <v>2648</v>
      </c>
      <c r="AB486" s="380">
        <f t="shared" si="6"/>
        <v>0.9</v>
      </c>
    </row>
    <row r="487" spans="1:28" outlineLevel="2" x14ac:dyDescent="0.3">
      <c r="A487" s="379">
        <v>654</v>
      </c>
      <c r="B487" s="379">
        <v>813300</v>
      </c>
      <c r="C487" s="379" t="s">
        <v>2877</v>
      </c>
      <c r="D487" s="379">
        <v>2244025</v>
      </c>
      <c r="E487" s="379" t="s">
        <v>2355</v>
      </c>
      <c r="F487" s="379" t="s">
        <v>2366</v>
      </c>
      <c r="G487" s="383">
        <v>36617</v>
      </c>
      <c r="H487" s="379">
        <v>97078.77</v>
      </c>
      <c r="I487" s="379">
        <v>4411.1099999999997</v>
      </c>
      <c r="J487" s="379">
        <v>7807.96</v>
      </c>
      <c r="K487" s="379">
        <v>7318.1</v>
      </c>
      <c r="L487" s="379"/>
      <c r="M487" s="379">
        <v>347.5</v>
      </c>
      <c r="N487" s="379"/>
      <c r="O487" s="379">
        <v>79674.13</v>
      </c>
      <c r="P487" s="379">
        <v>5421.66</v>
      </c>
      <c r="Q487" s="379">
        <v>4514.88</v>
      </c>
      <c r="R487" s="379"/>
      <c r="S487" s="379"/>
      <c r="T487" s="379">
        <v>6989.4</v>
      </c>
      <c r="U487" s="379">
        <v>478.7</v>
      </c>
      <c r="V487" s="380">
        <v>116963.44</v>
      </c>
      <c r="W487" s="381">
        <v>10.8</v>
      </c>
      <c r="X487" s="379">
        <v>8</v>
      </c>
      <c r="Y487" s="379" t="s">
        <v>2383</v>
      </c>
      <c r="Z487" s="379">
        <v>1027</v>
      </c>
      <c r="AA487" s="379" t="s">
        <v>2383</v>
      </c>
      <c r="AB487" s="380">
        <f t="shared" si="6"/>
        <v>0.9</v>
      </c>
    </row>
    <row r="488" spans="1:28" outlineLevel="2" x14ac:dyDescent="0.3">
      <c r="A488" s="379">
        <v>654</v>
      </c>
      <c r="B488" s="379">
        <v>813300</v>
      </c>
      <c r="C488" s="379" t="s">
        <v>2877</v>
      </c>
      <c r="D488" s="379">
        <v>2304088</v>
      </c>
      <c r="E488" s="379" t="s">
        <v>2360</v>
      </c>
      <c r="F488" s="379" t="s">
        <v>2660</v>
      </c>
      <c r="G488" s="383">
        <v>42614</v>
      </c>
      <c r="H488" s="379">
        <v>65157.45</v>
      </c>
      <c r="I488" s="379">
        <v>2347.17</v>
      </c>
      <c r="J488" s="379">
        <v>13618.5</v>
      </c>
      <c r="K488" s="379">
        <v>4924.05</v>
      </c>
      <c r="L488" s="379"/>
      <c r="M488" s="379">
        <v>235.35</v>
      </c>
      <c r="N488" s="379"/>
      <c r="O488" s="379">
        <v>58259.13</v>
      </c>
      <c r="P488" s="379">
        <v>576</v>
      </c>
      <c r="Q488" s="379">
        <v>2669.28</v>
      </c>
      <c r="R488" s="379"/>
      <c r="S488" s="379"/>
      <c r="T488" s="379">
        <v>3653.04</v>
      </c>
      <c r="U488" s="379"/>
      <c r="V488" s="380">
        <v>86282.52</v>
      </c>
      <c r="W488" s="381">
        <v>9.1199999999999992</v>
      </c>
      <c r="X488" s="379"/>
      <c r="Y488" s="379"/>
      <c r="Z488" s="379">
        <v>1422001</v>
      </c>
      <c r="AA488" s="379" t="s">
        <v>2648</v>
      </c>
      <c r="AB488" s="380">
        <f t="shared" si="6"/>
        <v>0.7599999999999999</v>
      </c>
    </row>
    <row r="489" spans="1:28" outlineLevel="2" x14ac:dyDescent="0.3">
      <c r="A489" s="379">
        <v>654</v>
      </c>
      <c r="B489" s="379">
        <v>813300</v>
      </c>
      <c r="C489" s="379" t="s">
        <v>2877</v>
      </c>
      <c r="D489" s="379">
        <v>2366110</v>
      </c>
      <c r="E489" s="379" t="s">
        <v>2581</v>
      </c>
      <c r="F489" s="379" t="s">
        <v>2696</v>
      </c>
      <c r="G489" s="383">
        <v>33848</v>
      </c>
      <c r="H489" s="379">
        <v>110335.11</v>
      </c>
      <c r="I489" s="379">
        <v>5422.93</v>
      </c>
      <c r="J489" s="379">
        <v>10036.469999999999</v>
      </c>
      <c r="K489" s="379">
        <v>8312.4</v>
      </c>
      <c r="L489" s="379"/>
      <c r="M489" s="379">
        <v>399</v>
      </c>
      <c r="N489" s="379"/>
      <c r="O489" s="379">
        <v>94692.92</v>
      </c>
      <c r="P489" s="379">
        <v>273.11</v>
      </c>
      <c r="Q489" s="379">
        <v>2809.2</v>
      </c>
      <c r="R489" s="379"/>
      <c r="S489" s="379"/>
      <c r="T489" s="379">
        <v>12559.88</v>
      </c>
      <c r="U489" s="379"/>
      <c r="V489" s="380">
        <v>134505.91</v>
      </c>
      <c r="W489" s="381">
        <v>12</v>
      </c>
      <c r="X489" s="379"/>
      <c r="Y489" s="379"/>
      <c r="Z489" s="379">
        <v>5821001</v>
      </c>
      <c r="AA489" s="379" t="s">
        <v>2427</v>
      </c>
      <c r="AB489" s="380">
        <f t="shared" si="6"/>
        <v>1</v>
      </c>
    </row>
    <row r="490" spans="1:28" outlineLevel="2" x14ac:dyDescent="0.3">
      <c r="A490" s="379">
        <v>654</v>
      </c>
      <c r="B490" s="379">
        <v>813300</v>
      </c>
      <c r="C490" s="379" t="s">
        <v>2877</v>
      </c>
      <c r="D490" s="379">
        <v>2418168</v>
      </c>
      <c r="E490" s="379" t="s">
        <v>2303</v>
      </c>
      <c r="F490" s="379" t="s">
        <v>2694</v>
      </c>
      <c r="G490" s="383">
        <v>39873</v>
      </c>
      <c r="H490" s="379">
        <v>85922.22</v>
      </c>
      <c r="I490" s="379">
        <v>3565.25</v>
      </c>
      <c r="J490" s="379">
        <v>17771.02</v>
      </c>
      <c r="K490" s="379">
        <v>6481.4</v>
      </c>
      <c r="L490" s="379"/>
      <c r="M490" s="379">
        <v>308.14999999999998</v>
      </c>
      <c r="N490" s="379"/>
      <c r="O490" s="379">
        <v>72708.039999999994</v>
      </c>
      <c r="P490" s="379">
        <v>4325.75</v>
      </c>
      <c r="Q490" s="379">
        <v>2750.88</v>
      </c>
      <c r="R490" s="379"/>
      <c r="S490" s="379"/>
      <c r="T490" s="379">
        <v>5838.75</v>
      </c>
      <c r="U490" s="379">
        <v>298.8</v>
      </c>
      <c r="V490" s="380">
        <v>114048.04</v>
      </c>
      <c r="W490" s="381">
        <v>10.8</v>
      </c>
      <c r="X490" s="379"/>
      <c r="Y490" s="379"/>
      <c r="Z490" s="379">
        <v>1027</v>
      </c>
      <c r="AA490" s="379" t="s">
        <v>2383</v>
      </c>
      <c r="AB490" s="380">
        <f t="shared" si="6"/>
        <v>0.9</v>
      </c>
    </row>
    <row r="491" spans="1:28" outlineLevel="2" x14ac:dyDescent="0.3">
      <c r="A491" s="379">
        <v>654</v>
      </c>
      <c r="B491" s="379">
        <v>813300</v>
      </c>
      <c r="C491" s="379" t="s">
        <v>2877</v>
      </c>
      <c r="D491" s="379">
        <v>2458130</v>
      </c>
      <c r="E491" s="379" t="s">
        <v>2524</v>
      </c>
      <c r="F491" s="379" t="s">
        <v>2673</v>
      </c>
      <c r="G491" s="383">
        <v>43040</v>
      </c>
      <c r="H491" s="379">
        <v>18493.16</v>
      </c>
      <c r="I491" s="379">
        <v>656.52</v>
      </c>
      <c r="J491" s="379">
        <v>2399.3000000000002</v>
      </c>
      <c r="K491" s="379">
        <v>1387.05</v>
      </c>
      <c r="L491" s="379"/>
      <c r="M491" s="379">
        <v>71.099999999999994</v>
      </c>
      <c r="N491" s="379"/>
      <c r="O491" s="379">
        <v>17772.740000000002</v>
      </c>
      <c r="P491" s="379"/>
      <c r="Q491" s="379">
        <v>720.42</v>
      </c>
      <c r="R491" s="379"/>
      <c r="S491" s="379"/>
      <c r="T491" s="379"/>
      <c r="U491" s="379"/>
      <c r="V491" s="380">
        <v>23007.13</v>
      </c>
      <c r="W491" s="381">
        <v>2.97</v>
      </c>
      <c r="X491" s="379"/>
      <c r="Y491" s="379"/>
      <c r="Z491" s="379">
        <v>1027</v>
      </c>
      <c r="AA491" s="379" t="s">
        <v>2383</v>
      </c>
      <c r="AB491" s="380">
        <f t="shared" si="6"/>
        <v>0.24750000000000003</v>
      </c>
    </row>
    <row r="492" spans="1:28" outlineLevel="2" x14ac:dyDescent="0.3">
      <c r="A492" s="379">
        <v>654</v>
      </c>
      <c r="B492" s="379">
        <v>813300</v>
      </c>
      <c r="C492" s="379" t="s">
        <v>2877</v>
      </c>
      <c r="D492" s="379">
        <v>2564631</v>
      </c>
      <c r="E492" s="379" t="s">
        <v>2726</v>
      </c>
      <c r="F492" s="379" t="s">
        <v>2729</v>
      </c>
      <c r="G492" s="383">
        <v>42401</v>
      </c>
      <c r="H492" s="379">
        <v>18115.900000000001</v>
      </c>
      <c r="I492" s="379">
        <v>649.26</v>
      </c>
      <c r="J492" s="379">
        <v>3656.84</v>
      </c>
      <c r="K492" s="379">
        <v>1358.65</v>
      </c>
      <c r="L492" s="379"/>
      <c r="M492" s="379">
        <v>69.650000000000006</v>
      </c>
      <c r="N492" s="379"/>
      <c r="O492" s="379">
        <v>17413.599999999999</v>
      </c>
      <c r="P492" s="379"/>
      <c r="Q492" s="379">
        <v>702.3</v>
      </c>
      <c r="R492" s="379"/>
      <c r="S492" s="379"/>
      <c r="T492" s="379"/>
      <c r="U492" s="379"/>
      <c r="V492" s="380">
        <v>23850.3</v>
      </c>
      <c r="W492" s="381">
        <v>3</v>
      </c>
      <c r="X492" s="379"/>
      <c r="Y492" s="379"/>
      <c r="Z492" s="379">
        <v>1422001</v>
      </c>
      <c r="AA492" s="379" t="s">
        <v>2648</v>
      </c>
      <c r="AB492" s="380">
        <f t="shared" si="6"/>
        <v>0.25</v>
      </c>
    </row>
    <row r="493" spans="1:28" outlineLevel="2" x14ac:dyDescent="0.3">
      <c r="A493" s="379">
        <v>654</v>
      </c>
      <c r="B493" s="379">
        <v>813300</v>
      </c>
      <c r="C493" s="379" t="s">
        <v>2877</v>
      </c>
      <c r="D493" s="379">
        <v>2660779</v>
      </c>
      <c r="E493" s="379" t="s">
        <v>2884</v>
      </c>
      <c r="F493" s="379" t="s">
        <v>2885</v>
      </c>
      <c r="G493" s="383">
        <v>43405</v>
      </c>
      <c r="H493" s="379">
        <v>30949.99</v>
      </c>
      <c r="I493" s="379">
        <v>1163.73</v>
      </c>
      <c r="J493" s="379">
        <v>4099.8100000000004</v>
      </c>
      <c r="K493" s="379">
        <v>2358.4499999999998</v>
      </c>
      <c r="L493" s="379"/>
      <c r="M493" s="379">
        <v>106.7</v>
      </c>
      <c r="N493" s="379"/>
      <c r="O493" s="379">
        <v>25345.09</v>
      </c>
      <c r="P493" s="379">
        <v>3090.5</v>
      </c>
      <c r="Q493" s="379">
        <v>1128.4000000000001</v>
      </c>
      <c r="R493" s="379"/>
      <c r="S493" s="379"/>
      <c r="T493" s="379"/>
      <c r="U493" s="379">
        <v>1386</v>
      </c>
      <c r="V493" s="380">
        <v>38678.68</v>
      </c>
      <c r="W493" s="381">
        <v>4.4000000000000004</v>
      </c>
      <c r="X493" s="379"/>
      <c r="Y493" s="379"/>
      <c r="Z493" s="379">
        <v>1027</v>
      </c>
      <c r="AA493" s="379" t="s">
        <v>2383</v>
      </c>
      <c r="AB493" s="380">
        <f t="shared" ref="AB493:AB559" si="7">W493/12</f>
        <v>0.3666666666666667</v>
      </c>
    </row>
    <row r="494" spans="1:28" outlineLevel="2" x14ac:dyDescent="0.3">
      <c r="A494" s="379">
        <v>654</v>
      </c>
      <c r="B494" s="379">
        <v>813300</v>
      </c>
      <c r="C494" s="379" t="s">
        <v>2877</v>
      </c>
      <c r="D494" s="379">
        <v>2733417</v>
      </c>
      <c r="E494" s="379" t="s">
        <v>2340</v>
      </c>
      <c r="F494" s="379" t="s">
        <v>2520</v>
      </c>
      <c r="G494" s="383">
        <v>41944</v>
      </c>
      <c r="H494" s="379">
        <v>25246.89</v>
      </c>
      <c r="I494" s="379">
        <v>944.7</v>
      </c>
      <c r="J494" s="379">
        <v>5183.16</v>
      </c>
      <c r="K494" s="379">
        <v>1893.5</v>
      </c>
      <c r="L494" s="379"/>
      <c r="M494" s="379">
        <v>98</v>
      </c>
      <c r="N494" s="379"/>
      <c r="O494" s="379">
        <v>24504.89</v>
      </c>
      <c r="P494" s="379"/>
      <c r="Q494" s="379">
        <v>742</v>
      </c>
      <c r="R494" s="379"/>
      <c r="S494" s="379"/>
      <c r="T494" s="379"/>
      <c r="U494" s="379"/>
      <c r="V494" s="380">
        <v>33366.25</v>
      </c>
      <c r="W494" s="381">
        <v>4</v>
      </c>
      <c r="X494" s="379">
        <v>111</v>
      </c>
      <c r="Y494" s="379" t="s">
        <v>2575</v>
      </c>
      <c r="Z494" s="379">
        <v>1422001</v>
      </c>
      <c r="AA494" s="379" t="s">
        <v>2648</v>
      </c>
      <c r="AB494" s="380">
        <f t="shared" si="7"/>
        <v>0.33333333333333331</v>
      </c>
    </row>
    <row r="495" spans="1:28" outlineLevel="2" x14ac:dyDescent="0.3">
      <c r="A495" s="379">
        <v>654</v>
      </c>
      <c r="B495" s="379">
        <v>813300</v>
      </c>
      <c r="C495" s="379" t="s">
        <v>2877</v>
      </c>
      <c r="D495" s="379">
        <v>2887512</v>
      </c>
      <c r="E495" s="379" t="s">
        <v>2770</v>
      </c>
      <c r="F495" s="379" t="s">
        <v>2452</v>
      </c>
      <c r="G495" s="383">
        <v>35490</v>
      </c>
      <c r="H495" s="379">
        <v>112414.44</v>
      </c>
      <c r="I495" s="379">
        <v>5559.98</v>
      </c>
      <c r="J495" s="379">
        <v>9978.49</v>
      </c>
      <c r="K495" s="379">
        <v>8468.4</v>
      </c>
      <c r="L495" s="379"/>
      <c r="M495" s="379">
        <v>375.45</v>
      </c>
      <c r="N495" s="379"/>
      <c r="O495" s="379">
        <v>87858.5</v>
      </c>
      <c r="P495" s="379">
        <v>13674.24</v>
      </c>
      <c r="Q495" s="379">
        <v>2462.6</v>
      </c>
      <c r="R495" s="379">
        <v>576.5</v>
      </c>
      <c r="S495" s="379"/>
      <c r="T495" s="379">
        <v>7334</v>
      </c>
      <c r="U495" s="379">
        <v>508.6</v>
      </c>
      <c r="V495" s="380">
        <v>136796.76</v>
      </c>
      <c r="W495" s="381">
        <v>11</v>
      </c>
      <c r="X495" s="379">
        <v>111</v>
      </c>
      <c r="Y495" s="379" t="s">
        <v>2575</v>
      </c>
      <c r="Z495" s="379">
        <v>5911002</v>
      </c>
      <c r="AA495" s="379" t="s">
        <v>2886</v>
      </c>
      <c r="AB495" s="380">
        <f t="shared" si="7"/>
        <v>0.91666666666666663</v>
      </c>
    </row>
    <row r="496" spans="1:28" outlineLevel="2" x14ac:dyDescent="0.3">
      <c r="A496" s="379">
        <v>654</v>
      </c>
      <c r="B496" s="379">
        <v>813300</v>
      </c>
      <c r="C496" s="379" t="s">
        <v>2877</v>
      </c>
      <c r="D496" s="379">
        <v>2887548</v>
      </c>
      <c r="E496" s="379" t="s">
        <v>2546</v>
      </c>
      <c r="F496" s="379" t="s">
        <v>2887</v>
      </c>
      <c r="G496" s="383">
        <v>41671</v>
      </c>
      <c r="H496" s="379">
        <v>89783.84</v>
      </c>
      <c r="I496" s="379">
        <v>3981.9</v>
      </c>
      <c r="J496" s="379">
        <v>18529.18</v>
      </c>
      <c r="K496" s="379">
        <v>6771.11</v>
      </c>
      <c r="L496" s="379"/>
      <c r="M496" s="379">
        <v>322.20999999999998</v>
      </c>
      <c r="N496" s="379"/>
      <c r="O496" s="379">
        <v>75298.45</v>
      </c>
      <c r="P496" s="379">
        <v>5206.93</v>
      </c>
      <c r="Q496" s="379">
        <v>2750.88</v>
      </c>
      <c r="R496" s="379"/>
      <c r="S496" s="379"/>
      <c r="T496" s="379">
        <v>6048.88</v>
      </c>
      <c r="U496" s="379">
        <v>478.7</v>
      </c>
      <c r="V496" s="380">
        <v>119388.24</v>
      </c>
      <c r="W496" s="381">
        <v>10.8</v>
      </c>
      <c r="X496" s="379"/>
      <c r="Y496" s="379"/>
      <c r="Z496" s="379">
        <v>1027</v>
      </c>
      <c r="AA496" s="379" t="s">
        <v>2383</v>
      </c>
      <c r="AB496" s="380">
        <f t="shared" si="7"/>
        <v>0.9</v>
      </c>
    </row>
    <row r="497" spans="1:28" outlineLevel="2" x14ac:dyDescent="0.3">
      <c r="A497" s="379">
        <v>654</v>
      </c>
      <c r="B497" s="379">
        <v>813300</v>
      </c>
      <c r="C497" s="379" t="s">
        <v>2877</v>
      </c>
      <c r="D497" s="379">
        <v>2944925</v>
      </c>
      <c r="E497" s="379" t="s">
        <v>2888</v>
      </c>
      <c r="F497" s="379" t="s">
        <v>2889</v>
      </c>
      <c r="G497" s="383">
        <v>43739</v>
      </c>
      <c r="H497" s="379">
        <v>11685.32</v>
      </c>
      <c r="I497" s="379">
        <v>414.82</v>
      </c>
      <c r="J497" s="379">
        <v>1517.1</v>
      </c>
      <c r="K497" s="379">
        <v>876.4</v>
      </c>
      <c r="L497" s="379"/>
      <c r="M497" s="379">
        <v>45</v>
      </c>
      <c r="N497" s="379"/>
      <c r="O497" s="379">
        <v>11237.78</v>
      </c>
      <c r="P497" s="379"/>
      <c r="Q497" s="379">
        <v>447.54</v>
      </c>
      <c r="R497" s="379"/>
      <c r="S497" s="379"/>
      <c r="T497" s="379"/>
      <c r="U497" s="379"/>
      <c r="V497" s="380">
        <v>14538.64</v>
      </c>
      <c r="W497" s="381">
        <v>1.8</v>
      </c>
      <c r="X497" s="379"/>
      <c r="Y497" s="379"/>
      <c r="Z497" s="379">
        <v>1027</v>
      </c>
      <c r="AA497" s="379" t="s">
        <v>2383</v>
      </c>
      <c r="AB497" s="380">
        <f t="shared" si="7"/>
        <v>0.15</v>
      </c>
    </row>
    <row r="498" spans="1:28" outlineLevel="2" x14ac:dyDescent="0.3">
      <c r="A498" s="379">
        <v>654</v>
      </c>
      <c r="B498" s="379">
        <v>813300</v>
      </c>
      <c r="C498" s="379" t="s">
        <v>2877</v>
      </c>
      <c r="D498" s="379">
        <v>3594506</v>
      </c>
      <c r="E498" s="379" t="s">
        <v>2749</v>
      </c>
      <c r="F498" s="379" t="s">
        <v>2890</v>
      </c>
      <c r="G498" s="383">
        <v>41183</v>
      </c>
      <c r="H498" s="379">
        <v>85103.07</v>
      </c>
      <c r="I498" s="379">
        <v>3507.56</v>
      </c>
      <c r="J498" s="379">
        <v>18072.080000000002</v>
      </c>
      <c r="K498" s="379">
        <v>6419.85</v>
      </c>
      <c r="L498" s="379"/>
      <c r="M498" s="379">
        <v>311.55</v>
      </c>
      <c r="N498" s="379"/>
      <c r="O498" s="379">
        <v>74298.350000000006</v>
      </c>
      <c r="P498" s="379">
        <v>3582.52</v>
      </c>
      <c r="Q498" s="379">
        <v>1788</v>
      </c>
      <c r="R498" s="379"/>
      <c r="S498" s="379"/>
      <c r="T498" s="379">
        <v>5434.2</v>
      </c>
      <c r="U498" s="379"/>
      <c r="V498" s="380">
        <v>113414.11</v>
      </c>
      <c r="W498" s="381">
        <v>10.8</v>
      </c>
      <c r="X498" s="379">
        <v>8</v>
      </c>
      <c r="Y498" s="379" t="s">
        <v>2383</v>
      </c>
      <c r="Z498" s="379">
        <v>5821001</v>
      </c>
      <c r="AA498" s="379" t="s">
        <v>2427</v>
      </c>
      <c r="AB498" s="380">
        <f t="shared" si="7"/>
        <v>0.9</v>
      </c>
    </row>
    <row r="499" spans="1:28" outlineLevel="2" x14ac:dyDescent="0.3">
      <c r="A499" s="379">
        <v>654</v>
      </c>
      <c r="B499" s="379">
        <v>813300</v>
      </c>
      <c r="C499" s="379" t="s">
        <v>2877</v>
      </c>
      <c r="D499" s="379">
        <v>3655494</v>
      </c>
      <c r="E499" s="379" t="s">
        <v>2792</v>
      </c>
      <c r="F499" s="379" t="s">
        <v>2793</v>
      </c>
      <c r="G499" s="383">
        <v>42826</v>
      </c>
      <c r="H499" s="379">
        <v>413</v>
      </c>
      <c r="I499" s="379">
        <v>14.66</v>
      </c>
      <c r="J499" s="379">
        <v>55.75</v>
      </c>
      <c r="K499" s="379">
        <v>30.96</v>
      </c>
      <c r="L499" s="379"/>
      <c r="M499" s="379"/>
      <c r="N499" s="379"/>
      <c r="O499" s="379"/>
      <c r="P499" s="379">
        <v>413</v>
      </c>
      <c r="Q499" s="379"/>
      <c r="R499" s="379"/>
      <c r="S499" s="379"/>
      <c r="T499" s="379"/>
      <c r="U499" s="379"/>
      <c r="V499" s="380">
        <v>514.37</v>
      </c>
      <c r="W499" s="381"/>
      <c r="X499" s="379"/>
      <c r="Y499" s="379"/>
      <c r="Z499" s="379">
        <v>1027</v>
      </c>
      <c r="AA499" s="379" t="s">
        <v>2383</v>
      </c>
      <c r="AB499" s="380">
        <f t="shared" si="7"/>
        <v>0</v>
      </c>
    </row>
    <row r="500" spans="1:28" outlineLevel="2" x14ac:dyDescent="0.3">
      <c r="A500" s="379">
        <v>654</v>
      </c>
      <c r="B500" s="379">
        <v>813300</v>
      </c>
      <c r="C500" s="379" t="s">
        <v>2877</v>
      </c>
      <c r="D500" s="379">
        <v>3955533</v>
      </c>
      <c r="E500" s="379" t="s">
        <v>2303</v>
      </c>
      <c r="F500" s="379" t="s">
        <v>2891</v>
      </c>
      <c r="G500" s="383">
        <v>43709</v>
      </c>
      <c r="H500" s="379">
        <v>20939.12</v>
      </c>
      <c r="I500" s="379">
        <v>743.34</v>
      </c>
      <c r="J500" s="379">
        <v>2002.18</v>
      </c>
      <c r="K500" s="379">
        <v>1570.5</v>
      </c>
      <c r="L500" s="379"/>
      <c r="M500" s="379">
        <v>80.75</v>
      </c>
      <c r="N500" s="379"/>
      <c r="O500" s="379">
        <v>20190.04</v>
      </c>
      <c r="P500" s="379"/>
      <c r="Q500" s="379">
        <v>749.08</v>
      </c>
      <c r="R500" s="379"/>
      <c r="S500" s="379"/>
      <c r="T500" s="379"/>
      <c r="U500" s="379"/>
      <c r="V500" s="380">
        <v>25335.89</v>
      </c>
      <c r="W500" s="381">
        <v>3.6</v>
      </c>
      <c r="X500" s="379"/>
      <c r="Y500" s="379"/>
      <c r="Z500" s="379">
        <v>1401202</v>
      </c>
      <c r="AA500" s="379" t="s">
        <v>2380</v>
      </c>
      <c r="AB500" s="380">
        <f t="shared" si="7"/>
        <v>0.3</v>
      </c>
    </row>
    <row r="501" spans="1:28" outlineLevel="2" x14ac:dyDescent="0.3">
      <c r="A501" s="379">
        <v>654</v>
      </c>
      <c r="B501" s="379">
        <v>813300</v>
      </c>
      <c r="C501" s="379" t="s">
        <v>2877</v>
      </c>
      <c r="D501" s="379">
        <v>4005068</v>
      </c>
      <c r="E501" s="379" t="s">
        <v>2645</v>
      </c>
      <c r="F501" s="379" t="s">
        <v>2892</v>
      </c>
      <c r="G501" s="383">
        <v>39356</v>
      </c>
      <c r="H501" s="379">
        <v>89252.46</v>
      </c>
      <c r="I501" s="379">
        <v>3818.33</v>
      </c>
      <c r="J501" s="379">
        <v>18606.34</v>
      </c>
      <c r="K501" s="379">
        <v>6731.15</v>
      </c>
      <c r="L501" s="379"/>
      <c r="M501" s="379">
        <v>321.45</v>
      </c>
      <c r="N501" s="379"/>
      <c r="O501" s="379">
        <v>75361.91</v>
      </c>
      <c r="P501" s="379">
        <v>5017.87</v>
      </c>
      <c r="Q501" s="379">
        <v>2750.88</v>
      </c>
      <c r="R501" s="379"/>
      <c r="S501" s="379"/>
      <c r="T501" s="379">
        <v>5823</v>
      </c>
      <c r="U501" s="379">
        <v>298.8</v>
      </c>
      <c r="V501" s="380">
        <v>118729.73</v>
      </c>
      <c r="W501" s="381">
        <v>10.8</v>
      </c>
      <c r="X501" s="379">
        <v>8</v>
      </c>
      <c r="Y501" s="379" t="s">
        <v>2383</v>
      </c>
      <c r="Z501" s="379">
        <v>1027</v>
      </c>
      <c r="AA501" s="379" t="s">
        <v>2383</v>
      </c>
      <c r="AB501" s="380">
        <f t="shared" si="7"/>
        <v>0.9</v>
      </c>
    </row>
    <row r="502" spans="1:28" outlineLevel="2" x14ac:dyDescent="0.3">
      <c r="A502" s="379">
        <v>654</v>
      </c>
      <c r="B502" s="379">
        <v>813300</v>
      </c>
      <c r="C502" s="379" t="s">
        <v>2877</v>
      </c>
      <c r="D502" s="379">
        <v>4056278</v>
      </c>
      <c r="E502" s="379" t="s">
        <v>2893</v>
      </c>
      <c r="F502" s="379" t="s">
        <v>2894</v>
      </c>
      <c r="G502" s="383">
        <v>36892</v>
      </c>
      <c r="H502" s="379">
        <v>100682.06</v>
      </c>
      <c r="I502" s="379">
        <v>4691.0200000000004</v>
      </c>
      <c r="J502" s="379">
        <v>21145.5</v>
      </c>
      <c r="K502" s="379">
        <v>7588.3</v>
      </c>
      <c r="L502" s="379"/>
      <c r="M502" s="379">
        <v>365.25</v>
      </c>
      <c r="N502" s="379"/>
      <c r="O502" s="379">
        <v>85844.28</v>
      </c>
      <c r="P502" s="379">
        <v>3722.3</v>
      </c>
      <c r="Q502" s="379">
        <v>4514.88</v>
      </c>
      <c r="R502" s="379"/>
      <c r="S502" s="379"/>
      <c r="T502" s="379">
        <v>6600.6</v>
      </c>
      <c r="U502" s="379"/>
      <c r="V502" s="380">
        <v>134472.13</v>
      </c>
      <c r="W502" s="381">
        <v>10.8</v>
      </c>
      <c r="X502" s="379">
        <v>8</v>
      </c>
      <c r="Y502" s="379" t="s">
        <v>2383</v>
      </c>
      <c r="Z502" s="379">
        <v>1027</v>
      </c>
      <c r="AA502" s="379" t="s">
        <v>2383</v>
      </c>
      <c r="AB502" s="380">
        <f t="shared" si="7"/>
        <v>0.9</v>
      </c>
    </row>
    <row r="503" spans="1:28" outlineLevel="2" x14ac:dyDescent="0.3">
      <c r="A503" s="379">
        <v>654</v>
      </c>
      <c r="B503" s="379">
        <v>813300</v>
      </c>
      <c r="C503" s="379" t="s">
        <v>2877</v>
      </c>
      <c r="D503" s="379">
        <v>5323168</v>
      </c>
      <c r="E503" s="379" t="s">
        <v>2581</v>
      </c>
      <c r="F503" s="379" t="s">
        <v>2895</v>
      </c>
      <c r="G503" s="383">
        <v>34608</v>
      </c>
      <c r="H503" s="379">
        <v>121367.17</v>
      </c>
      <c r="I503" s="379">
        <v>5738.71</v>
      </c>
      <c r="J503" s="379">
        <v>11050.92</v>
      </c>
      <c r="K503" s="379">
        <v>9139.7999999999993</v>
      </c>
      <c r="L503" s="379"/>
      <c r="M503" s="379">
        <v>444.45</v>
      </c>
      <c r="N503" s="379"/>
      <c r="O503" s="379">
        <v>98955.81</v>
      </c>
      <c r="P503" s="379">
        <v>5109.5</v>
      </c>
      <c r="Q503" s="379">
        <v>5774.88</v>
      </c>
      <c r="R503" s="379"/>
      <c r="S503" s="379"/>
      <c r="T503" s="379">
        <v>11526.98</v>
      </c>
      <c r="U503" s="379"/>
      <c r="V503" s="380">
        <v>147741.04999999999</v>
      </c>
      <c r="W503" s="381">
        <v>10.8</v>
      </c>
      <c r="X503" s="379">
        <v>8</v>
      </c>
      <c r="Y503" s="379" t="s">
        <v>2383</v>
      </c>
      <c r="Z503" s="379">
        <v>1422001</v>
      </c>
      <c r="AA503" s="379" t="s">
        <v>2648</v>
      </c>
      <c r="AB503" s="380">
        <f t="shared" si="7"/>
        <v>0.9</v>
      </c>
    </row>
    <row r="504" spans="1:28" outlineLevel="2" x14ac:dyDescent="0.3">
      <c r="A504" s="379">
        <v>654</v>
      </c>
      <c r="B504" s="379">
        <v>813300</v>
      </c>
      <c r="C504" s="379" t="s">
        <v>2877</v>
      </c>
      <c r="D504" s="379">
        <v>5429061</v>
      </c>
      <c r="E504" s="379" t="s">
        <v>2524</v>
      </c>
      <c r="F504" s="379" t="s">
        <v>2654</v>
      </c>
      <c r="G504" s="383">
        <v>34121</v>
      </c>
      <c r="H504" s="379">
        <v>111678.44</v>
      </c>
      <c r="I504" s="379">
        <v>5462.95</v>
      </c>
      <c r="J504" s="379">
        <v>10179.41</v>
      </c>
      <c r="K504" s="379">
        <v>8413.0499999999993</v>
      </c>
      <c r="L504" s="379"/>
      <c r="M504" s="379">
        <v>406.45</v>
      </c>
      <c r="N504" s="379"/>
      <c r="O504" s="379">
        <v>91174.32</v>
      </c>
      <c r="P504" s="379">
        <v>5822.29</v>
      </c>
      <c r="Q504" s="379">
        <v>2750.88</v>
      </c>
      <c r="R504" s="379"/>
      <c r="S504" s="379"/>
      <c r="T504" s="379">
        <v>11632.15</v>
      </c>
      <c r="U504" s="379">
        <v>298.8</v>
      </c>
      <c r="V504" s="380">
        <v>136140.29999999999</v>
      </c>
      <c r="W504" s="381">
        <v>10.8</v>
      </c>
      <c r="X504" s="379">
        <v>8</v>
      </c>
      <c r="Y504" s="379" t="s">
        <v>2383</v>
      </c>
      <c r="Z504" s="379">
        <v>1403001</v>
      </c>
      <c r="AA504" s="379" t="s">
        <v>2896</v>
      </c>
      <c r="AB504" s="380">
        <f t="shared" si="7"/>
        <v>0.9</v>
      </c>
    </row>
    <row r="505" spans="1:28" outlineLevel="2" x14ac:dyDescent="0.3">
      <c r="A505" s="379">
        <v>654</v>
      </c>
      <c r="B505" s="379">
        <v>813300</v>
      </c>
      <c r="C505" s="379" t="s">
        <v>2877</v>
      </c>
      <c r="D505" s="379">
        <v>5538172</v>
      </c>
      <c r="E505" s="379" t="s">
        <v>2365</v>
      </c>
      <c r="F505" s="379" t="s">
        <v>2771</v>
      </c>
      <c r="G505" s="383">
        <v>33147</v>
      </c>
      <c r="H505" s="379">
        <v>22106.16</v>
      </c>
      <c r="I505" s="379">
        <v>821.24</v>
      </c>
      <c r="J505" s="379">
        <v>1986.32</v>
      </c>
      <c r="K505" s="379">
        <v>1657.89</v>
      </c>
      <c r="L505" s="379"/>
      <c r="M505" s="379">
        <v>84.94</v>
      </c>
      <c r="N505" s="379"/>
      <c r="O505" s="379">
        <v>20668.080000000002</v>
      </c>
      <c r="P505" s="379"/>
      <c r="Q505" s="379">
        <v>1438.08</v>
      </c>
      <c r="R505" s="379"/>
      <c r="S505" s="379"/>
      <c r="T505" s="379"/>
      <c r="U505" s="379"/>
      <c r="V505" s="380">
        <v>26656.55</v>
      </c>
      <c r="W505" s="381">
        <v>2.8</v>
      </c>
      <c r="X505" s="379"/>
      <c r="Y505" s="379"/>
      <c r="Z505" s="379">
        <v>5923001</v>
      </c>
      <c r="AA505" s="379" t="s">
        <v>2354</v>
      </c>
      <c r="AB505" s="380">
        <f t="shared" si="7"/>
        <v>0.23333333333333331</v>
      </c>
    </row>
    <row r="506" spans="1:28" outlineLevel="2" x14ac:dyDescent="0.3">
      <c r="A506" s="379">
        <v>654</v>
      </c>
      <c r="B506" s="379">
        <v>813300</v>
      </c>
      <c r="C506" s="379" t="s">
        <v>2877</v>
      </c>
      <c r="D506" s="379">
        <v>5547590</v>
      </c>
      <c r="E506" s="379" t="s">
        <v>2645</v>
      </c>
      <c r="F506" s="379" t="s">
        <v>2644</v>
      </c>
      <c r="G506" s="383">
        <v>43101</v>
      </c>
      <c r="H506" s="379">
        <v>1148.25</v>
      </c>
      <c r="I506" s="379">
        <v>40.75</v>
      </c>
      <c r="J506" s="379"/>
      <c r="K506" s="379">
        <v>86.12</v>
      </c>
      <c r="L506" s="379"/>
      <c r="M506" s="379"/>
      <c r="N506" s="379"/>
      <c r="O506" s="379"/>
      <c r="P506" s="379">
        <v>1148.25</v>
      </c>
      <c r="Q506" s="379"/>
      <c r="R506" s="379"/>
      <c r="S506" s="379"/>
      <c r="T506" s="379"/>
      <c r="U506" s="379"/>
      <c r="V506" s="380">
        <v>1275.1199999999999</v>
      </c>
      <c r="W506" s="381"/>
      <c r="X506" s="379"/>
      <c r="Y506" s="379"/>
      <c r="Z506" s="379">
        <v>931001</v>
      </c>
      <c r="AA506" s="379" t="s">
        <v>2667</v>
      </c>
      <c r="AB506" s="380">
        <f t="shared" si="7"/>
        <v>0</v>
      </c>
    </row>
    <row r="507" spans="1:28" outlineLevel="2" x14ac:dyDescent="0.3">
      <c r="A507" s="379">
        <v>654</v>
      </c>
      <c r="B507" s="379">
        <v>813300</v>
      </c>
      <c r="C507" s="379" t="s">
        <v>2877</v>
      </c>
      <c r="D507" s="379">
        <v>5679540</v>
      </c>
      <c r="E507" s="379" t="s">
        <v>2897</v>
      </c>
      <c r="F507" s="379" t="s">
        <v>2528</v>
      </c>
      <c r="G507" s="383">
        <v>34851</v>
      </c>
      <c r="H507" s="379">
        <v>105938.54</v>
      </c>
      <c r="I507" s="379">
        <v>5089.18</v>
      </c>
      <c r="J507" s="379">
        <v>9721.4699999999993</v>
      </c>
      <c r="K507" s="379">
        <v>7982.55</v>
      </c>
      <c r="L507" s="379"/>
      <c r="M507" s="379">
        <v>390.9</v>
      </c>
      <c r="N507" s="379"/>
      <c r="O507" s="379">
        <v>90002.74</v>
      </c>
      <c r="P507" s="379">
        <v>120</v>
      </c>
      <c r="Q507" s="379">
        <v>4284.88</v>
      </c>
      <c r="R507" s="379"/>
      <c r="S507" s="379"/>
      <c r="T507" s="379">
        <v>11530.92</v>
      </c>
      <c r="U507" s="379"/>
      <c r="V507" s="380">
        <v>129122.64</v>
      </c>
      <c r="W507" s="381">
        <v>10.8</v>
      </c>
      <c r="X507" s="379">
        <v>8</v>
      </c>
      <c r="Y507" s="379" t="s">
        <v>2383</v>
      </c>
      <c r="Z507" s="379">
        <v>1422001</v>
      </c>
      <c r="AA507" s="379" t="s">
        <v>2648</v>
      </c>
      <c r="AB507" s="380">
        <f t="shared" si="7"/>
        <v>0.9</v>
      </c>
    </row>
    <row r="508" spans="1:28" outlineLevel="2" x14ac:dyDescent="0.3">
      <c r="A508" s="379">
        <v>654</v>
      </c>
      <c r="B508" s="379">
        <v>813300</v>
      </c>
      <c r="C508" s="379" t="s">
        <v>2877</v>
      </c>
      <c r="D508" s="379">
        <v>5767089</v>
      </c>
      <c r="E508" s="379" t="s">
        <v>2284</v>
      </c>
      <c r="F508" s="379" t="s">
        <v>2285</v>
      </c>
      <c r="G508" s="383">
        <v>36770</v>
      </c>
      <c r="H508" s="379">
        <v>95173.37</v>
      </c>
      <c r="I508" s="379">
        <v>4771.13</v>
      </c>
      <c r="J508" s="379">
        <v>7979.4</v>
      </c>
      <c r="K508" s="379">
        <v>7175.3</v>
      </c>
      <c r="L508" s="379"/>
      <c r="M508" s="379">
        <v>324.85000000000002</v>
      </c>
      <c r="N508" s="379"/>
      <c r="O508" s="379">
        <v>72778.850000000006</v>
      </c>
      <c r="P508" s="379">
        <v>9447.52</v>
      </c>
      <c r="Q508" s="379">
        <v>2341</v>
      </c>
      <c r="R508" s="379">
        <v>2840</v>
      </c>
      <c r="S508" s="379"/>
      <c r="T508" s="379">
        <v>7766</v>
      </c>
      <c r="U508" s="379"/>
      <c r="V508" s="380">
        <v>115424.05</v>
      </c>
      <c r="W508" s="381">
        <v>10</v>
      </c>
      <c r="X508" s="379"/>
      <c r="Y508" s="379"/>
      <c r="Z508" s="379">
        <v>5302002</v>
      </c>
      <c r="AA508" s="379" t="s">
        <v>2467</v>
      </c>
      <c r="AB508" s="380">
        <f t="shared" si="7"/>
        <v>0.83333333333333337</v>
      </c>
    </row>
    <row r="509" spans="1:28" outlineLevel="2" x14ac:dyDescent="0.3">
      <c r="A509" s="379">
        <v>654</v>
      </c>
      <c r="B509" s="379">
        <v>813300</v>
      </c>
      <c r="C509" s="379" t="s">
        <v>2877</v>
      </c>
      <c r="D509" s="379">
        <v>5829148</v>
      </c>
      <c r="E509" s="379" t="s">
        <v>2340</v>
      </c>
      <c r="F509" s="379" t="s">
        <v>2898</v>
      </c>
      <c r="G509" s="383">
        <v>31138</v>
      </c>
      <c r="H509" s="379">
        <v>116551.36</v>
      </c>
      <c r="I509" s="379">
        <v>5908.12</v>
      </c>
      <c r="J509" s="379">
        <v>10619.19</v>
      </c>
      <c r="K509" s="379">
        <v>8778.5499999999993</v>
      </c>
      <c r="L509" s="379"/>
      <c r="M509" s="379">
        <v>428.55</v>
      </c>
      <c r="N509" s="379"/>
      <c r="O509" s="379">
        <v>95523.33</v>
      </c>
      <c r="P509" s="379">
        <v>3780</v>
      </c>
      <c r="Q509" s="379">
        <v>5438</v>
      </c>
      <c r="R509" s="379"/>
      <c r="S509" s="379"/>
      <c r="T509" s="379">
        <v>11810.03</v>
      </c>
      <c r="U509" s="379"/>
      <c r="V509" s="380">
        <v>142285.76999999999</v>
      </c>
      <c r="W509" s="381">
        <v>10</v>
      </c>
      <c r="X509" s="379">
        <v>8</v>
      </c>
      <c r="Y509" s="379" t="s">
        <v>2383</v>
      </c>
      <c r="Z509" s="379">
        <v>1027</v>
      </c>
      <c r="AA509" s="379" t="s">
        <v>2383</v>
      </c>
      <c r="AB509" s="380">
        <f t="shared" si="7"/>
        <v>0.83333333333333337</v>
      </c>
    </row>
    <row r="510" spans="1:28" outlineLevel="2" x14ac:dyDescent="0.3">
      <c r="A510" s="379">
        <v>654</v>
      </c>
      <c r="B510" s="379">
        <v>813300</v>
      </c>
      <c r="C510" s="379" t="s">
        <v>2877</v>
      </c>
      <c r="D510" s="379">
        <v>5873801</v>
      </c>
      <c r="E510" s="379" t="s">
        <v>2318</v>
      </c>
      <c r="F510" s="379" t="s">
        <v>2358</v>
      </c>
      <c r="G510" s="383">
        <v>35096</v>
      </c>
      <c r="H510" s="379">
        <v>15838.66</v>
      </c>
      <c r="I510" s="379">
        <v>704.45</v>
      </c>
      <c r="J510" s="379">
        <v>1430.2</v>
      </c>
      <c r="K510" s="379">
        <v>1187.9000000000001</v>
      </c>
      <c r="L510" s="379"/>
      <c r="M510" s="379">
        <v>61.5</v>
      </c>
      <c r="N510" s="379"/>
      <c r="O510" s="379">
        <v>14876.18</v>
      </c>
      <c r="P510" s="379"/>
      <c r="Q510" s="379">
        <v>962.48</v>
      </c>
      <c r="R510" s="379"/>
      <c r="S510" s="379"/>
      <c r="T510" s="379"/>
      <c r="U510" s="379"/>
      <c r="V510" s="380">
        <v>19222.71</v>
      </c>
      <c r="W510" s="381">
        <v>1.8</v>
      </c>
      <c r="X510" s="379">
        <v>8</v>
      </c>
      <c r="Y510" s="379" t="s">
        <v>2383</v>
      </c>
      <c r="Z510" s="379">
        <v>3202002</v>
      </c>
      <c r="AA510" s="379" t="s">
        <v>2290</v>
      </c>
      <c r="AB510" s="380">
        <f t="shared" si="7"/>
        <v>0.15</v>
      </c>
    </row>
    <row r="511" spans="1:28" outlineLevel="2" x14ac:dyDescent="0.3">
      <c r="A511" s="379">
        <v>654</v>
      </c>
      <c r="B511" s="379">
        <v>813300</v>
      </c>
      <c r="C511" s="379" t="s">
        <v>2877</v>
      </c>
      <c r="D511" s="379">
        <v>5873945</v>
      </c>
      <c r="E511" s="379" t="s">
        <v>2318</v>
      </c>
      <c r="F511" s="379" t="s">
        <v>2715</v>
      </c>
      <c r="G511" s="383">
        <v>34912</v>
      </c>
      <c r="H511" s="379">
        <v>94146.15</v>
      </c>
      <c r="I511" s="379">
        <v>4194.3100000000004</v>
      </c>
      <c r="J511" s="379">
        <v>9032.23</v>
      </c>
      <c r="K511" s="379">
        <v>7098.15</v>
      </c>
      <c r="L511" s="379"/>
      <c r="M511" s="379">
        <v>339.15</v>
      </c>
      <c r="N511" s="379"/>
      <c r="O511" s="379">
        <v>81014.720000000001</v>
      </c>
      <c r="P511" s="379">
        <v>3779.95</v>
      </c>
      <c r="Q511" s="379">
        <v>2750.88</v>
      </c>
      <c r="R511" s="379"/>
      <c r="S511" s="379"/>
      <c r="T511" s="379">
        <v>6600.6</v>
      </c>
      <c r="U511" s="379"/>
      <c r="V511" s="380">
        <v>114809.99</v>
      </c>
      <c r="W511" s="381">
        <v>10.8</v>
      </c>
      <c r="X511" s="379">
        <v>8</v>
      </c>
      <c r="Y511" s="379" t="s">
        <v>2383</v>
      </c>
      <c r="Z511" s="379">
        <v>1027</v>
      </c>
      <c r="AA511" s="379" t="s">
        <v>2383</v>
      </c>
      <c r="AB511" s="380">
        <f t="shared" si="7"/>
        <v>0.9</v>
      </c>
    </row>
    <row r="512" spans="1:28" outlineLevel="2" x14ac:dyDescent="0.3">
      <c r="A512" s="379">
        <v>654</v>
      </c>
      <c r="B512" s="379">
        <v>813300</v>
      </c>
      <c r="C512" s="379" t="s">
        <v>2877</v>
      </c>
      <c r="D512" s="379">
        <v>5877546</v>
      </c>
      <c r="E512" s="379" t="s">
        <v>2899</v>
      </c>
      <c r="F512" s="379" t="s">
        <v>2322</v>
      </c>
      <c r="G512" s="383">
        <v>40940</v>
      </c>
      <c r="H512" s="379">
        <v>6522.73</v>
      </c>
      <c r="I512" s="379">
        <v>246.08</v>
      </c>
      <c r="J512" s="379">
        <v>1333.09</v>
      </c>
      <c r="K512" s="379">
        <v>489.2</v>
      </c>
      <c r="L512" s="379"/>
      <c r="M512" s="379">
        <v>25.15</v>
      </c>
      <c r="N512" s="379"/>
      <c r="O512" s="379">
        <v>6293.49</v>
      </c>
      <c r="P512" s="379"/>
      <c r="Q512" s="379">
        <v>229.24</v>
      </c>
      <c r="R512" s="379"/>
      <c r="S512" s="379"/>
      <c r="T512" s="379"/>
      <c r="U512" s="379"/>
      <c r="V512" s="380">
        <v>8616.25</v>
      </c>
      <c r="W512" s="381">
        <v>0.9</v>
      </c>
      <c r="X512" s="379"/>
      <c r="Y512" s="379"/>
      <c r="Z512" s="379">
        <v>1027</v>
      </c>
      <c r="AA512" s="379" t="s">
        <v>2383</v>
      </c>
      <c r="AB512" s="380">
        <f t="shared" si="7"/>
        <v>7.4999999999999997E-2</v>
      </c>
    </row>
    <row r="513" spans="1:28" outlineLevel="2" x14ac:dyDescent="0.3">
      <c r="A513" s="379">
        <v>654</v>
      </c>
      <c r="B513" s="379">
        <v>813300</v>
      </c>
      <c r="C513" s="379" t="s">
        <v>2877</v>
      </c>
      <c r="D513" s="379">
        <v>5877546</v>
      </c>
      <c r="E513" s="379" t="s">
        <v>2899</v>
      </c>
      <c r="F513" s="379" t="s">
        <v>2322</v>
      </c>
      <c r="G513" s="383">
        <v>40940</v>
      </c>
      <c r="H513" s="379">
        <v>79444.58</v>
      </c>
      <c r="I513" s="379">
        <v>3457.45</v>
      </c>
      <c r="J513" s="379">
        <v>16766.189999999999</v>
      </c>
      <c r="K513" s="379">
        <v>5995.74</v>
      </c>
      <c r="L513" s="379"/>
      <c r="M513" s="379">
        <v>286.2</v>
      </c>
      <c r="N513" s="379"/>
      <c r="O513" s="379">
        <v>67357.850000000006</v>
      </c>
      <c r="P513" s="379">
        <v>4129.99</v>
      </c>
      <c r="Q513" s="379">
        <v>2521.64</v>
      </c>
      <c r="R513" s="379"/>
      <c r="S513" s="379"/>
      <c r="T513" s="379">
        <v>5435.1</v>
      </c>
      <c r="U513" s="379"/>
      <c r="V513" s="380">
        <v>105950.16</v>
      </c>
      <c r="W513" s="381">
        <v>9.9</v>
      </c>
      <c r="X513" s="379"/>
      <c r="Y513" s="379"/>
      <c r="Z513" s="379">
        <v>1401202</v>
      </c>
      <c r="AA513" s="379" t="s">
        <v>2380</v>
      </c>
      <c r="AB513" s="380">
        <f t="shared" si="7"/>
        <v>0.82500000000000007</v>
      </c>
    </row>
    <row r="514" spans="1:28" outlineLevel="2" x14ac:dyDescent="0.3">
      <c r="A514" s="379">
        <v>654</v>
      </c>
      <c r="B514" s="379">
        <v>813300</v>
      </c>
      <c r="C514" s="379" t="s">
        <v>2877</v>
      </c>
      <c r="D514" s="379">
        <v>5918796</v>
      </c>
      <c r="E514" s="379" t="s">
        <v>2323</v>
      </c>
      <c r="F514" s="379" t="s">
        <v>2285</v>
      </c>
      <c r="G514" s="383">
        <v>42005</v>
      </c>
      <c r="H514" s="379">
        <v>88456.76</v>
      </c>
      <c r="I514" s="379">
        <v>3789.48</v>
      </c>
      <c r="J514" s="379">
        <v>18437.45</v>
      </c>
      <c r="K514" s="379">
        <v>6671.4</v>
      </c>
      <c r="L514" s="379"/>
      <c r="M514" s="379">
        <v>313.64999999999998</v>
      </c>
      <c r="N514" s="379"/>
      <c r="O514" s="379">
        <v>73798.070000000007</v>
      </c>
      <c r="P514" s="379">
        <v>4619.6099999999997</v>
      </c>
      <c r="Q514" s="379">
        <v>2750.88</v>
      </c>
      <c r="R514" s="379"/>
      <c r="S514" s="379"/>
      <c r="T514" s="379">
        <v>6989.4</v>
      </c>
      <c r="U514" s="379">
        <v>298.8</v>
      </c>
      <c r="V514" s="380">
        <v>117668.74</v>
      </c>
      <c r="W514" s="381">
        <v>10.8</v>
      </c>
      <c r="X514" s="379">
        <v>8</v>
      </c>
      <c r="Y514" s="379" t="s">
        <v>2383</v>
      </c>
      <c r="Z514" s="379">
        <v>1027</v>
      </c>
      <c r="AA514" s="379" t="s">
        <v>2383</v>
      </c>
      <c r="AB514" s="380">
        <f t="shared" si="7"/>
        <v>0.9</v>
      </c>
    </row>
    <row r="515" spans="1:28" outlineLevel="2" x14ac:dyDescent="0.3">
      <c r="A515" s="379">
        <v>654</v>
      </c>
      <c r="B515" s="379">
        <v>813300</v>
      </c>
      <c r="C515" s="379" t="s">
        <v>2877</v>
      </c>
      <c r="D515" s="379">
        <v>6074707</v>
      </c>
      <c r="E515" s="379" t="s">
        <v>2451</v>
      </c>
      <c r="F515" s="379" t="s">
        <v>2316</v>
      </c>
      <c r="G515" s="383">
        <v>42036</v>
      </c>
      <c r="H515" s="379">
        <v>93141.73</v>
      </c>
      <c r="I515" s="379">
        <v>4118.21</v>
      </c>
      <c r="J515" s="379">
        <v>18375.91</v>
      </c>
      <c r="K515" s="379">
        <v>7022.85</v>
      </c>
      <c r="L515" s="379"/>
      <c r="M515" s="379">
        <v>307.89999999999998</v>
      </c>
      <c r="N515" s="379"/>
      <c r="O515" s="379">
        <v>77151.12</v>
      </c>
      <c r="P515" s="379">
        <v>807.41</v>
      </c>
      <c r="Q515" s="379">
        <v>2809.2</v>
      </c>
      <c r="R515" s="379"/>
      <c r="S515" s="379"/>
      <c r="T515" s="379">
        <v>6038</v>
      </c>
      <c r="U515" s="379">
        <v>6336</v>
      </c>
      <c r="V515" s="380">
        <v>122966.6</v>
      </c>
      <c r="W515" s="381">
        <v>12</v>
      </c>
      <c r="X515" s="379">
        <v>21</v>
      </c>
      <c r="Y515" s="379" t="s">
        <v>2632</v>
      </c>
      <c r="Z515" s="379">
        <v>3202002</v>
      </c>
      <c r="AA515" s="379" t="s">
        <v>2290</v>
      </c>
      <c r="AB515" s="380">
        <f t="shared" si="7"/>
        <v>1</v>
      </c>
    </row>
    <row r="516" spans="1:28" outlineLevel="2" x14ac:dyDescent="0.3">
      <c r="A516" s="379">
        <v>654</v>
      </c>
      <c r="B516" s="379">
        <v>813300</v>
      </c>
      <c r="C516" s="379" t="s">
        <v>2877</v>
      </c>
      <c r="D516" s="379">
        <v>6750374</v>
      </c>
      <c r="E516" s="379" t="s">
        <v>2457</v>
      </c>
      <c r="F516" s="379" t="s">
        <v>2900</v>
      </c>
      <c r="G516" s="383">
        <v>35096</v>
      </c>
      <c r="H516" s="379">
        <v>109106.22</v>
      </c>
      <c r="I516" s="379">
        <v>5329.6</v>
      </c>
      <c r="J516" s="379">
        <v>10402.85</v>
      </c>
      <c r="K516" s="379">
        <v>8220.15</v>
      </c>
      <c r="L516" s="379"/>
      <c r="M516" s="379">
        <v>396.85</v>
      </c>
      <c r="N516" s="379"/>
      <c r="O516" s="379">
        <v>92082.08</v>
      </c>
      <c r="P516" s="379">
        <v>4079.96</v>
      </c>
      <c r="Q516" s="379">
        <v>5774.88</v>
      </c>
      <c r="R516" s="379"/>
      <c r="S516" s="379"/>
      <c r="T516" s="379">
        <v>6989.4</v>
      </c>
      <c r="U516" s="379">
        <v>179.9</v>
      </c>
      <c r="V516" s="380">
        <v>133455.67000000001</v>
      </c>
      <c r="W516" s="381">
        <v>10.8</v>
      </c>
      <c r="X516" s="379">
        <v>8</v>
      </c>
      <c r="Y516" s="379" t="s">
        <v>2383</v>
      </c>
      <c r="Z516" s="379">
        <v>1422001</v>
      </c>
      <c r="AA516" s="379" t="s">
        <v>2648</v>
      </c>
      <c r="AB516" s="380">
        <f t="shared" si="7"/>
        <v>0.9</v>
      </c>
    </row>
    <row r="517" spans="1:28" outlineLevel="2" x14ac:dyDescent="0.3">
      <c r="A517" s="379">
        <v>654</v>
      </c>
      <c r="B517" s="379">
        <v>813300</v>
      </c>
      <c r="C517" s="379" t="s">
        <v>2877</v>
      </c>
      <c r="D517" s="379">
        <v>6751880</v>
      </c>
      <c r="E517" s="379" t="s">
        <v>2901</v>
      </c>
      <c r="F517" s="379" t="s">
        <v>2692</v>
      </c>
      <c r="G517" s="383">
        <v>35370</v>
      </c>
      <c r="H517" s="379">
        <v>96102.81</v>
      </c>
      <c r="I517" s="379">
        <v>4344.66</v>
      </c>
      <c r="J517" s="379">
        <v>19964.59</v>
      </c>
      <c r="K517" s="379">
        <v>7244.88</v>
      </c>
      <c r="L517" s="379"/>
      <c r="M517" s="379">
        <v>345.8</v>
      </c>
      <c r="N517" s="379"/>
      <c r="O517" s="379">
        <v>81827.289999999994</v>
      </c>
      <c r="P517" s="379">
        <v>4625.24</v>
      </c>
      <c r="Q517" s="379">
        <v>2750.88</v>
      </c>
      <c r="R517" s="379"/>
      <c r="S517" s="379"/>
      <c r="T517" s="379">
        <v>6600.6</v>
      </c>
      <c r="U517" s="379">
        <v>298.8</v>
      </c>
      <c r="V517" s="380">
        <v>128002.74</v>
      </c>
      <c r="W517" s="381">
        <v>10.8</v>
      </c>
      <c r="X517" s="379">
        <v>8</v>
      </c>
      <c r="Y517" s="379" t="s">
        <v>2383</v>
      </c>
      <c r="Z517" s="379">
        <v>953001</v>
      </c>
      <c r="AA517" s="379" t="s">
        <v>2902</v>
      </c>
      <c r="AB517" s="380">
        <f t="shared" si="7"/>
        <v>0.9</v>
      </c>
    </row>
    <row r="518" spans="1:28" outlineLevel="2" x14ac:dyDescent="0.3">
      <c r="A518" s="379">
        <v>654</v>
      </c>
      <c r="B518" s="379">
        <v>813300</v>
      </c>
      <c r="C518" s="379" t="s">
        <v>2877</v>
      </c>
      <c r="D518" s="379">
        <v>6777597</v>
      </c>
      <c r="E518" s="379" t="s">
        <v>2384</v>
      </c>
      <c r="F518" s="379" t="s">
        <v>2385</v>
      </c>
      <c r="G518" s="383">
        <v>42278</v>
      </c>
      <c r="H518" s="379">
        <v>42195.92</v>
      </c>
      <c r="I518" s="379">
        <v>1515.66</v>
      </c>
      <c r="J518" s="379">
        <v>8974.2000000000007</v>
      </c>
      <c r="K518" s="379">
        <v>3202.08</v>
      </c>
      <c r="L518" s="379"/>
      <c r="M518" s="379">
        <v>148</v>
      </c>
      <c r="N518" s="379"/>
      <c r="O518" s="379">
        <v>37018.32</v>
      </c>
      <c r="P518" s="379">
        <v>130.84</v>
      </c>
      <c r="Q518" s="379">
        <v>2332.7600000000002</v>
      </c>
      <c r="R518" s="379"/>
      <c r="S518" s="379"/>
      <c r="T518" s="379">
        <v>2714</v>
      </c>
      <c r="U518" s="379"/>
      <c r="V518" s="380">
        <v>56035.86</v>
      </c>
      <c r="W518" s="381">
        <v>6</v>
      </c>
      <c r="X518" s="379">
        <v>1</v>
      </c>
      <c r="Y518" s="379" t="s">
        <v>2353</v>
      </c>
      <c r="Z518" s="379">
        <v>5923001</v>
      </c>
      <c r="AA518" s="379" t="s">
        <v>2354</v>
      </c>
      <c r="AB518" s="380">
        <f t="shared" si="7"/>
        <v>0.5</v>
      </c>
    </row>
    <row r="519" spans="1:28" outlineLevel="2" x14ac:dyDescent="0.3">
      <c r="A519" s="379">
        <v>654</v>
      </c>
      <c r="B519" s="379">
        <v>813300</v>
      </c>
      <c r="C519" s="379" t="s">
        <v>2877</v>
      </c>
      <c r="D519" s="379">
        <v>6789507</v>
      </c>
      <c r="E519" s="379" t="s">
        <v>2398</v>
      </c>
      <c r="F519" s="379" t="s">
        <v>2903</v>
      </c>
      <c r="G519" s="383">
        <v>34608</v>
      </c>
      <c r="H519" s="379">
        <v>101713.67</v>
      </c>
      <c r="I519" s="379">
        <v>948.51</v>
      </c>
      <c r="J519" s="379">
        <v>9368.7000000000007</v>
      </c>
      <c r="K519" s="379">
        <v>7665.75</v>
      </c>
      <c r="L519" s="379"/>
      <c r="M519" s="379">
        <v>369.05</v>
      </c>
      <c r="N519" s="379"/>
      <c r="O519" s="379">
        <v>82338.429999999993</v>
      </c>
      <c r="P519" s="379">
        <v>5633.39</v>
      </c>
      <c r="Q519" s="379">
        <v>2154.88</v>
      </c>
      <c r="R519" s="379"/>
      <c r="S519" s="379"/>
      <c r="T519" s="379">
        <v>11288.17</v>
      </c>
      <c r="U519" s="379">
        <v>298.8</v>
      </c>
      <c r="V519" s="380">
        <v>120065.68</v>
      </c>
      <c r="W519" s="381">
        <v>10.8</v>
      </c>
      <c r="X519" s="379">
        <v>8</v>
      </c>
      <c r="Y519" s="379" t="s">
        <v>2383</v>
      </c>
      <c r="Z519" s="379">
        <v>5421002</v>
      </c>
      <c r="AA519" s="379" t="s">
        <v>2879</v>
      </c>
      <c r="AB519" s="380">
        <f t="shared" si="7"/>
        <v>0.9</v>
      </c>
    </row>
    <row r="520" spans="1:28" outlineLevel="2" x14ac:dyDescent="0.3">
      <c r="A520" s="379">
        <v>654</v>
      </c>
      <c r="B520" s="379">
        <v>813300</v>
      </c>
      <c r="C520" s="379" t="s">
        <v>2877</v>
      </c>
      <c r="D520" s="379">
        <v>6798433</v>
      </c>
      <c r="E520" s="379" t="s">
        <v>2436</v>
      </c>
      <c r="F520" s="379" t="s">
        <v>2416</v>
      </c>
      <c r="G520" s="383">
        <v>30195</v>
      </c>
      <c r="H520" s="379">
        <v>147297.37</v>
      </c>
      <c r="I520" s="379">
        <v>8230.4500000000007</v>
      </c>
      <c r="J520" s="379">
        <v>13372.08</v>
      </c>
      <c r="K520" s="379">
        <v>11084.5</v>
      </c>
      <c r="L520" s="379"/>
      <c r="M520" s="379">
        <v>546.20000000000005</v>
      </c>
      <c r="N520" s="379"/>
      <c r="O520" s="379">
        <v>121578.36</v>
      </c>
      <c r="P520" s="379">
        <v>6496.29</v>
      </c>
      <c r="Q520" s="379">
        <v>5833.2</v>
      </c>
      <c r="R520" s="379"/>
      <c r="S520" s="379"/>
      <c r="T520" s="379">
        <v>13209.62</v>
      </c>
      <c r="U520" s="379">
        <v>179.9</v>
      </c>
      <c r="V520" s="380">
        <v>180530.6</v>
      </c>
      <c r="W520" s="381">
        <v>12</v>
      </c>
      <c r="X520" s="379">
        <v>8</v>
      </c>
      <c r="Y520" s="379" t="s">
        <v>2383</v>
      </c>
      <c r="Z520" s="379">
        <v>1027</v>
      </c>
      <c r="AA520" s="379" t="s">
        <v>2383</v>
      </c>
      <c r="AB520" s="380">
        <f t="shared" si="7"/>
        <v>1</v>
      </c>
    </row>
    <row r="521" spans="1:28" outlineLevel="2" x14ac:dyDescent="0.3">
      <c r="A521" s="379">
        <v>654</v>
      </c>
      <c r="B521" s="379">
        <v>813300</v>
      </c>
      <c r="C521" s="379" t="s">
        <v>2877</v>
      </c>
      <c r="D521" s="379">
        <v>6819834</v>
      </c>
      <c r="E521" s="379" t="s">
        <v>2318</v>
      </c>
      <c r="F521" s="379" t="s">
        <v>2766</v>
      </c>
      <c r="G521" s="383">
        <v>34274</v>
      </c>
      <c r="H521" s="379">
        <v>127172.84</v>
      </c>
      <c r="I521" s="379">
        <v>6702.97</v>
      </c>
      <c r="J521" s="379">
        <v>11608.59</v>
      </c>
      <c r="K521" s="379">
        <v>9575.1</v>
      </c>
      <c r="L521" s="379"/>
      <c r="M521" s="379">
        <v>469</v>
      </c>
      <c r="N521" s="379"/>
      <c r="O521" s="379">
        <v>103651.09</v>
      </c>
      <c r="P521" s="379">
        <v>5932.47</v>
      </c>
      <c r="Q521" s="379">
        <v>5774.88</v>
      </c>
      <c r="R521" s="379"/>
      <c r="S521" s="379"/>
      <c r="T521" s="379">
        <v>11641</v>
      </c>
      <c r="U521" s="379">
        <v>173.4</v>
      </c>
      <c r="V521" s="380">
        <v>155528.5</v>
      </c>
      <c r="W521" s="381">
        <v>10.8</v>
      </c>
      <c r="X521" s="379">
        <v>8</v>
      </c>
      <c r="Y521" s="379" t="s">
        <v>2383</v>
      </c>
      <c r="Z521" s="379">
        <v>1027</v>
      </c>
      <c r="AA521" s="379" t="s">
        <v>2383</v>
      </c>
      <c r="AB521" s="380">
        <f t="shared" si="7"/>
        <v>0.9</v>
      </c>
    </row>
    <row r="522" spans="1:28" outlineLevel="2" x14ac:dyDescent="0.3">
      <c r="A522" s="379">
        <v>654</v>
      </c>
      <c r="B522" s="379">
        <v>813300</v>
      </c>
      <c r="C522" s="379" t="s">
        <v>2877</v>
      </c>
      <c r="D522" s="379">
        <v>6854181</v>
      </c>
      <c r="E522" s="379" t="s">
        <v>2904</v>
      </c>
      <c r="F522" s="379" t="s">
        <v>2771</v>
      </c>
      <c r="G522" s="383">
        <v>41518</v>
      </c>
      <c r="H522" s="379">
        <v>59541.440000000002</v>
      </c>
      <c r="I522" s="379">
        <v>2252.69</v>
      </c>
      <c r="J522" s="379">
        <v>11970.94</v>
      </c>
      <c r="K522" s="379">
        <v>4502.75</v>
      </c>
      <c r="L522" s="379"/>
      <c r="M522" s="379">
        <v>199.3</v>
      </c>
      <c r="N522" s="379"/>
      <c r="O522" s="379">
        <v>49028.62</v>
      </c>
      <c r="P522" s="379">
        <v>4575.2</v>
      </c>
      <c r="Q522" s="379">
        <v>2653.68</v>
      </c>
      <c r="R522" s="379"/>
      <c r="S522" s="379"/>
      <c r="T522" s="379">
        <v>3283.94</v>
      </c>
      <c r="U522" s="379"/>
      <c r="V522" s="380">
        <v>78467.12</v>
      </c>
      <c r="W522" s="381">
        <v>8.8000000000000007</v>
      </c>
      <c r="X522" s="379"/>
      <c r="Y522" s="379"/>
      <c r="Z522" s="379">
        <v>1027</v>
      </c>
      <c r="AA522" s="379" t="s">
        <v>2383</v>
      </c>
      <c r="AB522" s="380">
        <f t="shared" si="7"/>
        <v>0.73333333333333339</v>
      </c>
    </row>
    <row r="523" spans="1:28" outlineLevel="2" x14ac:dyDescent="0.3">
      <c r="A523" s="379">
        <v>654</v>
      </c>
      <c r="B523" s="379">
        <v>813300</v>
      </c>
      <c r="C523" s="379" t="s">
        <v>2877</v>
      </c>
      <c r="D523" s="379">
        <v>30077235</v>
      </c>
      <c r="E523" s="379" t="s">
        <v>2905</v>
      </c>
      <c r="F523" s="379" t="s">
        <v>2906</v>
      </c>
      <c r="G523" s="383">
        <v>43466</v>
      </c>
      <c r="H523" s="379">
        <v>36281.519999999997</v>
      </c>
      <c r="I523" s="379">
        <v>1244.1099999999999</v>
      </c>
      <c r="J523" s="379">
        <v>4954.3</v>
      </c>
      <c r="K523" s="379">
        <v>2758.3</v>
      </c>
      <c r="L523" s="379"/>
      <c r="M523" s="379">
        <v>125.45</v>
      </c>
      <c r="N523" s="379"/>
      <c r="O523" s="379">
        <v>30823.79</v>
      </c>
      <c r="P523" s="379">
        <v>522.6</v>
      </c>
      <c r="Q523" s="379">
        <v>1364.21</v>
      </c>
      <c r="R523" s="379"/>
      <c r="S523" s="379">
        <v>1713.02</v>
      </c>
      <c r="T523" s="379">
        <v>1678</v>
      </c>
      <c r="U523" s="379">
        <v>179.9</v>
      </c>
      <c r="V523" s="380">
        <v>45363.68</v>
      </c>
      <c r="W523" s="381">
        <v>4.6500000000000004</v>
      </c>
      <c r="X523" s="379"/>
      <c r="Y523" s="379"/>
      <c r="Z523" s="379">
        <v>1422001</v>
      </c>
      <c r="AA523" s="379" t="s">
        <v>2648</v>
      </c>
      <c r="AB523" s="380">
        <f t="shared" si="7"/>
        <v>0.38750000000000001</v>
      </c>
    </row>
    <row r="524" spans="1:28" outlineLevel="2" x14ac:dyDescent="0.3">
      <c r="A524" s="379">
        <v>654</v>
      </c>
      <c r="B524" s="379">
        <v>813300</v>
      </c>
      <c r="C524" s="379" t="s">
        <v>2877</v>
      </c>
      <c r="D524" s="379">
        <v>30185612</v>
      </c>
      <c r="E524" s="379" t="s">
        <v>2907</v>
      </c>
      <c r="F524" s="379" t="s">
        <v>2600</v>
      </c>
      <c r="G524" s="383">
        <v>40664</v>
      </c>
      <c r="H524" s="379">
        <v>16969.11</v>
      </c>
      <c r="I524" s="379">
        <v>620.37</v>
      </c>
      <c r="J524" s="379">
        <v>3333.45</v>
      </c>
      <c r="K524" s="379">
        <v>1310.27</v>
      </c>
      <c r="L524" s="379"/>
      <c r="M524" s="379">
        <v>62.37</v>
      </c>
      <c r="N524" s="379"/>
      <c r="O524" s="379">
        <v>15527.61</v>
      </c>
      <c r="P524" s="379"/>
      <c r="Q524" s="379">
        <v>121.5</v>
      </c>
      <c r="R524" s="379"/>
      <c r="S524" s="379"/>
      <c r="T524" s="379"/>
      <c r="U524" s="379">
        <v>1320</v>
      </c>
      <c r="V524" s="380">
        <v>22295.57</v>
      </c>
      <c r="W524" s="381">
        <v>2.5</v>
      </c>
      <c r="X524" s="379"/>
      <c r="Y524" s="379"/>
      <c r="Z524" s="379">
        <v>5821001</v>
      </c>
      <c r="AA524" s="379" t="s">
        <v>2427</v>
      </c>
      <c r="AB524" s="380">
        <f t="shared" si="7"/>
        <v>0.20833333333333334</v>
      </c>
    </row>
    <row r="525" spans="1:28" outlineLevel="2" x14ac:dyDescent="0.3">
      <c r="A525" s="379">
        <v>654</v>
      </c>
      <c r="B525" s="379">
        <v>813300</v>
      </c>
      <c r="C525" s="379" t="s">
        <v>2877</v>
      </c>
      <c r="D525" s="379">
        <v>30485743</v>
      </c>
      <c r="E525" s="379" t="s">
        <v>2722</v>
      </c>
      <c r="F525" s="379" t="s">
        <v>2315</v>
      </c>
      <c r="G525" s="383">
        <v>41883</v>
      </c>
      <c r="H525" s="379">
        <v>13936.96</v>
      </c>
      <c r="I525" s="379">
        <v>69.27</v>
      </c>
      <c r="J525" s="379">
        <v>2267.34</v>
      </c>
      <c r="K525" s="379">
        <v>1082.55</v>
      </c>
      <c r="L525" s="379"/>
      <c r="M525" s="379"/>
      <c r="N525" s="379"/>
      <c r="O525" s="379">
        <v>11997.6</v>
      </c>
      <c r="P525" s="379"/>
      <c r="Q525" s="379">
        <v>815.76</v>
      </c>
      <c r="R525" s="379"/>
      <c r="S525" s="379"/>
      <c r="T525" s="379">
        <v>1123.5999999999999</v>
      </c>
      <c r="U525" s="379"/>
      <c r="V525" s="380">
        <v>17356.12</v>
      </c>
      <c r="W525" s="381">
        <v>2.04</v>
      </c>
      <c r="X525" s="379"/>
      <c r="Y525" s="379"/>
      <c r="Z525" s="379">
        <v>1027</v>
      </c>
      <c r="AA525" s="379" t="s">
        <v>2383</v>
      </c>
      <c r="AB525" s="380">
        <f t="shared" si="7"/>
        <v>0.17</v>
      </c>
    </row>
    <row r="526" spans="1:28" outlineLevel="2" x14ac:dyDescent="0.3">
      <c r="A526" s="379">
        <v>654</v>
      </c>
      <c r="B526" s="379">
        <v>813300</v>
      </c>
      <c r="C526" s="379" t="s">
        <v>2877</v>
      </c>
      <c r="D526" s="379">
        <v>30715549</v>
      </c>
      <c r="E526" s="379" t="s">
        <v>2908</v>
      </c>
      <c r="F526" s="379" t="s">
        <v>2909</v>
      </c>
      <c r="G526" s="383">
        <v>33970</v>
      </c>
      <c r="H526" s="379">
        <v>138620.03</v>
      </c>
      <c r="I526" s="379">
        <v>8027.29</v>
      </c>
      <c r="J526" s="379">
        <v>12611.91</v>
      </c>
      <c r="K526" s="379">
        <v>10432.94</v>
      </c>
      <c r="L526" s="379"/>
      <c r="M526" s="379">
        <v>510.91</v>
      </c>
      <c r="N526" s="379"/>
      <c r="O526" s="379">
        <v>113661.4</v>
      </c>
      <c r="P526" s="379">
        <v>6190.93</v>
      </c>
      <c r="Q526" s="379">
        <v>5833.2</v>
      </c>
      <c r="R526" s="379"/>
      <c r="S526" s="379"/>
      <c r="T526" s="379">
        <v>12829.6</v>
      </c>
      <c r="U526" s="379">
        <v>104.9</v>
      </c>
      <c r="V526" s="380">
        <v>170203.08</v>
      </c>
      <c r="W526" s="381">
        <v>12</v>
      </c>
      <c r="X526" s="379"/>
      <c r="Y526" s="379"/>
      <c r="Z526" s="379">
        <v>1422001</v>
      </c>
      <c r="AA526" s="379" t="s">
        <v>2648</v>
      </c>
      <c r="AB526" s="380">
        <f t="shared" si="7"/>
        <v>1</v>
      </c>
    </row>
    <row r="527" spans="1:28" outlineLevel="2" x14ac:dyDescent="0.3">
      <c r="A527" s="379">
        <v>654</v>
      </c>
      <c r="B527" s="379">
        <v>813300</v>
      </c>
      <c r="C527" s="379" t="s">
        <v>2877</v>
      </c>
      <c r="D527" s="379">
        <v>32252161</v>
      </c>
      <c r="E527" s="379" t="s">
        <v>2910</v>
      </c>
      <c r="F527" s="379" t="s">
        <v>2911</v>
      </c>
      <c r="G527" s="383">
        <v>43525</v>
      </c>
      <c r="H527" s="379">
        <v>17713.02</v>
      </c>
      <c r="I527" s="379">
        <v>628.79999999999995</v>
      </c>
      <c r="J527" s="379">
        <v>2266.9899999999998</v>
      </c>
      <c r="K527" s="379">
        <v>1328.5</v>
      </c>
      <c r="L527" s="379"/>
      <c r="M527" s="379">
        <v>67.150000000000006</v>
      </c>
      <c r="N527" s="379"/>
      <c r="O527" s="379">
        <v>16792.53</v>
      </c>
      <c r="P527" s="379"/>
      <c r="Q527" s="379">
        <v>920.49</v>
      </c>
      <c r="R527" s="379"/>
      <c r="S527" s="379"/>
      <c r="T527" s="379"/>
      <c r="U527" s="379"/>
      <c r="V527" s="380">
        <v>22004.46</v>
      </c>
      <c r="W527" s="381">
        <v>3.09</v>
      </c>
      <c r="X527" s="379"/>
      <c r="Y527" s="379"/>
      <c r="Z527" s="379">
        <v>1422001</v>
      </c>
      <c r="AA527" s="379" t="s">
        <v>2648</v>
      </c>
      <c r="AB527" s="380">
        <f t="shared" si="7"/>
        <v>0.25750000000000001</v>
      </c>
    </row>
    <row r="528" spans="1:28" outlineLevel="1" x14ac:dyDescent="0.3">
      <c r="A528" s="379"/>
      <c r="B528" s="384" t="s">
        <v>2912</v>
      </c>
      <c r="C528" s="379"/>
      <c r="D528" s="379"/>
      <c r="E528" s="379"/>
      <c r="F528" s="379"/>
      <c r="G528" s="383"/>
      <c r="H528" s="379"/>
      <c r="I528" s="379"/>
      <c r="J528" s="379"/>
      <c r="K528" s="379"/>
      <c r="L528" s="379"/>
      <c r="M528" s="379"/>
      <c r="N528" s="379"/>
      <c r="O528" s="379"/>
      <c r="P528" s="379"/>
      <c r="Q528" s="379"/>
      <c r="R528" s="379"/>
      <c r="S528" s="379"/>
      <c r="T528" s="379"/>
      <c r="U528" s="379"/>
      <c r="V528" s="380">
        <f>SUBTOTAL(9,V480:V527)</f>
        <v>3703609.1500000018</v>
      </c>
      <c r="W528" s="381">
        <f>SUBTOTAL(9,W480:W527)</f>
        <v>325.57000000000011</v>
      </c>
      <c r="X528" s="379"/>
      <c r="Y528" s="379"/>
      <c r="Z528" s="379"/>
      <c r="AA528" s="379"/>
      <c r="AB528" s="380">
        <f>SUBTOTAL(9,AB480:AB527)</f>
        <v>27.130833333333328</v>
      </c>
    </row>
    <row r="529" spans="1:28" outlineLevel="2" x14ac:dyDescent="0.3">
      <c r="A529" s="379">
        <v>432</v>
      </c>
      <c r="B529" s="379">
        <v>813600</v>
      </c>
      <c r="C529" s="379" t="s">
        <v>595</v>
      </c>
      <c r="D529" s="379">
        <v>7927694</v>
      </c>
      <c r="E529" s="379" t="s">
        <v>2442</v>
      </c>
      <c r="F529" s="379" t="s">
        <v>2913</v>
      </c>
      <c r="G529" s="383">
        <v>38018</v>
      </c>
      <c r="H529" s="379">
        <v>1585</v>
      </c>
      <c r="I529" s="379">
        <v>7.61</v>
      </c>
      <c r="J529" s="379"/>
      <c r="K529" s="379">
        <v>118.9</v>
      </c>
      <c r="L529" s="379"/>
      <c r="M529" s="379"/>
      <c r="N529" s="379"/>
      <c r="O529" s="379">
        <v>1500</v>
      </c>
      <c r="P529" s="379"/>
      <c r="Q529" s="379">
        <v>85</v>
      </c>
      <c r="R529" s="379"/>
      <c r="S529" s="379"/>
      <c r="T529" s="379"/>
      <c r="U529" s="379"/>
      <c r="V529" s="380">
        <v>1711.51</v>
      </c>
      <c r="W529" s="381"/>
      <c r="X529" s="379"/>
      <c r="Y529" s="379"/>
      <c r="Z529" s="379">
        <v>9992001</v>
      </c>
      <c r="AA529" s="379" t="s">
        <v>2914</v>
      </c>
      <c r="AB529" s="380">
        <f t="shared" si="7"/>
        <v>0</v>
      </c>
    </row>
    <row r="530" spans="1:28" outlineLevel="2" x14ac:dyDescent="0.3">
      <c r="A530" s="379">
        <v>654</v>
      </c>
      <c r="B530" s="379">
        <v>813600</v>
      </c>
      <c r="C530" s="379" t="s">
        <v>2915</v>
      </c>
      <c r="D530" s="379">
        <v>2244464</v>
      </c>
      <c r="E530" s="379" t="s">
        <v>2916</v>
      </c>
      <c r="F530" s="379" t="s">
        <v>2808</v>
      </c>
      <c r="G530" s="383">
        <v>43009</v>
      </c>
      <c r="H530" s="379">
        <v>12138.12</v>
      </c>
      <c r="I530" s="379">
        <v>430.89</v>
      </c>
      <c r="J530" s="379">
        <v>2439.36</v>
      </c>
      <c r="K530" s="379">
        <v>910.4</v>
      </c>
      <c r="L530" s="379"/>
      <c r="M530" s="379">
        <v>31.7</v>
      </c>
      <c r="N530" s="379"/>
      <c r="O530" s="379">
        <v>11363.58</v>
      </c>
      <c r="P530" s="379">
        <v>252.4</v>
      </c>
      <c r="Q530" s="379">
        <v>522.14</v>
      </c>
      <c r="R530" s="379"/>
      <c r="S530" s="379"/>
      <c r="T530" s="379"/>
      <c r="U530" s="379"/>
      <c r="V530" s="380">
        <v>15950.47</v>
      </c>
      <c r="W530" s="381">
        <v>2.0609999999999999</v>
      </c>
      <c r="X530" s="379"/>
      <c r="Y530" s="379"/>
      <c r="Z530" s="379">
        <v>5302001</v>
      </c>
      <c r="AA530" s="379" t="s">
        <v>2367</v>
      </c>
      <c r="AB530" s="380">
        <f t="shared" si="7"/>
        <v>0.17174999999999999</v>
      </c>
    </row>
    <row r="531" spans="1:28" outlineLevel="2" x14ac:dyDescent="0.3">
      <c r="A531" s="379">
        <v>654</v>
      </c>
      <c r="B531" s="379">
        <v>813600</v>
      </c>
      <c r="C531" s="379" t="s">
        <v>2915</v>
      </c>
      <c r="D531" s="379">
        <v>2468302</v>
      </c>
      <c r="E531" s="379" t="s">
        <v>2457</v>
      </c>
      <c r="F531" s="379" t="s">
        <v>2917</v>
      </c>
      <c r="G531" s="383">
        <v>42036</v>
      </c>
      <c r="H531" s="379">
        <v>75804.990000000005</v>
      </c>
      <c r="I531" s="379">
        <v>2848.09</v>
      </c>
      <c r="J531" s="379">
        <v>14187.06</v>
      </c>
      <c r="K531" s="379">
        <v>5722.6</v>
      </c>
      <c r="L531" s="379"/>
      <c r="M531" s="379">
        <v>283.10000000000002</v>
      </c>
      <c r="N531" s="379"/>
      <c r="O531" s="379">
        <v>70806.19</v>
      </c>
      <c r="P531" s="379"/>
      <c r="Q531" s="379">
        <v>2079.6</v>
      </c>
      <c r="R531" s="379"/>
      <c r="S531" s="379">
        <v>1562.2</v>
      </c>
      <c r="T531" s="379">
        <v>1357</v>
      </c>
      <c r="U531" s="379"/>
      <c r="V531" s="380">
        <v>98845.84</v>
      </c>
      <c r="W531" s="381">
        <v>12</v>
      </c>
      <c r="X531" s="379"/>
      <c r="Y531" s="379"/>
      <c r="Z531" s="379">
        <v>5821001</v>
      </c>
      <c r="AA531" s="379" t="s">
        <v>2427</v>
      </c>
      <c r="AB531" s="380">
        <f t="shared" si="7"/>
        <v>1</v>
      </c>
    </row>
    <row r="532" spans="1:28" outlineLevel="2" x14ac:dyDescent="0.3">
      <c r="A532" s="379">
        <v>654</v>
      </c>
      <c r="B532" s="379">
        <v>813600</v>
      </c>
      <c r="C532" s="379" t="s">
        <v>2915</v>
      </c>
      <c r="D532" s="379">
        <v>2888263</v>
      </c>
      <c r="E532" s="379" t="s">
        <v>2585</v>
      </c>
      <c r="F532" s="379" t="s">
        <v>2662</v>
      </c>
      <c r="G532" s="383">
        <v>42005</v>
      </c>
      <c r="H532" s="379">
        <v>81902.44</v>
      </c>
      <c r="I532" s="379">
        <v>3263.62</v>
      </c>
      <c r="J532" s="379">
        <v>15770.68</v>
      </c>
      <c r="K532" s="379">
        <v>6179.9</v>
      </c>
      <c r="L532" s="379"/>
      <c r="M532" s="379">
        <v>276.85000000000002</v>
      </c>
      <c r="N532" s="379"/>
      <c r="O532" s="379">
        <v>69195.240000000005</v>
      </c>
      <c r="P532" s="379"/>
      <c r="Q532" s="379">
        <v>2517.6</v>
      </c>
      <c r="R532" s="379"/>
      <c r="S532" s="379">
        <v>4761.6000000000004</v>
      </c>
      <c r="T532" s="379">
        <v>5428</v>
      </c>
      <c r="U532" s="379"/>
      <c r="V532" s="380">
        <v>107393.49</v>
      </c>
      <c r="W532" s="381">
        <v>12</v>
      </c>
      <c r="X532" s="379">
        <v>13</v>
      </c>
      <c r="Y532" s="379" t="s">
        <v>2863</v>
      </c>
      <c r="Z532" s="379">
        <v>5821001</v>
      </c>
      <c r="AA532" s="379" t="s">
        <v>2427</v>
      </c>
      <c r="AB532" s="380">
        <f t="shared" si="7"/>
        <v>1</v>
      </c>
    </row>
    <row r="533" spans="1:28" outlineLevel="2" x14ac:dyDescent="0.3">
      <c r="A533" s="379">
        <v>654</v>
      </c>
      <c r="B533" s="379">
        <v>813600</v>
      </c>
      <c r="C533" s="379" t="s">
        <v>2915</v>
      </c>
      <c r="D533" s="379">
        <v>2974226</v>
      </c>
      <c r="E533" s="379" t="s">
        <v>2318</v>
      </c>
      <c r="F533" s="379" t="s">
        <v>2733</v>
      </c>
      <c r="G533" s="383">
        <v>42705</v>
      </c>
      <c r="H533" s="379">
        <v>40351.32</v>
      </c>
      <c r="I533" s="379">
        <v>1450.09</v>
      </c>
      <c r="J533" s="379">
        <v>7918.34</v>
      </c>
      <c r="K533" s="379">
        <v>3063.45</v>
      </c>
      <c r="L533" s="379"/>
      <c r="M533" s="379">
        <v>148.4</v>
      </c>
      <c r="N533" s="379"/>
      <c r="O533" s="379">
        <v>37084.28</v>
      </c>
      <c r="P533" s="379"/>
      <c r="Q533" s="379">
        <v>1899.18</v>
      </c>
      <c r="R533" s="379"/>
      <c r="S533" s="379"/>
      <c r="T533" s="379">
        <v>1367.86</v>
      </c>
      <c r="U533" s="379"/>
      <c r="V533" s="380">
        <v>52931.6</v>
      </c>
      <c r="W533" s="381">
        <v>6.3</v>
      </c>
      <c r="X533" s="379"/>
      <c r="Y533" s="379"/>
      <c r="Z533" s="379">
        <v>1422001</v>
      </c>
      <c r="AA533" s="379" t="s">
        <v>2648</v>
      </c>
      <c r="AB533" s="380">
        <f t="shared" si="7"/>
        <v>0.52500000000000002</v>
      </c>
    </row>
    <row r="534" spans="1:28" outlineLevel="2" x14ac:dyDescent="0.3">
      <c r="A534" s="379">
        <v>654</v>
      </c>
      <c r="B534" s="379">
        <v>813600</v>
      </c>
      <c r="C534" s="379" t="s">
        <v>2915</v>
      </c>
      <c r="D534" s="379">
        <v>5618680</v>
      </c>
      <c r="E534" s="379" t="s">
        <v>2538</v>
      </c>
      <c r="F534" s="379" t="s">
        <v>2717</v>
      </c>
      <c r="G534" s="383">
        <v>37681</v>
      </c>
      <c r="H534" s="379">
        <v>86663.98</v>
      </c>
      <c r="I534" s="379">
        <v>3625.54</v>
      </c>
      <c r="J534" s="379">
        <v>6882.54</v>
      </c>
      <c r="K534" s="379">
        <v>6537.1</v>
      </c>
      <c r="L534" s="379"/>
      <c r="M534" s="379">
        <v>307.8</v>
      </c>
      <c r="N534" s="379"/>
      <c r="O534" s="379">
        <v>76952.78</v>
      </c>
      <c r="P534" s="379"/>
      <c r="Q534" s="379">
        <v>2809.2</v>
      </c>
      <c r="R534" s="379"/>
      <c r="S534" s="379"/>
      <c r="T534" s="379">
        <v>6902</v>
      </c>
      <c r="U534" s="379"/>
      <c r="V534" s="380">
        <v>104016.96000000001</v>
      </c>
      <c r="W534" s="381">
        <v>12</v>
      </c>
      <c r="X534" s="379">
        <v>110</v>
      </c>
      <c r="Y534" s="379" t="s">
        <v>2918</v>
      </c>
      <c r="Z534" s="379">
        <v>5931001</v>
      </c>
      <c r="AA534" s="379" t="s">
        <v>2320</v>
      </c>
      <c r="AB534" s="380">
        <f t="shared" si="7"/>
        <v>1</v>
      </c>
    </row>
    <row r="535" spans="1:28" outlineLevel="2" x14ac:dyDescent="0.3">
      <c r="A535" s="379">
        <v>654</v>
      </c>
      <c r="B535" s="379">
        <v>813600</v>
      </c>
      <c r="C535" s="379" t="s">
        <v>2915</v>
      </c>
      <c r="D535" s="379">
        <v>31224188</v>
      </c>
      <c r="E535" s="379" t="s">
        <v>2332</v>
      </c>
      <c r="F535" s="379" t="s">
        <v>2919</v>
      </c>
      <c r="G535" s="383">
        <v>43556</v>
      </c>
      <c r="H535" s="379">
        <v>3350</v>
      </c>
      <c r="I535" s="379">
        <v>118.92</v>
      </c>
      <c r="J535" s="379">
        <v>429.31</v>
      </c>
      <c r="K535" s="379">
        <v>251.35</v>
      </c>
      <c r="L535" s="379"/>
      <c r="M535" s="379"/>
      <c r="N535" s="379"/>
      <c r="O535" s="379"/>
      <c r="P535" s="379">
        <v>3180</v>
      </c>
      <c r="Q535" s="379">
        <v>170</v>
      </c>
      <c r="R535" s="379"/>
      <c r="S535" s="379"/>
      <c r="T535" s="379"/>
      <c r="U535" s="379"/>
      <c r="V535" s="380">
        <v>4149.58</v>
      </c>
      <c r="W535" s="381"/>
      <c r="X535" s="379"/>
      <c r="Y535" s="379"/>
      <c r="Z535" s="379">
        <v>953001</v>
      </c>
      <c r="AA535" s="379" t="s">
        <v>2902</v>
      </c>
      <c r="AB535" s="380">
        <f t="shared" si="7"/>
        <v>0</v>
      </c>
    </row>
    <row r="536" spans="1:28" outlineLevel="1" x14ac:dyDescent="0.3">
      <c r="A536" s="379"/>
      <c r="B536" s="384" t="s">
        <v>2920</v>
      </c>
      <c r="C536" s="379"/>
      <c r="D536" s="379"/>
      <c r="E536" s="379"/>
      <c r="F536" s="379"/>
      <c r="G536" s="383"/>
      <c r="H536" s="379"/>
      <c r="I536" s="379"/>
      <c r="J536" s="379"/>
      <c r="K536" s="379"/>
      <c r="L536" s="379"/>
      <c r="M536" s="379"/>
      <c r="N536" s="379"/>
      <c r="O536" s="379"/>
      <c r="P536" s="379"/>
      <c r="Q536" s="379"/>
      <c r="R536" s="379"/>
      <c r="S536" s="379"/>
      <c r="T536" s="379"/>
      <c r="U536" s="379"/>
      <c r="V536" s="380">
        <f>SUBTOTAL(9,V529:V535)</f>
        <v>384999.45</v>
      </c>
      <c r="W536" s="381">
        <f>SUBTOTAL(9,W529:W535)</f>
        <v>44.360999999999997</v>
      </c>
      <c r="X536" s="379"/>
      <c r="Y536" s="379"/>
      <c r="Z536" s="379"/>
      <c r="AA536" s="379"/>
      <c r="AB536" s="380">
        <f>SUBTOTAL(9,AB529:AB535)</f>
        <v>3.6967500000000002</v>
      </c>
    </row>
    <row r="537" spans="1:28" outlineLevel="2" x14ac:dyDescent="0.3">
      <c r="A537" s="379">
        <v>654</v>
      </c>
      <c r="B537" s="379">
        <v>813700</v>
      </c>
      <c r="C537" s="379" t="s">
        <v>2921</v>
      </c>
      <c r="D537" s="379">
        <v>2200401</v>
      </c>
      <c r="E537" s="379" t="s">
        <v>2922</v>
      </c>
      <c r="F537" s="379" t="s">
        <v>2349</v>
      </c>
      <c r="G537" s="383">
        <v>43435</v>
      </c>
      <c r="H537" s="379">
        <v>1799.24</v>
      </c>
      <c r="I537" s="379">
        <v>63.89</v>
      </c>
      <c r="J537" s="379">
        <v>221.44</v>
      </c>
      <c r="K537" s="379">
        <v>134.94999999999999</v>
      </c>
      <c r="L537" s="379"/>
      <c r="M537" s="379">
        <v>6.56</v>
      </c>
      <c r="N537" s="379"/>
      <c r="O537" s="379">
        <v>1640.25</v>
      </c>
      <c r="P537" s="379"/>
      <c r="Q537" s="379">
        <v>158.99</v>
      </c>
      <c r="R537" s="379"/>
      <c r="S537" s="379"/>
      <c r="T537" s="379"/>
      <c r="U537" s="379"/>
      <c r="V537" s="380">
        <v>2226.08</v>
      </c>
      <c r="W537" s="381">
        <v>0.27400000000000002</v>
      </c>
      <c r="X537" s="379"/>
      <c r="Y537" s="379"/>
      <c r="Z537" s="379">
        <v>5923001</v>
      </c>
      <c r="AA537" s="379" t="s">
        <v>2354</v>
      </c>
      <c r="AB537" s="380">
        <f t="shared" si="7"/>
        <v>2.2833333333333334E-2</v>
      </c>
    </row>
    <row r="538" spans="1:28" outlineLevel="2" x14ac:dyDescent="0.3">
      <c r="A538" s="379">
        <v>654</v>
      </c>
      <c r="B538" s="379">
        <v>813700</v>
      </c>
      <c r="C538" s="379" t="s">
        <v>2921</v>
      </c>
      <c r="D538" s="379">
        <v>2244221</v>
      </c>
      <c r="E538" s="379" t="s">
        <v>2923</v>
      </c>
      <c r="F538" s="379" t="s">
        <v>2924</v>
      </c>
      <c r="G538" s="383">
        <v>43132</v>
      </c>
      <c r="H538" s="379">
        <v>37036.370000000003</v>
      </c>
      <c r="I538" s="379">
        <v>1592.6</v>
      </c>
      <c r="J538" s="379">
        <v>5368.48</v>
      </c>
      <c r="K538" s="379">
        <v>2814.75</v>
      </c>
      <c r="L538" s="379"/>
      <c r="M538" s="379">
        <v>144.35</v>
      </c>
      <c r="N538" s="379"/>
      <c r="O538" s="379">
        <v>32530.83</v>
      </c>
      <c r="P538" s="379">
        <v>3561.45</v>
      </c>
      <c r="Q538" s="379">
        <v>944.09</v>
      </c>
      <c r="R538" s="379"/>
      <c r="S538" s="379"/>
      <c r="T538" s="379"/>
      <c r="U538" s="379"/>
      <c r="V538" s="380">
        <v>46956.55</v>
      </c>
      <c r="W538" s="381">
        <v>4.6070000000000002</v>
      </c>
      <c r="X538" s="379"/>
      <c r="Y538" s="379"/>
      <c r="Z538" s="379">
        <v>5911001</v>
      </c>
      <c r="AA538" s="379" t="s">
        <v>2925</v>
      </c>
      <c r="AB538" s="380">
        <f t="shared" si="7"/>
        <v>0.38391666666666668</v>
      </c>
    </row>
    <row r="539" spans="1:28" outlineLevel="2" x14ac:dyDescent="0.3">
      <c r="A539" s="379">
        <v>654</v>
      </c>
      <c r="B539" s="379">
        <v>813700</v>
      </c>
      <c r="C539" s="379" t="s">
        <v>2921</v>
      </c>
      <c r="D539" s="379">
        <v>2391375</v>
      </c>
      <c r="E539" s="379" t="s">
        <v>2802</v>
      </c>
      <c r="F539" s="379" t="s">
        <v>2478</v>
      </c>
      <c r="G539" s="383">
        <v>41883</v>
      </c>
      <c r="H539" s="379">
        <v>8668.34</v>
      </c>
      <c r="I539" s="379">
        <v>323.93</v>
      </c>
      <c r="J539" s="379">
        <v>1626.7</v>
      </c>
      <c r="K539" s="379">
        <v>650.12</v>
      </c>
      <c r="L539" s="379"/>
      <c r="M539" s="379">
        <v>32.549999999999997</v>
      </c>
      <c r="N539" s="379"/>
      <c r="O539" s="379">
        <v>7458.04</v>
      </c>
      <c r="P539" s="379">
        <v>1003.18</v>
      </c>
      <c r="Q539" s="379">
        <v>207.12</v>
      </c>
      <c r="R539" s="379"/>
      <c r="S539" s="379"/>
      <c r="T539" s="379"/>
      <c r="U539" s="379"/>
      <c r="V539" s="380">
        <v>11301.64</v>
      </c>
      <c r="W539" s="381">
        <v>1.196</v>
      </c>
      <c r="X539" s="379"/>
      <c r="Y539" s="379"/>
      <c r="Z539" s="379">
        <v>5302002</v>
      </c>
      <c r="AA539" s="379" t="s">
        <v>2467</v>
      </c>
      <c r="AB539" s="380">
        <f t="shared" si="7"/>
        <v>9.9666666666666667E-2</v>
      </c>
    </row>
    <row r="540" spans="1:28" outlineLevel="2" x14ac:dyDescent="0.3">
      <c r="A540" s="379">
        <v>654</v>
      </c>
      <c r="B540" s="379">
        <v>813700</v>
      </c>
      <c r="C540" s="379" t="s">
        <v>2921</v>
      </c>
      <c r="D540" s="379">
        <v>3634364</v>
      </c>
      <c r="E540" s="379" t="s">
        <v>2462</v>
      </c>
      <c r="F540" s="379" t="s">
        <v>2463</v>
      </c>
      <c r="G540" s="383">
        <v>41760</v>
      </c>
      <c r="H540" s="379">
        <v>24005.19</v>
      </c>
      <c r="I540" s="379">
        <v>1073.93</v>
      </c>
      <c r="J540" s="379">
        <v>4933.97</v>
      </c>
      <c r="K540" s="379">
        <v>1800.4</v>
      </c>
      <c r="L540" s="379"/>
      <c r="M540" s="379">
        <v>76.849999999999994</v>
      </c>
      <c r="N540" s="379"/>
      <c r="O540" s="379">
        <v>17817.21</v>
      </c>
      <c r="P540" s="379">
        <v>1391.68</v>
      </c>
      <c r="Q540" s="379">
        <v>702.3</v>
      </c>
      <c r="R540" s="379"/>
      <c r="S540" s="379"/>
      <c r="T540" s="379">
        <v>4094</v>
      </c>
      <c r="U540" s="379"/>
      <c r="V540" s="380">
        <v>31890.34</v>
      </c>
      <c r="W540" s="381">
        <v>3</v>
      </c>
      <c r="X540" s="379"/>
      <c r="Y540" s="379"/>
      <c r="Z540" s="379">
        <v>5302002</v>
      </c>
      <c r="AA540" s="379" t="s">
        <v>2467</v>
      </c>
      <c r="AB540" s="380">
        <f t="shared" si="7"/>
        <v>0.25</v>
      </c>
    </row>
    <row r="541" spans="1:28" outlineLevel="2" x14ac:dyDescent="0.3">
      <c r="A541" s="379">
        <v>654</v>
      </c>
      <c r="B541" s="379">
        <v>813700</v>
      </c>
      <c r="C541" s="379" t="s">
        <v>2921</v>
      </c>
      <c r="D541" s="379">
        <v>3827864</v>
      </c>
      <c r="E541" s="379" t="s">
        <v>2926</v>
      </c>
      <c r="F541" s="379" t="s">
        <v>2864</v>
      </c>
      <c r="G541" s="383">
        <v>41153</v>
      </c>
      <c r="H541" s="379">
        <v>44869.97</v>
      </c>
      <c r="I541" s="379">
        <v>1610.49</v>
      </c>
      <c r="J541" s="379">
        <v>8993.1200000000008</v>
      </c>
      <c r="K541" s="379">
        <v>3402.4</v>
      </c>
      <c r="L541" s="379"/>
      <c r="M541" s="379">
        <v>149.75</v>
      </c>
      <c r="N541" s="379"/>
      <c r="O541" s="379">
        <v>37443.370000000003</v>
      </c>
      <c r="P541" s="379"/>
      <c r="Q541" s="379">
        <v>2517.6</v>
      </c>
      <c r="R541" s="379"/>
      <c r="S541" s="379"/>
      <c r="T541" s="379">
        <v>3019</v>
      </c>
      <c r="U541" s="379">
        <v>1890</v>
      </c>
      <c r="V541" s="380">
        <v>59025.73</v>
      </c>
      <c r="W541" s="381">
        <v>6</v>
      </c>
      <c r="X541" s="379"/>
      <c r="Y541" s="379"/>
      <c r="Z541" s="379">
        <v>3202003</v>
      </c>
      <c r="AA541" s="379" t="s">
        <v>2317</v>
      </c>
      <c r="AB541" s="380">
        <f t="shared" si="7"/>
        <v>0.5</v>
      </c>
    </row>
    <row r="542" spans="1:28" outlineLevel="2" x14ac:dyDescent="0.3">
      <c r="A542" s="379">
        <v>654</v>
      </c>
      <c r="B542" s="379">
        <v>813700</v>
      </c>
      <c r="C542" s="379" t="s">
        <v>2921</v>
      </c>
      <c r="D542" s="379">
        <v>5618617</v>
      </c>
      <c r="E542" s="379" t="s">
        <v>2927</v>
      </c>
      <c r="F542" s="379" t="s">
        <v>2361</v>
      </c>
      <c r="G542" s="383">
        <v>35370</v>
      </c>
      <c r="H542" s="379">
        <v>-7.2</v>
      </c>
      <c r="I542" s="379">
        <v>-0.26</v>
      </c>
      <c r="J542" s="379">
        <v>-1.5</v>
      </c>
      <c r="K542" s="379">
        <v>-0.54</v>
      </c>
      <c r="L542" s="379"/>
      <c r="M542" s="379">
        <v>-0.02</v>
      </c>
      <c r="N542" s="379"/>
      <c r="O542" s="379">
        <v>-7.2</v>
      </c>
      <c r="P542" s="379"/>
      <c r="Q542" s="379"/>
      <c r="R542" s="379"/>
      <c r="S542" s="379"/>
      <c r="T542" s="379"/>
      <c r="U542" s="379"/>
      <c r="V542" s="380">
        <v>-9.52</v>
      </c>
      <c r="W542" s="381"/>
      <c r="X542" s="379">
        <v>12107</v>
      </c>
      <c r="Y542" s="379" t="s">
        <v>2801</v>
      </c>
      <c r="Z542" s="379">
        <v>1422001</v>
      </c>
      <c r="AA542" s="379" t="s">
        <v>2648</v>
      </c>
      <c r="AB542" s="380">
        <f t="shared" si="7"/>
        <v>0</v>
      </c>
    </row>
    <row r="543" spans="1:28" outlineLevel="2" x14ac:dyDescent="0.3">
      <c r="A543" s="379">
        <v>654</v>
      </c>
      <c r="B543" s="379">
        <v>813700</v>
      </c>
      <c r="C543" s="379" t="s">
        <v>2921</v>
      </c>
      <c r="D543" s="379">
        <v>6268148</v>
      </c>
      <c r="E543" s="379" t="s">
        <v>2928</v>
      </c>
      <c r="F543" s="379" t="s">
        <v>2929</v>
      </c>
      <c r="G543" s="383">
        <v>37226</v>
      </c>
      <c r="H543" s="379">
        <v>48419.27</v>
      </c>
      <c r="I543" s="379">
        <v>233.5</v>
      </c>
      <c r="J543" s="379">
        <v>10247.870000000001</v>
      </c>
      <c r="K543" s="379">
        <v>3668.6</v>
      </c>
      <c r="L543" s="379"/>
      <c r="M543" s="379">
        <v>168.5</v>
      </c>
      <c r="N543" s="379"/>
      <c r="O543" s="379">
        <v>40465.72</v>
      </c>
      <c r="P543" s="379">
        <v>177.95</v>
      </c>
      <c r="Q543" s="379">
        <v>4197.6000000000004</v>
      </c>
      <c r="R543" s="379"/>
      <c r="S543" s="379"/>
      <c r="T543" s="379">
        <v>3578</v>
      </c>
      <c r="U543" s="379"/>
      <c r="V543" s="380">
        <v>62737.74</v>
      </c>
      <c r="W543" s="381">
        <v>6</v>
      </c>
      <c r="X543" s="379">
        <v>1</v>
      </c>
      <c r="Y543" s="379" t="s">
        <v>2353</v>
      </c>
      <c r="Z543" s="379">
        <v>5923001</v>
      </c>
      <c r="AA543" s="379" t="s">
        <v>2354</v>
      </c>
      <c r="AB543" s="380">
        <f t="shared" si="7"/>
        <v>0.5</v>
      </c>
    </row>
    <row r="544" spans="1:28" outlineLevel="2" x14ac:dyDescent="0.3">
      <c r="A544" s="379">
        <v>654</v>
      </c>
      <c r="B544" s="379">
        <v>813700</v>
      </c>
      <c r="C544" s="379" t="s">
        <v>2921</v>
      </c>
      <c r="D544" s="379">
        <v>6777597</v>
      </c>
      <c r="E544" s="379" t="s">
        <v>2384</v>
      </c>
      <c r="F544" s="379" t="s">
        <v>2385</v>
      </c>
      <c r="G544" s="383">
        <v>42278</v>
      </c>
      <c r="H544" s="379">
        <v>1416</v>
      </c>
      <c r="I544" s="379">
        <v>50.26</v>
      </c>
      <c r="J544" s="379">
        <v>191.15</v>
      </c>
      <c r="K544" s="379">
        <v>106.19</v>
      </c>
      <c r="L544" s="379"/>
      <c r="M544" s="379"/>
      <c r="N544" s="379"/>
      <c r="O544" s="379"/>
      <c r="P544" s="379">
        <v>1416</v>
      </c>
      <c r="Q544" s="379"/>
      <c r="R544" s="379"/>
      <c r="S544" s="379"/>
      <c r="T544" s="379"/>
      <c r="U544" s="379"/>
      <c r="V544" s="380">
        <v>1763.6</v>
      </c>
      <c r="W544" s="381"/>
      <c r="X544" s="379">
        <v>1</v>
      </c>
      <c r="Y544" s="379" t="s">
        <v>2353</v>
      </c>
      <c r="Z544" s="379">
        <v>5923001</v>
      </c>
      <c r="AA544" s="379" t="s">
        <v>2354</v>
      </c>
      <c r="AB544" s="380">
        <f t="shared" si="7"/>
        <v>0</v>
      </c>
    </row>
    <row r="545" spans="1:28" outlineLevel="2" x14ac:dyDescent="0.3">
      <c r="A545" s="379">
        <v>654</v>
      </c>
      <c r="B545" s="379">
        <v>813700</v>
      </c>
      <c r="C545" s="379" t="s">
        <v>2921</v>
      </c>
      <c r="D545" s="379">
        <v>30296697</v>
      </c>
      <c r="E545" s="379" t="s">
        <v>2923</v>
      </c>
      <c r="F545" s="379" t="s">
        <v>2930</v>
      </c>
      <c r="G545" s="383">
        <v>43709</v>
      </c>
      <c r="H545" s="379">
        <v>30867.75</v>
      </c>
      <c r="I545" s="379">
        <v>1347.37</v>
      </c>
      <c r="J545" s="379">
        <v>3957.46</v>
      </c>
      <c r="K545" s="379">
        <v>2315.0500000000002</v>
      </c>
      <c r="L545" s="379"/>
      <c r="M545" s="379">
        <v>117.2</v>
      </c>
      <c r="N545" s="379"/>
      <c r="O545" s="379">
        <v>24803.52</v>
      </c>
      <c r="P545" s="379">
        <v>4510.87</v>
      </c>
      <c r="Q545" s="379">
        <v>766.12</v>
      </c>
      <c r="R545" s="379">
        <v>787.24</v>
      </c>
      <c r="S545" s="379"/>
      <c r="T545" s="379"/>
      <c r="U545" s="379"/>
      <c r="V545" s="380">
        <v>38604.83</v>
      </c>
      <c r="W545" s="381">
        <v>4</v>
      </c>
      <c r="X545" s="379"/>
      <c r="Y545" s="379"/>
      <c r="Z545" s="379">
        <v>5302002</v>
      </c>
      <c r="AA545" s="379" t="s">
        <v>2467</v>
      </c>
      <c r="AB545" s="380">
        <f t="shared" si="7"/>
        <v>0.33333333333333331</v>
      </c>
    </row>
    <row r="546" spans="1:28" outlineLevel="1" x14ac:dyDescent="0.3">
      <c r="A546" s="379"/>
      <c r="B546" s="384" t="s">
        <v>2931</v>
      </c>
      <c r="C546" s="379"/>
      <c r="D546" s="379"/>
      <c r="E546" s="379"/>
      <c r="F546" s="379"/>
      <c r="G546" s="383"/>
      <c r="H546" s="379"/>
      <c r="I546" s="379"/>
      <c r="J546" s="379"/>
      <c r="K546" s="379"/>
      <c r="L546" s="379"/>
      <c r="M546" s="379"/>
      <c r="N546" s="379"/>
      <c r="O546" s="379"/>
      <c r="P546" s="379"/>
      <c r="Q546" s="379"/>
      <c r="R546" s="379"/>
      <c r="S546" s="379"/>
      <c r="T546" s="379"/>
      <c r="U546" s="379"/>
      <c r="V546" s="380">
        <f>SUBTOTAL(9,V537:V545)</f>
        <v>254496.99</v>
      </c>
      <c r="W546" s="381">
        <f>SUBTOTAL(9,W537:W545)</f>
        <v>25.076999999999998</v>
      </c>
      <c r="X546" s="379"/>
      <c r="Y546" s="379"/>
      <c r="Z546" s="379"/>
      <c r="AA546" s="379"/>
      <c r="AB546" s="380">
        <f>SUBTOTAL(9,AB537:AB545)</f>
        <v>2.08975</v>
      </c>
    </row>
    <row r="547" spans="1:28" outlineLevel="2" x14ac:dyDescent="0.3">
      <c r="A547" s="379">
        <v>654</v>
      </c>
      <c r="B547" s="379">
        <v>813810</v>
      </c>
      <c r="C547" s="379" t="s">
        <v>2932</v>
      </c>
      <c r="D547" s="379">
        <v>2200370</v>
      </c>
      <c r="E547" s="379" t="s">
        <v>2757</v>
      </c>
      <c r="F547" s="379" t="s">
        <v>2758</v>
      </c>
      <c r="G547" s="383">
        <v>42095</v>
      </c>
      <c r="H547" s="379">
        <v>1672</v>
      </c>
      <c r="I547" s="379">
        <v>75.62</v>
      </c>
      <c r="J547" s="379">
        <v>164.63</v>
      </c>
      <c r="K547" s="379">
        <v>125.4</v>
      </c>
      <c r="L547" s="379"/>
      <c r="M547" s="379">
        <v>3.13</v>
      </c>
      <c r="N547" s="379"/>
      <c r="O547" s="379">
        <v>1672</v>
      </c>
      <c r="P547" s="379"/>
      <c r="Q547" s="379"/>
      <c r="R547" s="379"/>
      <c r="S547" s="379"/>
      <c r="T547" s="379"/>
      <c r="U547" s="379"/>
      <c r="V547" s="380">
        <v>2040.78</v>
      </c>
      <c r="W547" s="381"/>
      <c r="X547" s="379"/>
      <c r="Y547" s="379"/>
      <c r="Z547" s="379">
        <v>5821001</v>
      </c>
      <c r="AA547" s="379" t="s">
        <v>2427</v>
      </c>
      <c r="AB547" s="380">
        <f t="shared" si="7"/>
        <v>0</v>
      </c>
    </row>
    <row r="548" spans="1:28" outlineLevel="2" x14ac:dyDescent="0.3">
      <c r="A548" s="379">
        <v>654</v>
      </c>
      <c r="B548" s="379">
        <v>813810</v>
      </c>
      <c r="C548" s="379" t="s">
        <v>2932</v>
      </c>
      <c r="D548" s="379">
        <v>2232651</v>
      </c>
      <c r="E548" s="379" t="s">
        <v>2384</v>
      </c>
      <c r="F548" s="379" t="s">
        <v>2327</v>
      </c>
      <c r="G548" s="383">
        <v>41944</v>
      </c>
      <c r="H548" s="379">
        <v>1110</v>
      </c>
      <c r="I548" s="379">
        <v>42.47</v>
      </c>
      <c r="J548" s="379"/>
      <c r="K548" s="379">
        <v>83.24</v>
      </c>
      <c r="L548" s="379"/>
      <c r="M548" s="379"/>
      <c r="N548" s="379"/>
      <c r="O548" s="379">
        <v>1110</v>
      </c>
      <c r="P548" s="379"/>
      <c r="Q548" s="379"/>
      <c r="R548" s="379"/>
      <c r="S548" s="379"/>
      <c r="T548" s="379"/>
      <c r="U548" s="379"/>
      <c r="V548" s="380">
        <v>1235.71</v>
      </c>
      <c r="W548" s="381"/>
      <c r="X548" s="379"/>
      <c r="Y548" s="379"/>
      <c r="Z548" s="379">
        <v>5821001</v>
      </c>
      <c r="AA548" s="379" t="s">
        <v>2427</v>
      </c>
      <c r="AB548" s="380">
        <f t="shared" si="7"/>
        <v>0</v>
      </c>
    </row>
    <row r="549" spans="1:28" outlineLevel="2" x14ac:dyDescent="0.3">
      <c r="A549" s="379">
        <v>654</v>
      </c>
      <c r="B549" s="379">
        <v>813810</v>
      </c>
      <c r="C549" s="379" t="s">
        <v>2932</v>
      </c>
      <c r="D549" s="379">
        <v>2304033</v>
      </c>
      <c r="E549" s="379" t="s">
        <v>2303</v>
      </c>
      <c r="F549" s="379" t="s">
        <v>2664</v>
      </c>
      <c r="G549" s="383">
        <v>40057</v>
      </c>
      <c r="H549" s="379">
        <v>1110</v>
      </c>
      <c r="I549" s="379">
        <v>51.59</v>
      </c>
      <c r="J549" s="379"/>
      <c r="K549" s="379">
        <v>83.25</v>
      </c>
      <c r="L549" s="379"/>
      <c r="M549" s="379"/>
      <c r="N549" s="379"/>
      <c r="O549" s="379">
        <v>1110</v>
      </c>
      <c r="P549" s="379"/>
      <c r="Q549" s="379"/>
      <c r="R549" s="379"/>
      <c r="S549" s="379"/>
      <c r="T549" s="379"/>
      <c r="U549" s="379"/>
      <c r="V549" s="380">
        <v>1244.8399999999999</v>
      </c>
      <c r="W549" s="381"/>
      <c r="X549" s="379"/>
      <c r="Y549" s="379"/>
      <c r="Z549" s="379">
        <v>5821001</v>
      </c>
      <c r="AA549" s="379" t="s">
        <v>2427</v>
      </c>
      <c r="AB549" s="380">
        <f t="shared" si="7"/>
        <v>0</v>
      </c>
    </row>
    <row r="550" spans="1:28" outlineLevel="2" x14ac:dyDescent="0.3">
      <c r="A550" s="379">
        <v>654</v>
      </c>
      <c r="B550" s="379">
        <v>813810</v>
      </c>
      <c r="C550" s="379" t="s">
        <v>2932</v>
      </c>
      <c r="D550" s="379">
        <v>2304383</v>
      </c>
      <c r="E550" s="379" t="s">
        <v>2351</v>
      </c>
      <c r="F550" s="379" t="s">
        <v>2717</v>
      </c>
      <c r="G550" s="383">
        <v>42186</v>
      </c>
      <c r="H550" s="379">
        <v>19159</v>
      </c>
      <c r="I550" s="379">
        <v>826.35</v>
      </c>
      <c r="J550" s="379">
        <v>2530.58</v>
      </c>
      <c r="K550" s="379">
        <v>1436.95</v>
      </c>
      <c r="L550" s="379"/>
      <c r="M550" s="379"/>
      <c r="N550" s="379"/>
      <c r="O550" s="379"/>
      <c r="P550" s="379">
        <v>18745</v>
      </c>
      <c r="Q550" s="379">
        <v>414</v>
      </c>
      <c r="R550" s="379"/>
      <c r="S550" s="379"/>
      <c r="T550" s="379"/>
      <c r="U550" s="379"/>
      <c r="V550" s="380">
        <v>23952.880000000001</v>
      </c>
      <c r="W550" s="381"/>
      <c r="X550" s="379"/>
      <c r="Y550" s="379"/>
      <c r="Z550" s="379">
        <v>1041001</v>
      </c>
      <c r="AA550" s="379" t="s">
        <v>2677</v>
      </c>
      <c r="AB550" s="380">
        <f t="shared" si="7"/>
        <v>0</v>
      </c>
    </row>
    <row r="551" spans="1:28" outlineLevel="2" x14ac:dyDescent="0.3">
      <c r="A551" s="379">
        <v>654</v>
      </c>
      <c r="B551" s="379">
        <v>813810</v>
      </c>
      <c r="C551" s="379" t="s">
        <v>2932</v>
      </c>
      <c r="D551" s="379">
        <v>2304394</v>
      </c>
      <c r="E551" s="379" t="s">
        <v>2665</v>
      </c>
      <c r="F551" s="379" t="s">
        <v>2333</v>
      </c>
      <c r="G551" s="383">
        <v>39692</v>
      </c>
      <c r="H551" s="379">
        <v>1110</v>
      </c>
      <c r="I551" s="379">
        <v>54.61</v>
      </c>
      <c r="J551" s="379">
        <v>233.09</v>
      </c>
      <c r="K551" s="379">
        <v>83.25</v>
      </c>
      <c r="L551" s="379"/>
      <c r="M551" s="379">
        <v>4.43</v>
      </c>
      <c r="N551" s="379"/>
      <c r="O551" s="379">
        <v>1110</v>
      </c>
      <c r="P551" s="379"/>
      <c r="Q551" s="379"/>
      <c r="R551" s="379"/>
      <c r="S551" s="379"/>
      <c r="T551" s="379"/>
      <c r="U551" s="379"/>
      <c r="V551" s="380">
        <v>1485.38</v>
      </c>
      <c r="W551" s="381"/>
      <c r="X551" s="379">
        <v>5</v>
      </c>
      <c r="Y551" s="379" t="s">
        <v>2666</v>
      </c>
      <c r="Z551" s="379">
        <v>931001</v>
      </c>
      <c r="AA551" s="379" t="s">
        <v>2667</v>
      </c>
      <c r="AB551" s="380">
        <f t="shared" si="7"/>
        <v>0</v>
      </c>
    </row>
    <row r="552" spans="1:28" outlineLevel="2" x14ac:dyDescent="0.3">
      <c r="A552" s="379">
        <v>654</v>
      </c>
      <c r="B552" s="379">
        <v>813810</v>
      </c>
      <c r="C552" s="379" t="s">
        <v>2932</v>
      </c>
      <c r="D552" s="379">
        <v>2391681</v>
      </c>
      <c r="E552" s="379" t="s">
        <v>2759</v>
      </c>
      <c r="F552" s="379" t="s">
        <v>2358</v>
      </c>
      <c r="G552" s="383">
        <v>41883</v>
      </c>
      <c r="H552" s="379">
        <v>2220</v>
      </c>
      <c r="I552" s="379">
        <v>104.64</v>
      </c>
      <c r="J552" s="379">
        <v>233.09</v>
      </c>
      <c r="K552" s="379">
        <v>166.5</v>
      </c>
      <c r="L552" s="379"/>
      <c r="M552" s="379">
        <v>4.4400000000000004</v>
      </c>
      <c r="N552" s="379"/>
      <c r="O552" s="379">
        <v>2220</v>
      </c>
      <c r="P552" s="379"/>
      <c r="Q552" s="379"/>
      <c r="R552" s="379"/>
      <c r="S552" s="379"/>
      <c r="T552" s="379"/>
      <c r="U552" s="379"/>
      <c r="V552" s="380">
        <v>2728.67</v>
      </c>
      <c r="W552" s="381"/>
      <c r="X552" s="379"/>
      <c r="Y552" s="379"/>
      <c r="Z552" s="379">
        <v>5821001</v>
      </c>
      <c r="AA552" s="379" t="s">
        <v>2427</v>
      </c>
      <c r="AB552" s="380">
        <f t="shared" si="7"/>
        <v>0</v>
      </c>
    </row>
    <row r="553" spans="1:28" outlineLevel="2" x14ac:dyDescent="0.3">
      <c r="A553" s="379">
        <v>654</v>
      </c>
      <c r="B553" s="379">
        <v>813810</v>
      </c>
      <c r="C553" s="379" t="s">
        <v>2932</v>
      </c>
      <c r="D553" s="379">
        <v>2391728</v>
      </c>
      <c r="E553" s="379" t="s">
        <v>2671</v>
      </c>
      <c r="F553" s="379" t="s">
        <v>2672</v>
      </c>
      <c r="G553" s="383">
        <v>39692</v>
      </c>
      <c r="H553" s="379">
        <v>1110</v>
      </c>
      <c r="I553" s="379">
        <v>56.81</v>
      </c>
      <c r="J553" s="379">
        <v>233.08</v>
      </c>
      <c r="K553" s="379">
        <v>83.24</v>
      </c>
      <c r="L553" s="379"/>
      <c r="M553" s="379">
        <v>4.4400000000000004</v>
      </c>
      <c r="N553" s="379"/>
      <c r="O553" s="379">
        <v>1110</v>
      </c>
      <c r="P553" s="379"/>
      <c r="Q553" s="379"/>
      <c r="R553" s="379"/>
      <c r="S553" s="379"/>
      <c r="T553" s="379"/>
      <c r="U553" s="379"/>
      <c r="V553" s="380">
        <v>1487.57</v>
      </c>
      <c r="W553" s="381"/>
      <c r="X553" s="379"/>
      <c r="Y553" s="379"/>
      <c r="Z553" s="379">
        <v>5821001</v>
      </c>
      <c r="AA553" s="379" t="s">
        <v>2427</v>
      </c>
      <c r="AB553" s="380">
        <f t="shared" si="7"/>
        <v>0</v>
      </c>
    </row>
    <row r="554" spans="1:28" outlineLevel="2" x14ac:dyDescent="0.3">
      <c r="A554" s="379">
        <v>654</v>
      </c>
      <c r="B554" s="379">
        <v>813810</v>
      </c>
      <c r="C554" s="379" t="s">
        <v>2932</v>
      </c>
      <c r="D554" s="379">
        <v>2395090</v>
      </c>
      <c r="E554" s="379" t="s">
        <v>2560</v>
      </c>
      <c r="F554" s="379" t="s">
        <v>2379</v>
      </c>
      <c r="G554" s="383">
        <v>42248</v>
      </c>
      <c r="H554" s="379">
        <v>2349</v>
      </c>
      <c r="I554" s="379">
        <v>111.1</v>
      </c>
      <c r="J554" s="379">
        <v>209.78</v>
      </c>
      <c r="K554" s="379">
        <v>176.16</v>
      </c>
      <c r="L554" s="379"/>
      <c r="M554" s="379">
        <v>3.99</v>
      </c>
      <c r="N554" s="379"/>
      <c r="O554" s="379">
        <v>2349</v>
      </c>
      <c r="P554" s="379"/>
      <c r="Q554" s="379"/>
      <c r="R554" s="379"/>
      <c r="S554" s="379"/>
      <c r="T554" s="379"/>
      <c r="U554" s="379"/>
      <c r="V554" s="380">
        <v>2850.03</v>
      </c>
      <c r="W554" s="381"/>
      <c r="X554" s="379">
        <v>5</v>
      </c>
      <c r="Y554" s="379" t="s">
        <v>2666</v>
      </c>
      <c r="Z554" s="379">
        <v>5821001</v>
      </c>
      <c r="AA554" s="379" t="s">
        <v>2427</v>
      </c>
      <c r="AB554" s="380">
        <f t="shared" si="7"/>
        <v>0</v>
      </c>
    </row>
    <row r="555" spans="1:28" outlineLevel="2" x14ac:dyDescent="0.3">
      <c r="A555" s="379">
        <v>654</v>
      </c>
      <c r="B555" s="379">
        <v>813810</v>
      </c>
      <c r="C555" s="379" t="s">
        <v>2932</v>
      </c>
      <c r="D555" s="379">
        <v>2418269</v>
      </c>
      <c r="E555" s="379" t="s">
        <v>2384</v>
      </c>
      <c r="F555" s="379" t="s">
        <v>2673</v>
      </c>
      <c r="G555" s="383">
        <v>42705</v>
      </c>
      <c r="H555" s="379">
        <v>1110</v>
      </c>
      <c r="I555" s="379">
        <v>39.4</v>
      </c>
      <c r="J555" s="379">
        <v>233.09</v>
      </c>
      <c r="K555" s="379">
        <v>83.25</v>
      </c>
      <c r="L555" s="379"/>
      <c r="M555" s="379">
        <v>4.43</v>
      </c>
      <c r="N555" s="379"/>
      <c r="O555" s="379">
        <v>1110</v>
      </c>
      <c r="P555" s="379"/>
      <c r="Q555" s="379"/>
      <c r="R555" s="379"/>
      <c r="S555" s="379"/>
      <c r="T555" s="379"/>
      <c r="U555" s="379"/>
      <c r="V555" s="380">
        <v>1470.17</v>
      </c>
      <c r="W555" s="381"/>
      <c r="X555" s="379"/>
      <c r="Y555" s="379"/>
      <c r="Z555" s="379">
        <v>5821001</v>
      </c>
      <c r="AA555" s="379" t="s">
        <v>2427</v>
      </c>
      <c r="AB555" s="380">
        <f t="shared" si="7"/>
        <v>0</v>
      </c>
    </row>
    <row r="556" spans="1:28" outlineLevel="2" x14ac:dyDescent="0.3">
      <c r="A556" s="379">
        <v>654</v>
      </c>
      <c r="B556" s="379">
        <v>813810</v>
      </c>
      <c r="C556" s="379" t="s">
        <v>2932</v>
      </c>
      <c r="D556" s="379">
        <v>2435066</v>
      </c>
      <c r="E556" s="379" t="s">
        <v>2761</v>
      </c>
      <c r="F556" s="379" t="s">
        <v>2324</v>
      </c>
      <c r="G556" s="383">
        <v>43221</v>
      </c>
      <c r="H556" s="379">
        <v>1110</v>
      </c>
      <c r="I556" s="379">
        <v>39.4</v>
      </c>
      <c r="J556" s="379">
        <v>149.85</v>
      </c>
      <c r="K556" s="379">
        <v>83.25</v>
      </c>
      <c r="L556" s="379"/>
      <c r="M556" s="379"/>
      <c r="N556" s="379"/>
      <c r="O556" s="379">
        <v>1110</v>
      </c>
      <c r="P556" s="379"/>
      <c r="Q556" s="379"/>
      <c r="R556" s="379"/>
      <c r="S556" s="379"/>
      <c r="T556" s="379"/>
      <c r="U556" s="379"/>
      <c r="V556" s="380">
        <v>1382.5</v>
      </c>
      <c r="W556" s="381"/>
      <c r="X556" s="379"/>
      <c r="Y556" s="379"/>
      <c r="Z556" s="379">
        <v>5821001</v>
      </c>
      <c r="AA556" s="379" t="s">
        <v>2427</v>
      </c>
      <c r="AB556" s="380">
        <f t="shared" si="7"/>
        <v>0</v>
      </c>
    </row>
    <row r="557" spans="1:28" outlineLevel="2" x14ac:dyDescent="0.3">
      <c r="A557" s="379">
        <v>654</v>
      </c>
      <c r="B557" s="379">
        <v>813810</v>
      </c>
      <c r="C557" s="379" t="s">
        <v>2932</v>
      </c>
      <c r="D557" s="379">
        <v>2458074</v>
      </c>
      <c r="E557" s="379" t="s">
        <v>2675</v>
      </c>
      <c r="F557" s="379" t="s">
        <v>2673</v>
      </c>
      <c r="G557" s="383">
        <v>42401</v>
      </c>
      <c r="H557" s="379">
        <v>1110</v>
      </c>
      <c r="I557" s="379">
        <v>43.08</v>
      </c>
      <c r="J557" s="379">
        <v>149.87</v>
      </c>
      <c r="K557" s="379">
        <v>83.25</v>
      </c>
      <c r="L557" s="379"/>
      <c r="M557" s="379"/>
      <c r="N557" s="379"/>
      <c r="O557" s="379">
        <v>1110</v>
      </c>
      <c r="P557" s="379"/>
      <c r="Q557" s="379"/>
      <c r="R557" s="379"/>
      <c r="S557" s="379"/>
      <c r="T557" s="379"/>
      <c r="U557" s="379"/>
      <c r="V557" s="380">
        <v>1386.2</v>
      </c>
      <c r="W557" s="381"/>
      <c r="X557" s="379"/>
      <c r="Y557" s="379"/>
      <c r="Z557" s="379">
        <v>5821001</v>
      </c>
      <c r="AA557" s="379" t="s">
        <v>2427</v>
      </c>
      <c r="AB557" s="380">
        <f t="shared" si="7"/>
        <v>0</v>
      </c>
    </row>
    <row r="558" spans="1:28" outlineLevel="2" x14ac:dyDescent="0.3">
      <c r="A558" s="379">
        <v>654</v>
      </c>
      <c r="B558" s="379">
        <v>813810</v>
      </c>
      <c r="C558" s="379" t="s">
        <v>2932</v>
      </c>
      <c r="D558" s="379">
        <v>2458101</v>
      </c>
      <c r="E558" s="379" t="s">
        <v>2387</v>
      </c>
      <c r="F558" s="379" t="s">
        <v>2676</v>
      </c>
      <c r="G558" s="383">
        <v>41974</v>
      </c>
      <c r="H558" s="379">
        <v>18903.5</v>
      </c>
      <c r="I558" s="379">
        <v>956.96</v>
      </c>
      <c r="J558" s="379">
        <v>2487.38</v>
      </c>
      <c r="K558" s="379">
        <v>1417.81</v>
      </c>
      <c r="L558" s="379"/>
      <c r="M558" s="379"/>
      <c r="N558" s="379"/>
      <c r="O558" s="379"/>
      <c r="P558" s="379">
        <v>18425</v>
      </c>
      <c r="Q558" s="379">
        <v>478.5</v>
      </c>
      <c r="R558" s="379"/>
      <c r="S558" s="379"/>
      <c r="T558" s="379"/>
      <c r="U558" s="379"/>
      <c r="V558" s="380">
        <v>23765.65</v>
      </c>
      <c r="W558" s="381"/>
      <c r="X558" s="379"/>
      <c r="Y558" s="379"/>
      <c r="Z558" s="379">
        <v>1041001</v>
      </c>
      <c r="AA558" s="379" t="s">
        <v>2677</v>
      </c>
      <c r="AB558" s="380">
        <f t="shared" si="7"/>
        <v>0</v>
      </c>
    </row>
    <row r="559" spans="1:28" outlineLevel="2" x14ac:dyDescent="0.3">
      <c r="A559" s="379">
        <v>654</v>
      </c>
      <c r="B559" s="379">
        <v>813810</v>
      </c>
      <c r="C559" s="379" t="s">
        <v>2932</v>
      </c>
      <c r="D559" s="379">
        <v>2459485</v>
      </c>
      <c r="E559" s="379" t="s">
        <v>2678</v>
      </c>
      <c r="F559" s="379" t="s">
        <v>2636</v>
      </c>
      <c r="G559" s="383">
        <v>40422</v>
      </c>
      <c r="H559" s="379">
        <v>1110</v>
      </c>
      <c r="I559" s="379">
        <v>52.42</v>
      </c>
      <c r="J559" s="379"/>
      <c r="K559" s="379">
        <v>83.24</v>
      </c>
      <c r="L559" s="379"/>
      <c r="M559" s="379"/>
      <c r="N559" s="379"/>
      <c r="O559" s="379">
        <v>1110</v>
      </c>
      <c r="P559" s="379"/>
      <c r="Q559" s="379"/>
      <c r="R559" s="379"/>
      <c r="S559" s="379"/>
      <c r="T559" s="379"/>
      <c r="U559" s="379"/>
      <c r="V559" s="380">
        <v>1245.6600000000001</v>
      </c>
      <c r="W559" s="381"/>
      <c r="X559" s="379"/>
      <c r="Y559" s="379"/>
      <c r="Z559" s="379">
        <v>5821001</v>
      </c>
      <c r="AA559" s="379" t="s">
        <v>2427</v>
      </c>
      <c r="AB559" s="380">
        <f t="shared" si="7"/>
        <v>0</v>
      </c>
    </row>
    <row r="560" spans="1:28" outlineLevel="2" x14ac:dyDescent="0.3">
      <c r="A560" s="379">
        <v>654</v>
      </c>
      <c r="B560" s="379">
        <v>813810</v>
      </c>
      <c r="C560" s="379" t="s">
        <v>2932</v>
      </c>
      <c r="D560" s="379">
        <v>2468054</v>
      </c>
      <c r="E560" s="379" t="s">
        <v>2457</v>
      </c>
      <c r="F560" s="379" t="s">
        <v>2385</v>
      </c>
      <c r="G560" s="383">
        <v>41122</v>
      </c>
      <c r="H560" s="379">
        <v>2220</v>
      </c>
      <c r="I560" s="379">
        <v>107.21</v>
      </c>
      <c r="J560" s="379">
        <v>233.08</v>
      </c>
      <c r="K560" s="379">
        <v>166.48</v>
      </c>
      <c r="L560" s="379"/>
      <c r="M560" s="379">
        <v>4.4400000000000004</v>
      </c>
      <c r="N560" s="379"/>
      <c r="O560" s="379">
        <v>2220</v>
      </c>
      <c r="P560" s="379"/>
      <c r="Q560" s="379"/>
      <c r="R560" s="379"/>
      <c r="S560" s="379"/>
      <c r="T560" s="379"/>
      <c r="U560" s="379"/>
      <c r="V560" s="380">
        <v>2731.21</v>
      </c>
      <c r="W560" s="381"/>
      <c r="X560" s="379"/>
      <c r="Y560" s="379"/>
      <c r="Z560" s="379">
        <v>5821001</v>
      </c>
      <c r="AA560" s="379" t="s">
        <v>2427</v>
      </c>
      <c r="AB560" s="380">
        <f t="shared" ref="AB560:AB624" si="8">W560/12</f>
        <v>0</v>
      </c>
    </row>
    <row r="561" spans="1:28" outlineLevel="2" x14ac:dyDescent="0.3">
      <c r="A561" s="379">
        <v>654</v>
      </c>
      <c r="B561" s="379">
        <v>813810</v>
      </c>
      <c r="C561" s="379" t="s">
        <v>2932</v>
      </c>
      <c r="D561" s="379">
        <v>2468334</v>
      </c>
      <c r="E561" s="379" t="s">
        <v>2681</v>
      </c>
      <c r="F561" s="379" t="s">
        <v>2636</v>
      </c>
      <c r="G561" s="383">
        <v>39692</v>
      </c>
      <c r="H561" s="379">
        <v>1406</v>
      </c>
      <c r="I561" s="379">
        <v>69.3</v>
      </c>
      <c r="J561" s="379">
        <v>295.26</v>
      </c>
      <c r="K561" s="379">
        <v>105.45</v>
      </c>
      <c r="L561" s="379"/>
      <c r="M561" s="379">
        <v>5.61</v>
      </c>
      <c r="N561" s="379"/>
      <c r="O561" s="379">
        <v>1110</v>
      </c>
      <c r="P561" s="379">
        <v>296</v>
      </c>
      <c r="Q561" s="379"/>
      <c r="R561" s="379"/>
      <c r="S561" s="379"/>
      <c r="T561" s="379"/>
      <c r="U561" s="379"/>
      <c r="V561" s="380">
        <v>1881.62</v>
      </c>
      <c r="W561" s="381"/>
      <c r="X561" s="379">
        <v>5</v>
      </c>
      <c r="Y561" s="379" t="s">
        <v>2666</v>
      </c>
      <c r="Z561" s="379">
        <v>1401202</v>
      </c>
      <c r="AA561" s="379" t="s">
        <v>2380</v>
      </c>
      <c r="AB561" s="380">
        <f t="shared" si="8"/>
        <v>0</v>
      </c>
    </row>
    <row r="562" spans="1:28" outlineLevel="2" x14ac:dyDescent="0.3">
      <c r="A562" s="379">
        <v>654</v>
      </c>
      <c r="B562" s="379">
        <v>813810</v>
      </c>
      <c r="C562" s="379" t="s">
        <v>2932</v>
      </c>
      <c r="D562" s="379">
        <v>2526683</v>
      </c>
      <c r="E562" s="379" t="s">
        <v>2762</v>
      </c>
      <c r="F562" s="379" t="s">
        <v>2763</v>
      </c>
      <c r="G562" s="383">
        <v>42248</v>
      </c>
      <c r="H562" s="379">
        <v>2220</v>
      </c>
      <c r="I562" s="379">
        <v>103.33</v>
      </c>
      <c r="J562" s="379">
        <v>233.08</v>
      </c>
      <c r="K562" s="379">
        <v>166.5</v>
      </c>
      <c r="L562" s="379"/>
      <c r="M562" s="379">
        <v>4.43</v>
      </c>
      <c r="N562" s="379"/>
      <c r="O562" s="379">
        <v>2220</v>
      </c>
      <c r="P562" s="379"/>
      <c r="Q562" s="379"/>
      <c r="R562" s="379"/>
      <c r="S562" s="379"/>
      <c r="T562" s="379"/>
      <c r="U562" s="379"/>
      <c r="V562" s="380">
        <v>2727.34</v>
      </c>
      <c r="W562" s="381"/>
      <c r="X562" s="379"/>
      <c r="Y562" s="379"/>
      <c r="Z562" s="379">
        <v>5821001</v>
      </c>
      <c r="AA562" s="379" t="s">
        <v>2427</v>
      </c>
      <c r="AB562" s="380">
        <f t="shared" si="8"/>
        <v>0</v>
      </c>
    </row>
    <row r="563" spans="1:28" outlineLevel="2" x14ac:dyDescent="0.3">
      <c r="A563" s="379">
        <v>654</v>
      </c>
      <c r="B563" s="379">
        <v>813810</v>
      </c>
      <c r="C563" s="379" t="s">
        <v>2932</v>
      </c>
      <c r="D563" s="379">
        <v>2564613</v>
      </c>
      <c r="E563" s="379" t="s">
        <v>2313</v>
      </c>
      <c r="F563" s="379" t="s">
        <v>2660</v>
      </c>
      <c r="G563" s="383">
        <v>41518</v>
      </c>
      <c r="H563" s="379">
        <v>13740</v>
      </c>
      <c r="I563" s="379">
        <v>751.41</v>
      </c>
      <c r="J563" s="379">
        <v>1806.17</v>
      </c>
      <c r="K563" s="379">
        <v>1130.78</v>
      </c>
      <c r="L563" s="379"/>
      <c r="M563" s="379"/>
      <c r="N563" s="379"/>
      <c r="O563" s="379"/>
      <c r="P563" s="379">
        <v>13379</v>
      </c>
      <c r="Q563" s="379">
        <v>361</v>
      </c>
      <c r="R563" s="379"/>
      <c r="S563" s="379"/>
      <c r="T563" s="379"/>
      <c r="U563" s="379"/>
      <c r="V563" s="380">
        <v>17428.36</v>
      </c>
      <c r="W563" s="381"/>
      <c r="X563" s="379"/>
      <c r="Y563" s="379"/>
      <c r="Z563" s="379">
        <v>1041001</v>
      </c>
      <c r="AA563" s="379" t="s">
        <v>2677</v>
      </c>
      <c r="AB563" s="380">
        <f t="shared" si="8"/>
        <v>0</v>
      </c>
    </row>
    <row r="564" spans="1:28" outlineLevel="2" x14ac:dyDescent="0.3">
      <c r="A564" s="379">
        <v>654</v>
      </c>
      <c r="B564" s="379">
        <v>813810</v>
      </c>
      <c r="C564" s="379" t="s">
        <v>2932</v>
      </c>
      <c r="D564" s="379">
        <v>2655453</v>
      </c>
      <c r="E564" s="379" t="s">
        <v>2377</v>
      </c>
      <c r="F564" s="379" t="s">
        <v>2422</v>
      </c>
      <c r="G564" s="383">
        <v>42186</v>
      </c>
      <c r="H564" s="379">
        <v>5519.85</v>
      </c>
      <c r="I564" s="379">
        <v>195.96</v>
      </c>
      <c r="J564" s="379"/>
      <c r="K564" s="379">
        <v>414.1</v>
      </c>
      <c r="L564" s="379"/>
      <c r="M564" s="379"/>
      <c r="N564" s="379"/>
      <c r="O564" s="379"/>
      <c r="P564" s="379">
        <v>5192.25</v>
      </c>
      <c r="Q564" s="379">
        <v>327.60000000000002</v>
      </c>
      <c r="R564" s="379"/>
      <c r="S564" s="379"/>
      <c r="T564" s="379"/>
      <c r="U564" s="379"/>
      <c r="V564" s="380">
        <v>6129.91</v>
      </c>
      <c r="W564" s="381"/>
      <c r="X564" s="379"/>
      <c r="Y564" s="379"/>
      <c r="Z564" s="379">
        <v>1041001</v>
      </c>
      <c r="AA564" s="379" t="s">
        <v>2677</v>
      </c>
      <c r="AB564" s="380">
        <f t="shared" si="8"/>
        <v>0</v>
      </c>
    </row>
    <row r="565" spans="1:28" outlineLevel="2" x14ac:dyDescent="0.3">
      <c r="A565" s="379">
        <v>654</v>
      </c>
      <c r="B565" s="379">
        <v>813810</v>
      </c>
      <c r="C565" s="379" t="s">
        <v>2932</v>
      </c>
      <c r="D565" s="379">
        <v>2660822</v>
      </c>
      <c r="E565" s="379" t="s">
        <v>2683</v>
      </c>
      <c r="F565" s="379" t="s">
        <v>2684</v>
      </c>
      <c r="G565" s="383">
        <v>42430</v>
      </c>
      <c r="H565" s="379">
        <v>2220</v>
      </c>
      <c r="I565" s="379">
        <v>105.78</v>
      </c>
      <c r="J565" s="379">
        <v>233.09</v>
      </c>
      <c r="K565" s="379">
        <v>166.5</v>
      </c>
      <c r="L565" s="379"/>
      <c r="M565" s="379">
        <v>4.4400000000000004</v>
      </c>
      <c r="N565" s="379"/>
      <c r="O565" s="379">
        <v>2220</v>
      </c>
      <c r="P565" s="379"/>
      <c r="Q565" s="379"/>
      <c r="R565" s="379"/>
      <c r="S565" s="379"/>
      <c r="T565" s="379"/>
      <c r="U565" s="379"/>
      <c r="V565" s="380">
        <v>2729.81</v>
      </c>
      <c r="W565" s="381"/>
      <c r="X565" s="379"/>
      <c r="Y565" s="379"/>
      <c r="Z565" s="379">
        <v>5821001</v>
      </c>
      <c r="AA565" s="379" t="s">
        <v>2427</v>
      </c>
      <c r="AB565" s="380">
        <f t="shared" si="8"/>
        <v>0</v>
      </c>
    </row>
    <row r="566" spans="1:28" outlineLevel="2" x14ac:dyDescent="0.3">
      <c r="A566" s="379">
        <v>654</v>
      </c>
      <c r="B566" s="379">
        <v>813810</v>
      </c>
      <c r="C566" s="379" t="s">
        <v>2932</v>
      </c>
      <c r="D566" s="379">
        <v>2733536</v>
      </c>
      <c r="E566" s="379" t="s">
        <v>2685</v>
      </c>
      <c r="F566" s="379" t="s">
        <v>2686</v>
      </c>
      <c r="G566" s="383">
        <v>40452</v>
      </c>
      <c r="H566" s="379">
        <v>1110</v>
      </c>
      <c r="I566" s="379">
        <v>58.94</v>
      </c>
      <c r="J566" s="379"/>
      <c r="K566" s="379">
        <v>83.24</v>
      </c>
      <c r="L566" s="379"/>
      <c r="M566" s="379"/>
      <c r="N566" s="379"/>
      <c r="O566" s="379">
        <v>1110</v>
      </c>
      <c r="P566" s="379"/>
      <c r="Q566" s="379"/>
      <c r="R566" s="379"/>
      <c r="S566" s="379"/>
      <c r="T566" s="379"/>
      <c r="U566" s="379"/>
      <c r="V566" s="380">
        <v>1252.18</v>
      </c>
      <c r="W566" s="381"/>
      <c r="X566" s="379">
        <v>5</v>
      </c>
      <c r="Y566" s="379" t="s">
        <v>2666</v>
      </c>
      <c r="Z566" s="379">
        <v>1401202</v>
      </c>
      <c r="AA566" s="379" t="s">
        <v>2380</v>
      </c>
      <c r="AB566" s="380">
        <f t="shared" si="8"/>
        <v>0</v>
      </c>
    </row>
    <row r="567" spans="1:28" outlineLevel="2" x14ac:dyDescent="0.3">
      <c r="A567" s="379">
        <v>654</v>
      </c>
      <c r="B567" s="379">
        <v>813810</v>
      </c>
      <c r="C567" s="379" t="s">
        <v>2932</v>
      </c>
      <c r="D567" s="379">
        <v>2733941</v>
      </c>
      <c r="E567" s="379" t="s">
        <v>2469</v>
      </c>
      <c r="F567" s="379" t="s">
        <v>2687</v>
      </c>
      <c r="G567" s="383">
        <v>41883</v>
      </c>
      <c r="H567" s="379">
        <v>2220</v>
      </c>
      <c r="I567" s="379">
        <v>102.43</v>
      </c>
      <c r="J567" s="379">
        <v>233.08</v>
      </c>
      <c r="K567" s="379">
        <v>166.5</v>
      </c>
      <c r="L567" s="379"/>
      <c r="M567" s="379">
        <v>4.43</v>
      </c>
      <c r="N567" s="379"/>
      <c r="O567" s="379">
        <v>2220</v>
      </c>
      <c r="P567" s="379"/>
      <c r="Q567" s="379"/>
      <c r="R567" s="379"/>
      <c r="S567" s="379"/>
      <c r="T567" s="379"/>
      <c r="U567" s="379"/>
      <c r="V567" s="380">
        <v>2726.44</v>
      </c>
      <c r="W567" s="381"/>
      <c r="X567" s="379"/>
      <c r="Y567" s="379"/>
      <c r="Z567" s="379">
        <v>1027</v>
      </c>
      <c r="AA567" s="379" t="s">
        <v>2383</v>
      </c>
      <c r="AB567" s="380">
        <f t="shared" si="8"/>
        <v>0</v>
      </c>
    </row>
    <row r="568" spans="1:28" outlineLevel="2" x14ac:dyDescent="0.3">
      <c r="A568" s="379">
        <v>654</v>
      </c>
      <c r="B568" s="379">
        <v>813810</v>
      </c>
      <c r="C568" s="379" t="s">
        <v>2932</v>
      </c>
      <c r="D568" s="379">
        <v>2733964</v>
      </c>
      <c r="E568" s="379" t="s">
        <v>2688</v>
      </c>
      <c r="F568" s="379" t="s">
        <v>2396</v>
      </c>
      <c r="G568" s="383">
        <v>42309</v>
      </c>
      <c r="H568" s="379">
        <v>1110</v>
      </c>
      <c r="I568" s="379">
        <v>54.6</v>
      </c>
      <c r="J568" s="379">
        <v>233.1</v>
      </c>
      <c r="K568" s="379">
        <v>83.24</v>
      </c>
      <c r="L568" s="379"/>
      <c r="M568" s="379">
        <v>4.43</v>
      </c>
      <c r="N568" s="379"/>
      <c r="O568" s="379">
        <v>1110</v>
      </c>
      <c r="P568" s="379"/>
      <c r="Q568" s="379"/>
      <c r="R568" s="379"/>
      <c r="S568" s="379"/>
      <c r="T568" s="379"/>
      <c r="U568" s="379"/>
      <c r="V568" s="380">
        <v>1485.37</v>
      </c>
      <c r="W568" s="381"/>
      <c r="X568" s="379">
        <v>501</v>
      </c>
      <c r="Y568" s="379" t="s">
        <v>2689</v>
      </c>
      <c r="Z568" s="379">
        <v>5821001</v>
      </c>
      <c r="AA568" s="379" t="s">
        <v>2427</v>
      </c>
      <c r="AB568" s="380">
        <f t="shared" si="8"/>
        <v>0</v>
      </c>
    </row>
    <row r="569" spans="1:28" outlineLevel="2" x14ac:dyDescent="0.3">
      <c r="A569" s="379">
        <v>654</v>
      </c>
      <c r="B569" s="379">
        <v>813810</v>
      </c>
      <c r="C569" s="379" t="s">
        <v>2932</v>
      </c>
      <c r="D569" s="379">
        <v>2733964</v>
      </c>
      <c r="E569" s="379" t="s">
        <v>2688</v>
      </c>
      <c r="F569" s="379" t="s">
        <v>2396</v>
      </c>
      <c r="G569" s="383">
        <v>42309</v>
      </c>
      <c r="H569" s="379">
        <v>1110</v>
      </c>
      <c r="I569" s="379">
        <v>56.09</v>
      </c>
      <c r="J569" s="379"/>
      <c r="K569" s="379">
        <v>83.24</v>
      </c>
      <c r="L569" s="379"/>
      <c r="M569" s="379"/>
      <c r="N569" s="379"/>
      <c r="O569" s="379">
        <v>1110</v>
      </c>
      <c r="P569" s="379"/>
      <c r="Q569" s="379"/>
      <c r="R569" s="379"/>
      <c r="S569" s="379"/>
      <c r="T569" s="379"/>
      <c r="U569" s="379"/>
      <c r="V569" s="380">
        <v>1249.33</v>
      </c>
      <c r="W569" s="381"/>
      <c r="X569" s="379">
        <v>501</v>
      </c>
      <c r="Y569" s="379" t="s">
        <v>2689</v>
      </c>
      <c r="Z569" s="379">
        <v>1422001</v>
      </c>
      <c r="AA569" s="379" t="s">
        <v>2648</v>
      </c>
      <c r="AB569" s="380">
        <f t="shared" si="8"/>
        <v>0</v>
      </c>
    </row>
    <row r="570" spans="1:28" outlineLevel="2" x14ac:dyDescent="0.3">
      <c r="A570" s="379">
        <v>654</v>
      </c>
      <c r="B570" s="379">
        <v>813810</v>
      </c>
      <c r="C570" s="379" t="s">
        <v>2932</v>
      </c>
      <c r="D570" s="379">
        <v>2884253</v>
      </c>
      <c r="E570" s="379" t="s">
        <v>2765</v>
      </c>
      <c r="F570" s="379" t="s">
        <v>2766</v>
      </c>
      <c r="G570" s="383">
        <v>41548</v>
      </c>
      <c r="H570" s="379">
        <v>1110</v>
      </c>
      <c r="I570" s="379">
        <v>53.86</v>
      </c>
      <c r="J570" s="379"/>
      <c r="K570" s="379">
        <v>83.25</v>
      </c>
      <c r="L570" s="379"/>
      <c r="M570" s="379"/>
      <c r="N570" s="379"/>
      <c r="O570" s="379">
        <v>1110</v>
      </c>
      <c r="P570" s="379"/>
      <c r="Q570" s="379"/>
      <c r="R570" s="379"/>
      <c r="S570" s="379"/>
      <c r="T570" s="379"/>
      <c r="U570" s="379"/>
      <c r="V570" s="380">
        <v>1247.1099999999999</v>
      </c>
      <c r="W570" s="381"/>
      <c r="X570" s="379">
        <v>501</v>
      </c>
      <c r="Y570" s="379" t="s">
        <v>2689</v>
      </c>
      <c r="Z570" s="379">
        <v>5821001</v>
      </c>
      <c r="AA570" s="379" t="s">
        <v>2427</v>
      </c>
      <c r="AB570" s="380">
        <f t="shared" si="8"/>
        <v>0</v>
      </c>
    </row>
    <row r="571" spans="1:28" outlineLevel="2" x14ac:dyDescent="0.3">
      <c r="A571" s="379">
        <v>654</v>
      </c>
      <c r="B571" s="379">
        <v>813810</v>
      </c>
      <c r="C571" s="379" t="s">
        <v>2932</v>
      </c>
      <c r="D571" s="379">
        <v>2889056</v>
      </c>
      <c r="E571" s="379" t="s">
        <v>2303</v>
      </c>
      <c r="F571" s="379" t="s">
        <v>2634</v>
      </c>
      <c r="G571" s="383">
        <v>36434</v>
      </c>
      <c r="H571" s="379">
        <v>1560</v>
      </c>
      <c r="I571" s="379">
        <v>85.13</v>
      </c>
      <c r="J571" s="379"/>
      <c r="K571" s="379">
        <v>116.99</v>
      </c>
      <c r="L571" s="379"/>
      <c r="M571" s="379"/>
      <c r="N571" s="379"/>
      <c r="O571" s="379">
        <v>1560</v>
      </c>
      <c r="P571" s="379"/>
      <c r="Q571" s="379"/>
      <c r="R571" s="379"/>
      <c r="S571" s="379"/>
      <c r="T571" s="379"/>
      <c r="U571" s="379"/>
      <c r="V571" s="380">
        <v>1762.12</v>
      </c>
      <c r="W571" s="381"/>
      <c r="X571" s="379"/>
      <c r="Y571" s="379"/>
      <c r="Z571" s="379">
        <v>621002</v>
      </c>
      <c r="AA571" s="379" t="s">
        <v>2635</v>
      </c>
      <c r="AB571" s="380">
        <f t="shared" si="8"/>
        <v>0</v>
      </c>
    </row>
    <row r="572" spans="1:28" outlineLevel="2" x14ac:dyDescent="0.3">
      <c r="A572" s="379">
        <v>654</v>
      </c>
      <c r="B572" s="379">
        <v>813810</v>
      </c>
      <c r="C572" s="379" t="s">
        <v>2932</v>
      </c>
      <c r="D572" s="379">
        <v>2945684</v>
      </c>
      <c r="E572" s="379" t="s">
        <v>2767</v>
      </c>
      <c r="F572" s="379" t="s">
        <v>2768</v>
      </c>
      <c r="G572" s="383">
        <v>42248</v>
      </c>
      <c r="H572" s="379">
        <v>2719</v>
      </c>
      <c r="I572" s="379">
        <v>131.97999999999999</v>
      </c>
      <c r="J572" s="379">
        <v>233.1</v>
      </c>
      <c r="K572" s="379">
        <v>203.92</v>
      </c>
      <c r="L572" s="379"/>
      <c r="M572" s="379">
        <v>4.4400000000000004</v>
      </c>
      <c r="N572" s="379"/>
      <c r="O572" s="379">
        <v>2719</v>
      </c>
      <c r="P572" s="379"/>
      <c r="Q572" s="379"/>
      <c r="R572" s="379"/>
      <c r="S572" s="379"/>
      <c r="T572" s="379"/>
      <c r="U572" s="379"/>
      <c r="V572" s="380">
        <v>3292.44</v>
      </c>
      <c r="W572" s="381"/>
      <c r="X572" s="379"/>
      <c r="Y572" s="379"/>
      <c r="Z572" s="379">
        <v>5821001</v>
      </c>
      <c r="AA572" s="379" t="s">
        <v>2427</v>
      </c>
      <c r="AB572" s="380">
        <f t="shared" si="8"/>
        <v>0</v>
      </c>
    </row>
    <row r="573" spans="1:28" outlineLevel="2" x14ac:dyDescent="0.3">
      <c r="A573" s="379">
        <v>654</v>
      </c>
      <c r="B573" s="379">
        <v>813810</v>
      </c>
      <c r="C573" s="379" t="s">
        <v>2932</v>
      </c>
      <c r="D573" s="379">
        <v>3196428</v>
      </c>
      <c r="E573" s="379" t="s">
        <v>2465</v>
      </c>
      <c r="F573" s="379" t="s">
        <v>2692</v>
      </c>
      <c r="G573" s="383">
        <v>41153</v>
      </c>
      <c r="H573" s="379">
        <v>2220</v>
      </c>
      <c r="I573" s="379">
        <v>107.83</v>
      </c>
      <c r="J573" s="379">
        <v>233.09</v>
      </c>
      <c r="K573" s="379">
        <v>166.49</v>
      </c>
      <c r="L573" s="379"/>
      <c r="M573" s="379">
        <v>4.4400000000000004</v>
      </c>
      <c r="N573" s="379"/>
      <c r="O573" s="379">
        <v>2220</v>
      </c>
      <c r="P573" s="379"/>
      <c r="Q573" s="379"/>
      <c r="R573" s="379"/>
      <c r="S573" s="379"/>
      <c r="T573" s="379"/>
      <c r="U573" s="379"/>
      <c r="V573" s="380">
        <v>2731.85</v>
      </c>
      <c r="W573" s="381"/>
      <c r="X573" s="379"/>
      <c r="Y573" s="379"/>
      <c r="Z573" s="379">
        <v>5821001</v>
      </c>
      <c r="AA573" s="379" t="s">
        <v>2427</v>
      </c>
      <c r="AB573" s="380">
        <f t="shared" si="8"/>
        <v>0</v>
      </c>
    </row>
    <row r="574" spans="1:28" outlineLevel="2" x14ac:dyDescent="0.3">
      <c r="A574" s="379">
        <v>654</v>
      </c>
      <c r="B574" s="379">
        <v>813810</v>
      </c>
      <c r="C574" s="379" t="s">
        <v>2932</v>
      </c>
      <c r="D574" s="379">
        <v>3263125</v>
      </c>
      <c r="E574" s="379" t="s">
        <v>2933</v>
      </c>
      <c r="F574" s="379" t="s">
        <v>2934</v>
      </c>
      <c r="G574" s="383">
        <v>41091</v>
      </c>
      <c r="H574" s="379">
        <v>1553</v>
      </c>
      <c r="I574" s="379">
        <v>55.13</v>
      </c>
      <c r="J574" s="379"/>
      <c r="K574" s="379">
        <v>116.5</v>
      </c>
      <c r="L574" s="379"/>
      <c r="M574" s="379"/>
      <c r="N574" s="379"/>
      <c r="O574" s="379"/>
      <c r="P574" s="379">
        <v>1500</v>
      </c>
      <c r="Q574" s="379">
        <v>53</v>
      </c>
      <c r="R574" s="379"/>
      <c r="S574" s="379"/>
      <c r="T574" s="379"/>
      <c r="U574" s="379"/>
      <c r="V574" s="380">
        <v>1724.63</v>
      </c>
      <c r="W574" s="381"/>
      <c r="X574" s="379"/>
      <c r="Y574" s="379"/>
      <c r="Z574" s="379">
        <v>1041001</v>
      </c>
      <c r="AA574" s="379" t="s">
        <v>2677</v>
      </c>
      <c r="AB574" s="380">
        <f t="shared" si="8"/>
        <v>0</v>
      </c>
    </row>
    <row r="575" spans="1:28" outlineLevel="2" x14ac:dyDescent="0.3">
      <c r="A575" s="379">
        <v>654</v>
      </c>
      <c r="B575" s="379">
        <v>813810</v>
      </c>
      <c r="C575" s="379" t="s">
        <v>2932</v>
      </c>
      <c r="D575" s="379">
        <v>3287783</v>
      </c>
      <c r="E575" s="379" t="s">
        <v>2693</v>
      </c>
      <c r="F575" s="379" t="s">
        <v>2694</v>
      </c>
      <c r="G575" s="383">
        <v>39692</v>
      </c>
      <c r="H575" s="379">
        <v>2220</v>
      </c>
      <c r="I575" s="379">
        <v>107.49</v>
      </c>
      <c r="J575" s="379">
        <v>233.1</v>
      </c>
      <c r="K575" s="379">
        <v>166.5</v>
      </c>
      <c r="L575" s="379"/>
      <c r="M575" s="379">
        <v>4.43</v>
      </c>
      <c r="N575" s="379"/>
      <c r="O575" s="379">
        <v>2220</v>
      </c>
      <c r="P575" s="379"/>
      <c r="Q575" s="379"/>
      <c r="R575" s="379"/>
      <c r="S575" s="379"/>
      <c r="T575" s="379"/>
      <c r="U575" s="379"/>
      <c r="V575" s="380">
        <v>2731.52</v>
      </c>
      <c r="W575" s="381"/>
      <c r="X575" s="379"/>
      <c r="Y575" s="379"/>
      <c r="Z575" s="379">
        <v>5821001</v>
      </c>
      <c r="AA575" s="379" t="s">
        <v>2427</v>
      </c>
      <c r="AB575" s="380">
        <f t="shared" si="8"/>
        <v>0</v>
      </c>
    </row>
    <row r="576" spans="1:28" outlineLevel="2" x14ac:dyDescent="0.3">
      <c r="A576" s="379">
        <v>654</v>
      </c>
      <c r="B576" s="379">
        <v>813810</v>
      </c>
      <c r="C576" s="379" t="s">
        <v>2932</v>
      </c>
      <c r="D576" s="379">
        <v>3287909</v>
      </c>
      <c r="E576" s="379" t="s">
        <v>2769</v>
      </c>
      <c r="F576" s="379" t="s">
        <v>2701</v>
      </c>
      <c r="G576" s="383">
        <v>42948</v>
      </c>
      <c r="H576" s="379">
        <v>2442</v>
      </c>
      <c r="I576" s="379">
        <v>109.23</v>
      </c>
      <c r="J576" s="379">
        <v>233.09</v>
      </c>
      <c r="K576" s="379">
        <v>183.15</v>
      </c>
      <c r="L576" s="379"/>
      <c r="M576" s="379">
        <v>4.4400000000000004</v>
      </c>
      <c r="N576" s="379"/>
      <c r="O576" s="379">
        <v>2442</v>
      </c>
      <c r="P576" s="379"/>
      <c r="Q576" s="379"/>
      <c r="R576" s="379"/>
      <c r="S576" s="379"/>
      <c r="T576" s="379"/>
      <c r="U576" s="379"/>
      <c r="V576" s="380">
        <v>2971.91</v>
      </c>
      <c r="W576" s="381"/>
      <c r="X576" s="379"/>
      <c r="Y576" s="379"/>
      <c r="Z576" s="379">
        <v>5821001</v>
      </c>
      <c r="AA576" s="379" t="s">
        <v>2427</v>
      </c>
      <c r="AB576" s="380">
        <f t="shared" si="8"/>
        <v>0</v>
      </c>
    </row>
    <row r="577" spans="1:28" outlineLevel="2" x14ac:dyDescent="0.3">
      <c r="A577" s="379">
        <v>654</v>
      </c>
      <c r="B577" s="379">
        <v>813810</v>
      </c>
      <c r="C577" s="379" t="s">
        <v>2932</v>
      </c>
      <c r="D577" s="379">
        <v>3330531</v>
      </c>
      <c r="E577" s="379" t="s">
        <v>2841</v>
      </c>
      <c r="F577" s="379" t="s">
        <v>2935</v>
      </c>
      <c r="G577" s="383">
        <v>42705</v>
      </c>
      <c r="H577" s="379">
        <v>1553</v>
      </c>
      <c r="I577" s="379">
        <v>55.13</v>
      </c>
      <c r="J577" s="379">
        <v>202.5</v>
      </c>
      <c r="K577" s="379">
        <v>116.5</v>
      </c>
      <c r="L577" s="379"/>
      <c r="M577" s="379"/>
      <c r="N577" s="379"/>
      <c r="O577" s="379"/>
      <c r="P577" s="379">
        <v>1500</v>
      </c>
      <c r="Q577" s="379">
        <v>53</v>
      </c>
      <c r="R577" s="379"/>
      <c r="S577" s="379"/>
      <c r="T577" s="379"/>
      <c r="U577" s="379"/>
      <c r="V577" s="380">
        <v>1927.13</v>
      </c>
      <c r="W577" s="381"/>
      <c r="X577" s="379"/>
      <c r="Y577" s="379"/>
      <c r="Z577" s="379">
        <v>1041001</v>
      </c>
      <c r="AA577" s="379" t="s">
        <v>2677</v>
      </c>
      <c r="AB577" s="380">
        <f t="shared" si="8"/>
        <v>0</v>
      </c>
    </row>
    <row r="578" spans="1:28" outlineLevel="2" x14ac:dyDescent="0.3">
      <c r="A578" s="379">
        <v>654</v>
      </c>
      <c r="B578" s="379">
        <v>813810</v>
      </c>
      <c r="C578" s="379" t="s">
        <v>2932</v>
      </c>
      <c r="D578" s="379">
        <v>3330903</v>
      </c>
      <c r="E578" s="379" t="s">
        <v>2726</v>
      </c>
      <c r="F578" s="379" t="s">
        <v>2821</v>
      </c>
      <c r="G578" s="383">
        <v>40695</v>
      </c>
      <c r="H578" s="379">
        <v>1110</v>
      </c>
      <c r="I578" s="379">
        <v>49.96</v>
      </c>
      <c r="J578" s="379">
        <v>233.09</v>
      </c>
      <c r="K578" s="379">
        <v>83.25</v>
      </c>
      <c r="L578" s="379"/>
      <c r="M578" s="379">
        <v>4.43</v>
      </c>
      <c r="N578" s="379"/>
      <c r="O578" s="379">
        <v>1110</v>
      </c>
      <c r="P578" s="379"/>
      <c r="Q578" s="379"/>
      <c r="R578" s="379"/>
      <c r="S578" s="379"/>
      <c r="T578" s="379"/>
      <c r="U578" s="379"/>
      <c r="V578" s="380">
        <v>1480.73</v>
      </c>
      <c r="W578" s="381"/>
      <c r="X578" s="379"/>
      <c r="Y578" s="379"/>
      <c r="Z578" s="379">
        <v>1401202</v>
      </c>
      <c r="AA578" s="379" t="s">
        <v>2380</v>
      </c>
      <c r="AB578" s="380">
        <f t="shared" si="8"/>
        <v>0</v>
      </c>
    </row>
    <row r="579" spans="1:28" outlineLevel="2" x14ac:dyDescent="0.3">
      <c r="A579" s="379">
        <v>654</v>
      </c>
      <c r="B579" s="379">
        <v>813810</v>
      </c>
      <c r="C579" s="379" t="s">
        <v>2932</v>
      </c>
      <c r="D579" s="379">
        <v>3584767</v>
      </c>
      <c r="E579" s="379" t="s">
        <v>2697</v>
      </c>
      <c r="F579" s="379" t="s">
        <v>2528</v>
      </c>
      <c r="G579" s="383">
        <v>42675</v>
      </c>
      <c r="H579" s="379">
        <v>1554</v>
      </c>
      <c r="I579" s="379">
        <v>55.16</v>
      </c>
      <c r="J579" s="379">
        <v>93.24</v>
      </c>
      <c r="K579" s="379">
        <v>116.54</v>
      </c>
      <c r="L579" s="379"/>
      <c r="M579" s="379">
        <v>1.77</v>
      </c>
      <c r="N579" s="379"/>
      <c r="O579" s="379">
        <v>1554</v>
      </c>
      <c r="P579" s="379"/>
      <c r="Q579" s="379"/>
      <c r="R579" s="379"/>
      <c r="S579" s="379"/>
      <c r="T579" s="379"/>
      <c r="U579" s="379"/>
      <c r="V579" s="380">
        <v>1820.71</v>
      </c>
      <c r="W579" s="381"/>
      <c r="X579" s="379"/>
      <c r="Y579" s="379"/>
      <c r="Z579" s="379">
        <v>1401202</v>
      </c>
      <c r="AA579" s="379" t="s">
        <v>2380</v>
      </c>
      <c r="AB579" s="380">
        <f t="shared" si="8"/>
        <v>0</v>
      </c>
    </row>
    <row r="580" spans="1:28" outlineLevel="2" x14ac:dyDescent="0.3">
      <c r="A580" s="379">
        <v>654</v>
      </c>
      <c r="B580" s="379">
        <v>813810</v>
      </c>
      <c r="C580" s="379" t="s">
        <v>2932</v>
      </c>
      <c r="D580" s="379">
        <v>3594485</v>
      </c>
      <c r="E580" s="379" t="s">
        <v>2698</v>
      </c>
      <c r="F580" s="379" t="s">
        <v>2699</v>
      </c>
      <c r="G580" s="383">
        <v>42826</v>
      </c>
      <c r="H580" s="379">
        <v>2220</v>
      </c>
      <c r="I580" s="379">
        <v>82.52</v>
      </c>
      <c r="J580" s="379">
        <v>233.09</v>
      </c>
      <c r="K580" s="379">
        <v>166.49</v>
      </c>
      <c r="L580" s="379"/>
      <c r="M580" s="379">
        <v>4.43</v>
      </c>
      <c r="N580" s="379"/>
      <c r="O580" s="379">
        <v>2220</v>
      </c>
      <c r="P580" s="379"/>
      <c r="Q580" s="379"/>
      <c r="R580" s="379"/>
      <c r="S580" s="379"/>
      <c r="T580" s="379"/>
      <c r="U580" s="379"/>
      <c r="V580" s="380">
        <v>2706.53</v>
      </c>
      <c r="W580" s="381"/>
      <c r="X580" s="379"/>
      <c r="Y580" s="379"/>
      <c r="Z580" s="379">
        <v>5821001</v>
      </c>
      <c r="AA580" s="379" t="s">
        <v>2427</v>
      </c>
      <c r="AB580" s="380">
        <f t="shared" si="8"/>
        <v>0</v>
      </c>
    </row>
    <row r="581" spans="1:28" outlineLevel="2" x14ac:dyDescent="0.3">
      <c r="A581" s="379">
        <v>654</v>
      </c>
      <c r="B581" s="379">
        <v>813810</v>
      </c>
      <c r="C581" s="379" t="s">
        <v>2932</v>
      </c>
      <c r="D581" s="379">
        <v>3627661</v>
      </c>
      <c r="E581" s="379" t="s">
        <v>2323</v>
      </c>
      <c r="F581" s="379" t="s">
        <v>2686</v>
      </c>
      <c r="G581" s="383">
        <v>42248</v>
      </c>
      <c r="H581" s="379">
        <v>2331</v>
      </c>
      <c r="I581" s="379">
        <v>107.53</v>
      </c>
      <c r="J581" s="379">
        <v>233.08</v>
      </c>
      <c r="K581" s="379">
        <v>174.82</v>
      </c>
      <c r="L581" s="379"/>
      <c r="M581" s="379">
        <v>4.43</v>
      </c>
      <c r="N581" s="379"/>
      <c r="O581" s="379">
        <v>2331</v>
      </c>
      <c r="P581" s="379"/>
      <c r="Q581" s="379"/>
      <c r="R581" s="379"/>
      <c r="S581" s="379"/>
      <c r="T581" s="379"/>
      <c r="U581" s="379"/>
      <c r="V581" s="380">
        <v>2850.86</v>
      </c>
      <c r="W581" s="381"/>
      <c r="X581" s="379"/>
      <c r="Y581" s="379"/>
      <c r="Z581" s="379">
        <v>5821001</v>
      </c>
      <c r="AA581" s="379" t="s">
        <v>2427</v>
      </c>
      <c r="AB581" s="380">
        <f t="shared" si="8"/>
        <v>0</v>
      </c>
    </row>
    <row r="582" spans="1:28" outlineLevel="2" x14ac:dyDescent="0.3">
      <c r="A582" s="379">
        <v>654</v>
      </c>
      <c r="B582" s="379">
        <v>813810</v>
      </c>
      <c r="C582" s="379" t="s">
        <v>2932</v>
      </c>
      <c r="D582" s="379">
        <v>3658949</v>
      </c>
      <c r="E582" s="379" t="s">
        <v>2936</v>
      </c>
      <c r="F582" s="379" t="s">
        <v>2937</v>
      </c>
      <c r="G582" s="383">
        <v>43191</v>
      </c>
      <c r="H582" s="379">
        <v>1553</v>
      </c>
      <c r="I582" s="379">
        <v>55.13</v>
      </c>
      <c r="J582" s="379"/>
      <c r="K582" s="379">
        <v>116.5</v>
      </c>
      <c r="L582" s="379"/>
      <c r="M582" s="379"/>
      <c r="N582" s="379"/>
      <c r="O582" s="379"/>
      <c r="P582" s="379">
        <v>1500</v>
      </c>
      <c r="Q582" s="379">
        <v>53</v>
      </c>
      <c r="R582" s="379"/>
      <c r="S582" s="379"/>
      <c r="T582" s="379"/>
      <c r="U582" s="379"/>
      <c r="V582" s="380">
        <v>1724.63</v>
      </c>
      <c r="W582" s="381"/>
      <c r="X582" s="379"/>
      <c r="Y582" s="379"/>
      <c r="Z582" s="379">
        <v>1041001</v>
      </c>
      <c r="AA582" s="379" t="s">
        <v>2677</v>
      </c>
      <c r="AB582" s="380">
        <f t="shared" si="8"/>
        <v>0</v>
      </c>
    </row>
    <row r="583" spans="1:28" outlineLevel="2" x14ac:dyDescent="0.3">
      <c r="A583" s="379">
        <v>654</v>
      </c>
      <c r="B583" s="379">
        <v>813810</v>
      </c>
      <c r="C583" s="379" t="s">
        <v>2932</v>
      </c>
      <c r="D583" s="379">
        <v>3767647</v>
      </c>
      <c r="E583" s="379" t="s">
        <v>2938</v>
      </c>
      <c r="F583" s="379" t="s">
        <v>2396</v>
      </c>
      <c r="G583" s="383">
        <v>42186</v>
      </c>
      <c r="H583" s="379">
        <v>1553</v>
      </c>
      <c r="I583" s="379">
        <v>55.13</v>
      </c>
      <c r="J583" s="379"/>
      <c r="K583" s="379">
        <v>116.5</v>
      </c>
      <c r="L583" s="379"/>
      <c r="M583" s="379"/>
      <c r="N583" s="379"/>
      <c r="O583" s="379"/>
      <c r="P583" s="379">
        <v>1500</v>
      </c>
      <c r="Q583" s="379">
        <v>53</v>
      </c>
      <c r="R583" s="379"/>
      <c r="S583" s="379"/>
      <c r="T583" s="379"/>
      <c r="U583" s="379"/>
      <c r="V583" s="380">
        <v>1724.63</v>
      </c>
      <c r="W583" s="381"/>
      <c r="X583" s="379"/>
      <c r="Y583" s="379"/>
      <c r="Z583" s="379">
        <v>953001</v>
      </c>
      <c r="AA583" s="379" t="s">
        <v>2902</v>
      </c>
      <c r="AB583" s="380">
        <f t="shared" si="8"/>
        <v>0</v>
      </c>
    </row>
    <row r="584" spans="1:28" outlineLevel="2" x14ac:dyDescent="0.3">
      <c r="A584" s="379">
        <v>654</v>
      </c>
      <c r="B584" s="379">
        <v>813810</v>
      </c>
      <c r="C584" s="379" t="s">
        <v>2932</v>
      </c>
      <c r="D584" s="379">
        <v>3827854</v>
      </c>
      <c r="E584" s="379" t="s">
        <v>2700</v>
      </c>
      <c r="F584" s="379" t="s">
        <v>2701</v>
      </c>
      <c r="G584" s="383">
        <v>40909</v>
      </c>
      <c r="H584" s="379">
        <v>2035</v>
      </c>
      <c r="I584" s="379">
        <v>99.81</v>
      </c>
      <c r="J584" s="379">
        <v>155.38</v>
      </c>
      <c r="K584" s="379">
        <v>152.61000000000001</v>
      </c>
      <c r="L584" s="379"/>
      <c r="M584" s="379">
        <v>2.96</v>
      </c>
      <c r="N584" s="379"/>
      <c r="O584" s="379">
        <v>2035</v>
      </c>
      <c r="P584" s="379"/>
      <c r="Q584" s="379"/>
      <c r="R584" s="379"/>
      <c r="S584" s="379"/>
      <c r="T584" s="379"/>
      <c r="U584" s="379"/>
      <c r="V584" s="380">
        <v>2445.7600000000002</v>
      </c>
      <c r="W584" s="381"/>
      <c r="X584" s="379"/>
      <c r="Y584" s="379"/>
      <c r="Z584" s="379">
        <v>1401202</v>
      </c>
      <c r="AA584" s="379" t="s">
        <v>2380</v>
      </c>
      <c r="AB584" s="380">
        <f t="shared" si="8"/>
        <v>0</v>
      </c>
    </row>
    <row r="585" spans="1:28" outlineLevel="2" x14ac:dyDescent="0.3">
      <c r="A585" s="379">
        <v>654</v>
      </c>
      <c r="B585" s="379">
        <v>813810</v>
      </c>
      <c r="C585" s="379" t="s">
        <v>2932</v>
      </c>
      <c r="D585" s="379">
        <v>3873651</v>
      </c>
      <c r="E585" s="379" t="s">
        <v>2704</v>
      </c>
      <c r="F585" s="379" t="s">
        <v>2443</v>
      </c>
      <c r="G585" s="383">
        <v>43221</v>
      </c>
      <c r="H585" s="379">
        <v>1110</v>
      </c>
      <c r="I585" s="379">
        <v>46.53</v>
      </c>
      <c r="J585" s="379">
        <v>233.1</v>
      </c>
      <c r="K585" s="379">
        <v>83.24</v>
      </c>
      <c r="L585" s="379"/>
      <c r="M585" s="379">
        <v>4.43</v>
      </c>
      <c r="N585" s="379"/>
      <c r="O585" s="379">
        <v>1110</v>
      </c>
      <c r="P585" s="379"/>
      <c r="Q585" s="379"/>
      <c r="R585" s="379"/>
      <c r="S585" s="379"/>
      <c r="T585" s="379"/>
      <c r="U585" s="379"/>
      <c r="V585" s="380">
        <v>1477.3</v>
      </c>
      <c r="W585" s="381"/>
      <c r="X585" s="379"/>
      <c r="Y585" s="379"/>
      <c r="Z585" s="379">
        <v>5821001</v>
      </c>
      <c r="AA585" s="379" t="s">
        <v>2427</v>
      </c>
      <c r="AB585" s="380">
        <f t="shared" si="8"/>
        <v>0</v>
      </c>
    </row>
    <row r="586" spans="1:28" outlineLevel="2" x14ac:dyDescent="0.3">
      <c r="A586" s="379">
        <v>654</v>
      </c>
      <c r="B586" s="379">
        <v>813810</v>
      </c>
      <c r="C586" s="379" t="s">
        <v>2932</v>
      </c>
      <c r="D586" s="379">
        <v>3873846</v>
      </c>
      <c r="E586" s="379" t="s">
        <v>2332</v>
      </c>
      <c r="F586" s="379" t="s">
        <v>2416</v>
      </c>
      <c r="G586" s="383">
        <v>42248</v>
      </c>
      <c r="H586" s="379">
        <v>2220</v>
      </c>
      <c r="I586" s="379">
        <v>109.27</v>
      </c>
      <c r="J586" s="379">
        <v>233.09</v>
      </c>
      <c r="K586" s="379">
        <v>166.48</v>
      </c>
      <c r="L586" s="379"/>
      <c r="M586" s="379">
        <v>4.43</v>
      </c>
      <c r="N586" s="379"/>
      <c r="O586" s="379">
        <v>2220</v>
      </c>
      <c r="P586" s="379"/>
      <c r="Q586" s="379"/>
      <c r="R586" s="379"/>
      <c r="S586" s="379"/>
      <c r="T586" s="379"/>
      <c r="U586" s="379"/>
      <c r="V586" s="380">
        <v>2733.27</v>
      </c>
      <c r="W586" s="381"/>
      <c r="X586" s="379"/>
      <c r="Y586" s="379"/>
      <c r="Z586" s="379">
        <v>5821001</v>
      </c>
      <c r="AA586" s="379" t="s">
        <v>2427</v>
      </c>
      <c r="AB586" s="380">
        <f t="shared" si="8"/>
        <v>0</v>
      </c>
    </row>
    <row r="587" spans="1:28" outlineLevel="2" x14ac:dyDescent="0.3">
      <c r="A587" s="379">
        <v>654</v>
      </c>
      <c r="B587" s="379">
        <v>813810</v>
      </c>
      <c r="C587" s="379" t="s">
        <v>2932</v>
      </c>
      <c r="D587" s="379">
        <v>4060328</v>
      </c>
      <c r="E587" s="379" t="s">
        <v>2705</v>
      </c>
      <c r="F587" s="379" t="s">
        <v>2706</v>
      </c>
      <c r="G587" s="383">
        <v>41883</v>
      </c>
      <c r="H587" s="379">
        <v>1998</v>
      </c>
      <c r="I587" s="379">
        <v>94.79</v>
      </c>
      <c r="J587" s="379">
        <v>186.48</v>
      </c>
      <c r="K587" s="379">
        <v>149.83000000000001</v>
      </c>
      <c r="L587" s="379"/>
      <c r="M587" s="379">
        <v>3.55</v>
      </c>
      <c r="N587" s="379"/>
      <c r="O587" s="379">
        <v>1998</v>
      </c>
      <c r="P587" s="379"/>
      <c r="Q587" s="379"/>
      <c r="R587" s="379"/>
      <c r="S587" s="379"/>
      <c r="T587" s="379"/>
      <c r="U587" s="379"/>
      <c r="V587" s="380">
        <v>2432.65</v>
      </c>
      <c r="W587" s="381"/>
      <c r="X587" s="379"/>
      <c r="Y587" s="379"/>
      <c r="Z587" s="379">
        <v>5821001</v>
      </c>
      <c r="AA587" s="379" t="s">
        <v>2427</v>
      </c>
      <c r="AB587" s="380">
        <f t="shared" si="8"/>
        <v>0</v>
      </c>
    </row>
    <row r="588" spans="1:28" outlineLevel="2" x14ac:dyDescent="0.3">
      <c r="A588" s="379">
        <v>654</v>
      </c>
      <c r="B588" s="379">
        <v>813810</v>
      </c>
      <c r="C588" s="379" t="s">
        <v>2932</v>
      </c>
      <c r="D588" s="379">
        <v>4324827</v>
      </c>
      <c r="E588" s="379" t="s">
        <v>2939</v>
      </c>
      <c r="F588" s="379" t="s">
        <v>2319</v>
      </c>
      <c r="G588" s="383">
        <v>42917</v>
      </c>
      <c r="H588" s="379">
        <v>9798</v>
      </c>
      <c r="I588" s="379">
        <v>347.82</v>
      </c>
      <c r="J588" s="379"/>
      <c r="K588" s="379">
        <v>734.9</v>
      </c>
      <c r="L588" s="379"/>
      <c r="M588" s="379"/>
      <c r="N588" s="379"/>
      <c r="O588" s="379"/>
      <c r="P588" s="379">
        <v>9500</v>
      </c>
      <c r="Q588" s="379">
        <v>298</v>
      </c>
      <c r="R588" s="379"/>
      <c r="S588" s="379"/>
      <c r="T588" s="379"/>
      <c r="U588" s="379"/>
      <c r="V588" s="380">
        <v>10880.72</v>
      </c>
      <c r="W588" s="381"/>
      <c r="X588" s="379"/>
      <c r="Y588" s="379"/>
      <c r="Z588" s="379">
        <v>1041001</v>
      </c>
      <c r="AA588" s="379" t="s">
        <v>2677</v>
      </c>
      <c r="AB588" s="380">
        <f t="shared" si="8"/>
        <v>0</v>
      </c>
    </row>
    <row r="589" spans="1:28" outlineLevel="2" x14ac:dyDescent="0.3">
      <c r="A589" s="379">
        <v>654</v>
      </c>
      <c r="B589" s="379">
        <v>813810</v>
      </c>
      <c r="C589" s="379" t="s">
        <v>2932</v>
      </c>
      <c r="D589" s="379">
        <v>5268089</v>
      </c>
      <c r="E589" s="379" t="s">
        <v>2303</v>
      </c>
      <c r="F589" s="379" t="s">
        <v>2699</v>
      </c>
      <c r="G589" s="383">
        <v>43282</v>
      </c>
      <c r="H589" s="379">
        <v>15156</v>
      </c>
      <c r="I589" s="379">
        <v>597.16</v>
      </c>
      <c r="J589" s="379"/>
      <c r="K589" s="379">
        <v>1136.8</v>
      </c>
      <c r="L589" s="379"/>
      <c r="M589" s="379"/>
      <c r="N589" s="379"/>
      <c r="O589" s="379"/>
      <c r="P589" s="379">
        <v>14805</v>
      </c>
      <c r="Q589" s="379">
        <v>351</v>
      </c>
      <c r="R589" s="379"/>
      <c r="S589" s="379"/>
      <c r="T589" s="379"/>
      <c r="U589" s="379"/>
      <c r="V589" s="380">
        <v>16889.96</v>
      </c>
      <c r="W589" s="381"/>
      <c r="X589" s="379"/>
      <c r="Y589" s="379"/>
      <c r="Z589" s="379">
        <v>1041001</v>
      </c>
      <c r="AA589" s="379" t="s">
        <v>2677</v>
      </c>
      <c r="AB589" s="380">
        <f t="shared" si="8"/>
        <v>0</v>
      </c>
    </row>
    <row r="590" spans="1:28" outlineLevel="2" x14ac:dyDescent="0.3">
      <c r="A590" s="379">
        <v>654</v>
      </c>
      <c r="B590" s="379">
        <v>813810</v>
      </c>
      <c r="C590" s="379" t="s">
        <v>2932</v>
      </c>
      <c r="D590" s="379">
        <v>5429071</v>
      </c>
      <c r="E590" s="379" t="s">
        <v>2355</v>
      </c>
      <c r="F590" s="379" t="s">
        <v>2709</v>
      </c>
      <c r="G590" s="383">
        <v>43070</v>
      </c>
      <c r="H590" s="379">
        <v>1110</v>
      </c>
      <c r="I590" s="379">
        <v>39.4</v>
      </c>
      <c r="J590" s="379">
        <v>149.86000000000001</v>
      </c>
      <c r="K590" s="379">
        <v>83.24</v>
      </c>
      <c r="L590" s="379"/>
      <c r="M590" s="379"/>
      <c r="N590" s="379"/>
      <c r="O590" s="379">
        <v>1110</v>
      </c>
      <c r="P590" s="379"/>
      <c r="Q590" s="379"/>
      <c r="R590" s="379"/>
      <c r="S590" s="379"/>
      <c r="T590" s="379"/>
      <c r="U590" s="379"/>
      <c r="V590" s="380">
        <v>1382.5</v>
      </c>
      <c r="W590" s="381"/>
      <c r="X590" s="379"/>
      <c r="Y590" s="379"/>
      <c r="Z590" s="379">
        <v>1401202</v>
      </c>
      <c r="AA590" s="379" t="s">
        <v>2380</v>
      </c>
      <c r="AB590" s="380">
        <f t="shared" si="8"/>
        <v>0</v>
      </c>
    </row>
    <row r="591" spans="1:28" outlineLevel="2" x14ac:dyDescent="0.3">
      <c r="A591" s="379">
        <v>654</v>
      </c>
      <c r="B591" s="379">
        <v>813810</v>
      </c>
      <c r="C591" s="379" t="s">
        <v>2932</v>
      </c>
      <c r="D591" s="379">
        <v>5450732</v>
      </c>
      <c r="E591" s="379" t="s">
        <v>2323</v>
      </c>
      <c r="F591" s="379" t="s">
        <v>2434</v>
      </c>
      <c r="G591" s="383">
        <v>40725</v>
      </c>
      <c r="H591" s="379">
        <v>2220</v>
      </c>
      <c r="I591" s="379">
        <v>99.55</v>
      </c>
      <c r="J591" s="379">
        <v>233.1</v>
      </c>
      <c r="K591" s="379">
        <v>166.5</v>
      </c>
      <c r="L591" s="379"/>
      <c r="M591" s="379">
        <v>4.43</v>
      </c>
      <c r="N591" s="379"/>
      <c r="O591" s="379">
        <v>2220</v>
      </c>
      <c r="P591" s="379"/>
      <c r="Q591" s="379"/>
      <c r="R591" s="379"/>
      <c r="S591" s="379"/>
      <c r="T591" s="379"/>
      <c r="U591" s="379"/>
      <c r="V591" s="380">
        <v>2723.58</v>
      </c>
      <c r="W591" s="381"/>
      <c r="X591" s="379"/>
      <c r="Y591" s="379"/>
      <c r="Z591" s="379">
        <v>5821001</v>
      </c>
      <c r="AA591" s="379" t="s">
        <v>2427</v>
      </c>
      <c r="AB591" s="380">
        <f t="shared" si="8"/>
        <v>0</v>
      </c>
    </row>
    <row r="592" spans="1:28" outlineLevel="2" x14ac:dyDescent="0.3">
      <c r="A592" s="379">
        <v>654</v>
      </c>
      <c r="B592" s="379">
        <v>813810</v>
      </c>
      <c r="C592" s="379" t="s">
        <v>2932</v>
      </c>
      <c r="D592" s="379">
        <v>5653147</v>
      </c>
      <c r="E592" s="379" t="s">
        <v>2718</v>
      </c>
      <c r="F592" s="379" t="s">
        <v>2719</v>
      </c>
      <c r="G592" s="383">
        <v>43221</v>
      </c>
      <c r="H592" s="379">
        <v>1110</v>
      </c>
      <c r="I592" s="379">
        <v>39.4</v>
      </c>
      <c r="J592" s="379">
        <v>149.86000000000001</v>
      </c>
      <c r="K592" s="379">
        <v>83.25</v>
      </c>
      <c r="L592" s="379"/>
      <c r="M592" s="379"/>
      <c r="N592" s="379"/>
      <c r="O592" s="379">
        <v>1110</v>
      </c>
      <c r="P592" s="379"/>
      <c r="Q592" s="379"/>
      <c r="R592" s="379"/>
      <c r="S592" s="379"/>
      <c r="T592" s="379"/>
      <c r="U592" s="379"/>
      <c r="V592" s="380">
        <v>1382.51</v>
      </c>
      <c r="W592" s="381"/>
      <c r="X592" s="379"/>
      <c r="Y592" s="379"/>
      <c r="Z592" s="379">
        <v>5821001</v>
      </c>
      <c r="AA592" s="379" t="s">
        <v>2427</v>
      </c>
      <c r="AB592" s="380">
        <f t="shared" si="8"/>
        <v>0</v>
      </c>
    </row>
    <row r="593" spans="1:28" outlineLevel="2" x14ac:dyDescent="0.3">
      <c r="A593" s="379">
        <v>654</v>
      </c>
      <c r="B593" s="379">
        <v>813810</v>
      </c>
      <c r="C593" s="379" t="s">
        <v>2932</v>
      </c>
      <c r="D593" s="379">
        <v>5728726</v>
      </c>
      <c r="E593" s="379" t="s">
        <v>2770</v>
      </c>
      <c r="F593" s="379" t="s">
        <v>2771</v>
      </c>
      <c r="G593" s="383">
        <v>41883</v>
      </c>
      <c r="H593" s="379">
        <v>2220</v>
      </c>
      <c r="I593" s="379">
        <v>100.81</v>
      </c>
      <c r="J593" s="379">
        <v>233.09</v>
      </c>
      <c r="K593" s="379">
        <v>166.49</v>
      </c>
      <c r="L593" s="379"/>
      <c r="M593" s="379">
        <v>4.4400000000000004</v>
      </c>
      <c r="N593" s="379"/>
      <c r="O593" s="379">
        <v>2220</v>
      </c>
      <c r="P593" s="379"/>
      <c r="Q593" s="379"/>
      <c r="R593" s="379"/>
      <c r="S593" s="379"/>
      <c r="T593" s="379"/>
      <c r="U593" s="379"/>
      <c r="V593" s="380">
        <v>2724.83</v>
      </c>
      <c r="W593" s="381"/>
      <c r="X593" s="379"/>
      <c r="Y593" s="379"/>
      <c r="Z593" s="379">
        <v>1041002</v>
      </c>
      <c r="AA593" s="379" t="s">
        <v>2772</v>
      </c>
      <c r="AB593" s="380">
        <f t="shared" si="8"/>
        <v>0</v>
      </c>
    </row>
    <row r="594" spans="1:28" outlineLevel="2" x14ac:dyDescent="0.3">
      <c r="A594" s="379">
        <v>654</v>
      </c>
      <c r="B594" s="379">
        <v>813810</v>
      </c>
      <c r="C594" s="379" t="s">
        <v>2932</v>
      </c>
      <c r="D594" s="379">
        <v>5789287</v>
      </c>
      <c r="E594" s="379" t="s">
        <v>2720</v>
      </c>
      <c r="F594" s="379" t="s">
        <v>2721</v>
      </c>
      <c r="G594" s="383">
        <v>40603</v>
      </c>
      <c r="H594" s="379">
        <v>1998</v>
      </c>
      <c r="I594" s="379">
        <v>97.7</v>
      </c>
      <c r="J594" s="379">
        <v>233.09</v>
      </c>
      <c r="K594" s="379">
        <v>149.85</v>
      </c>
      <c r="L594" s="379"/>
      <c r="M594" s="379">
        <v>4.4400000000000004</v>
      </c>
      <c r="N594" s="379"/>
      <c r="O594" s="379">
        <v>1998</v>
      </c>
      <c r="P594" s="379"/>
      <c r="Q594" s="379"/>
      <c r="R594" s="379"/>
      <c r="S594" s="379"/>
      <c r="T594" s="379"/>
      <c r="U594" s="379"/>
      <c r="V594" s="380">
        <v>2483.08</v>
      </c>
      <c r="W594" s="381"/>
      <c r="X594" s="379"/>
      <c r="Y594" s="379"/>
      <c r="Z594" s="379">
        <v>5821001</v>
      </c>
      <c r="AA594" s="379" t="s">
        <v>2427</v>
      </c>
      <c r="AB594" s="380">
        <f t="shared" si="8"/>
        <v>0</v>
      </c>
    </row>
    <row r="595" spans="1:28" outlineLevel="2" x14ac:dyDescent="0.3">
      <c r="A595" s="379">
        <v>654</v>
      </c>
      <c r="B595" s="379">
        <v>813810</v>
      </c>
      <c r="C595" s="379" t="s">
        <v>2932</v>
      </c>
      <c r="D595" s="379">
        <v>5873525</v>
      </c>
      <c r="E595" s="379" t="s">
        <v>2724</v>
      </c>
      <c r="F595" s="379" t="s">
        <v>2725</v>
      </c>
      <c r="G595" s="383">
        <v>43160</v>
      </c>
      <c r="H595" s="379">
        <v>2349</v>
      </c>
      <c r="I595" s="379">
        <v>85.21</v>
      </c>
      <c r="J595" s="379">
        <v>124.32</v>
      </c>
      <c r="K595" s="379">
        <v>176.17</v>
      </c>
      <c r="L595" s="379"/>
      <c r="M595" s="379">
        <v>2.36</v>
      </c>
      <c r="N595" s="379"/>
      <c r="O595" s="379">
        <v>2349</v>
      </c>
      <c r="P595" s="379"/>
      <c r="Q595" s="379"/>
      <c r="R595" s="379"/>
      <c r="S595" s="379"/>
      <c r="T595" s="379"/>
      <c r="U595" s="379"/>
      <c r="V595" s="380">
        <v>2737.06</v>
      </c>
      <c r="W595" s="381"/>
      <c r="X595" s="379"/>
      <c r="Y595" s="379"/>
      <c r="Z595" s="379">
        <v>1041001</v>
      </c>
      <c r="AA595" s="379" t="s">
        <v>2677</v>
      </c>
      <c r="AB595" s="380">
        <f t="shared" si="8"/>
        <v>0</v>
      </c>
    </row>
    <row r="596" spans="1:28" outlineLevel="2" x14ac:dyDescent="0.3">
      <c r="A596" s="379">
        <v>654</v>
      </c>
      <c r="B596" s="379">
        <v>813810</v>
      </c>
      <c r="C596" s="379" t="s">
        <v>2932</v>
      </c>
      <c r="D596" s="379">
        <v>5877574</v>
      </c>
      <c r="E596" s="379" t="s">
        <v>2726</v>
      </c>
      <c r="F596" s="379" t="s">
        <v>2349</v>
      </c>
      <c r="G596" s="383">
        <v>39845</v>
      </c>
      <c r="H596" s="379">
        <v>1683</v>
      </c>
      <c r="I596" s="379">
        <v>81.040000000000006</v>
      </c>
      <c r="J596" s="379">
        <v>143.63</v>
      </c>
      <c r="K596" s="379">
        <v>126.21</v>
      </c>
      <c r="L596" s="379"/>
      <c r="M596" s="379">
        <v>2.73</v>
      </c>
      <c r="N596" s="379"/>
      <c r="O596" s="379">
        <v>1683</v>
      </c>
      <c r="P596" s="379"/>
      <c r="Q596" s="379"/>
      <c r="R596" s="379"/>
      <c r="S596" s="379"/>
      <c r="T596" s="379"/>
      <c r="U596" s="379"/>
      <c r="V596" s="380">
        <v>2036.61</v>
      </c>
      <c r="W596" s="381"/>
      <c r="X596" s="379"/>
      <c r="Y596" s="379"/>
      <c r="Z596" s="379">
        <v>5821001</v>
      </c>
      <c r="AA596" s="379" t="s">
        <v>2427</v>
      </c>
      <c r="AB596" s="380">
        <f t="shared" si="8"/>
        <v>0</v>
      </c>
    </row>
    <row r="597" spans="1:28" outlineLevel="2" x14ac:dyDescent="0.3">
      <c r="A597" s="379">
        <v>654</v>
      </c>
      <c r="B597" s="379">
        <v>813810</v>
      </c>
      <c r="C597" s="379" t="s">
        <v>2932</v>
      </c>
      <c r="D597" s="379">
        <v>5877930</v>
      </c>
      <c r="E597" s="379" t="s">
        <v>2727</v>
      </c>
      <c r="F597" s="379" t="s">
        <v>2696</v>
      </c>
      <c r="G597" s="383">
        <v>35034</v>
      </c>
      <c r="H597" s="379">
        <v>2220</v>
      </c>
      <c r="I597" s="379">
        <v>113.62</v>
      </c>
      <c r="J597" s="379">
        <v>101.56</v>
      </c>
      <c r="K597" s="379">
        <v>166.5</v>
      </c>
      <c r="L597" s="379"/>
      <c r="M597" s="379">
        <v>4.4400000000000004</v>
      </c>
      <c r="N597" s="379"/>
      <c r="O597" s="379">
        <v>2220</v>
      </c>
      <c r="P597" s="379"/>
      <c r="Q597" s="379"/>
      <c r="R597" s="379"/>
      <c r="S597" s="379"/>
      <c r="T597" s="379"/>
      <c r="U597" s="379"/>
      <c r="V597" s="380">
        <v>2606.12</v>
      </c>
      <c r="W597" s="381"/>
      <c r="X597" s="379"/>
      <c r="Y597" s="379"/>
      <c r="Z597" s="379">
        <v>5821001</v>
      </c>
      <c r="AA597" s="379" t="s">
        <v>2427</v>
      </c>
      <c r="AB597" s="380">
        <f t="shared" si="8"/>
        <v>0</v>
      </c>
    </row>
    <row r="598" spans="1:28" outlineLevel="2" x14ac:dyDescent="0.3">
      <c r="A598" s="379">
        <v>654</v>
      </c>
      <c r="B598" s="379">
        <v>813810</v>
      </c>
      <c r="C598" s="379" t="s">
        <v>2932</v>
      </c>
      <c r="D598" s="379">
        <v>5905645</v>
      </c>
      <c r="E598" s="379" t="s">
        <v>2398</v>
      </c>
      <c r="F598" s="379" t="s">
        <v>2450</v>
      </c>
      <c r="G598" s="383">
        <v>43040</v>
      </c>
      <c r="H598" s="379">
        <v>2220</v>
      </c>
      <c r="I598" s="379">
        <v>78.8</v>
      </c>
      <c r="J598" s="379">
        <v>233.08</v>
      </c>
      <c r="K598" s="379">
        <v>166.49</v>
      </c>
      <c r="L598" s="379"/>
      <c r="M598" s="379"/>
      <c r="N598" s="379"/>
      <c r="O598" s="379">
        <v>2220</v>
      </c>
      <c r="P598" s="379"/>
      <c r="Q598" s="379"/>
      <c r="R598" s="379"/>
      <c r="S598" s="379"/>
      <c r="T598" s="379"/>
      <c r="U598" s="379"/>
      <c r="V598" s="380">
        <v>2698.37</v>
      </c>
      <c r="W598" s="381"/>
      <c r="X598" s="379"/>
      <c r="Y598" s="379"/>
      <c r="Z598" s="379">
        <v>5821001</v>
      </c>
      <c r="AA598" s="379" t="s">
        <v>2427</v>
      </c>
      <c r="AB598" s="380">
        <f t="shared" si="8"/>
        <v>0</v>
      </c>
    </row>
    <row r="599" spans="1:28" outlineLevel="2" x14ac:dyDescent="0.3">
      <c r="A599" s="379">
        <v>654</v>
      </c>
      <c r="B599" s="379">
        <v>813810</v>
      </c>
      <c r="C599" s="379" t="s">
        <v>2932</v>
      </c>
      <c r="D599" s="379">
        <v>5918616</v>
      </c>
      <c r="E599" s="379" t="s">
        <v>2729</v>
      </c>
      <c r="F599" s="379" t="s">
        <v>2349</v>
      </c>
      <c r="G599" s="383">
        <v>40057</v>
      </c>
      <c r="H599" s="379">
        <v>2220</v>
      </c>
      <c r="I599" s="379">
        <v>114.05</v>
      </c>
      <c r="J599" s="379">
        <v>233.1</v>
      </c>
      <c r="K599" s="379">
        <v>166.49</v>
      </c>
      <c r="L599" s="379"/>
      <c r="M599" s="379">
        <v>4.4400000000000004</v>
      </c>
      <c r="N599" s="379"/>
      <c r="O599" s="379">
        <v>2220</v>
      </c>
      <c r="P599" s="379"/>
      <c r="Q599" s="379"/>
      <c r="R599" s="379"/>
      <c r="S599" s="379"/>
      <c r="T599" s="379"/>
      <c r="U599" s="379"/>
      <c r="V599" s="380">
        <v>2738.08</v>
      </c>
      <c r="W599" s="381"/>
      <c r="X599" s="379"/>
      <c r="Y599" s="379"/>
      <c r="Z599" s="379">
        <v>5821001</v>
      </c>
      <c r="AA599" s="379" t="s">
        <v>2427</v>
      </c>
      <c r="AB599" s="380">
        <f t="shared" si="8"/>
        <v>0</v>
      </c>
    </row>
    <row r="600" spans="1:28" outlineLevel="2" x14ac:dyDescent="0.3">
      <c r="A600" s="379">
        <v>654</v>
      </c>
      <c r="B600" s="379">
        <v>813810</v>
      </c>
      <c r="C600" s="379" t="s">
        <v>2932</v>
      </c>
      <c r="D600" s="379">
        <v>6284185</v>
      </c>
      <c r="E600" s="379" t="s">
        <v>2384</v>
      </c>
      <c r="F600" s="379" t="s">
        <v>2773</v>
      </c>
      <c r="G600" s="383">
        <v>40787</v>
      </c>
      <c r="H600" s="379">
        <v>2664</v>
      </c>
      <c r="I600" s="379">
        <v>123.56</v>
      </c>
      <c r="J600" s="379">
        <v>233.08</v>
      </c>
      <c r="K600" s="379">
        <v>199.78</v>
      </c>
      <c r="L600" s="379"/>
      <c r="M600" s="379">
        <v>4.43</v>
      </c>
      <c r="N600" s="379"/>
      <c r="O600" s="379">
        <v>2664</v>
      </c>
      <c r="P600" s="379"/>
      <c r="Q600" s="379"/>
      <c r="R600" s="379"/>
      <c r="S600" s="379"/>
      <c r="T600" s="379"/>
      <c r="U600" s="379"/>
      <c r="V600" s="380">
        <v>3224.85</v>
      </c>
      <c r="W600" s="381"/>
      <c r="X600" s="379"/>
      <c r="Y600" s="379"/>
      <c r="Z600" s="379">
        <v>5821001</v>
      </c>
      <c r="AA600" s="379" t="s">
        <v>2427</v>
      </c>
      <c r="AB600" s="380">
        <f t="shared" si="8"/>
        <v>0</v>
      </c>
    </row>
    <row r="601" spans="1:28" outlineLevel="2" x14ac:dyDescent="0.3">
      <c r="A601" s="379">
        <v>654</v>
      </c>
      <c r="B601" s="379">
        <v>813810</v>
      </c>
      <c r="C601" s="379" t="s">
        <v>2932</v>
      </c>
      <c r="D601" s="379">
        <v>6293365</v>
      </c>
      <c r="E601" s="379" t="s">
        <v>2774</v>
      </c>
      <c r="F601" s="379" t="s">
        <v>2322</v>
      </c>
      <c r="G601" s="383">
        <v>41214</v>
      </c>
      <c r="H601" s="379">
        <v>2331</v>
      </c>
      <c r="I601" s="379">
        <v>11.19</v>
      </c>
      <c r="J601" s="379">
        <v>149.85</v>
      </c>
      <c r="K601" s="379">
        <v>174.83</v>
      </c>
      <c r="L601" s="379"/>
      <c r="M601" s="379"/>
      <c r="N601" s="379"/>
      <c r="O601" s="379">
        <v>2331</v>
      </c>
      <c r="P601" s="379"/>
      <c r="Q601" s="379"/>
      <c r="R601" s="379"/>
      <c r="S601" s="379"/>
      <c r="T601" s="379"/>
      <c r="U601" s="379"/>
      <c r="V601" s="380">
        <v>2666.87</v>
      </c>
      <c r="W601" s="381"/>
      <c r="X601" s="379">
        <v>1</v>
      </c>
      <c r="Y601" s="379" t="s">
        <v>2353</v>
      </c>
      <c r="Z601" s="379">
        <v>5931001</v>
      </c>
      <c r="AA601" s="379" t="s">
        <v>2320</v>
      </c>
      <c r="AB601" s="380">
        <f t="shared" si="8"/>
        <v>0</v>
      </c>
    </row>
    <row r="602" spans="1:28" outlineLevel="2" x14ac:dyDescent="0.3">
      <c r="A602" s="379">
        <v>654</v>
      </c>
      <c r="B602" s="379">
        <v>813810</v>
      </c>
      <c r="C602" s="379" t="s">
        <v>2932</v>
      </c>
      <c r="D602" s="379">
        <v>6759276</v>
      </c>
      <c r="E602" s="379" t="s">
        <v>2734</v>
      </c>
      <c r="F602" s="379" t="s">
        <v>2735</v>
      </c>
      <c r="G602" s="383">
        <v>41487</v>
      </c>
      <c r="H602" s="379">
        <v>1110</v>
      </c>
      <c r="I602" s="379">
        <v>9.9600000000000009</v>
      </c>
      <c r="J602" s="379"/>
      <c r="K602" s="379">
        <v>83.24</v>
      </c>
      <c r="L602" s="379"/>
      <c r="M602" s="379"/>
      <c r="N602" s="379"/>
      <c r="O602" s="379">
        <v>1110</v>
      </c>
      <c r="P602" s="379"/>
      <c r="Q602" s="379"/>
      <c r="R602" s="379"/>
      <c r="S602" s="379"/>
      <c r="T602" s="379"/>
      <c r="U602" s="379"/>
      <c r="V602" s="380">
        <v>1203.2</v>
      </c>
      <c r="W602" s="381"/>
      <c r="X602" s="379"/>
      <c r="Y602" s="379"/>
      <c r="Z602" s="379">
        <v>5821001</v>
      </c>
      <c r="AA602" s="379" t="s">
        <v>2427</v>
      </c>
      <c r="AB602" s="380">
        <f t="shared" si="8"/>
        <v>0</v>
      </c>
    </row>
    <row r="603" spans="1:28" outlineLevel="2" x14ac:dyDescent="0.3">
      <c r="A603" s="379">
        <v>654</v>
      </c>
      <c r="B603" s="379">
        <v>813810</v>
      </c>
      <c r="C603" s="379" t="s">
        <v>2932</v>
      </c>
      <c r="D603" s="379">
        <v>6777597</v>
      </c>
      <c r="E603" s="379" t="s">
        <v>2384</v>
      </c>
      <c r="F603" s="379" t="s">
        <v>2385</v>
      </c>
      <c r="G603" s="383">
        <v>42278</v>
      </c>
      <c r="H603" s="379">
        <v>236</v>
      </c>
      <c r="I603" s="379">
        <v>8.3699999999999992</v>
      </c>
      <c r="J603" s="379">
        <v>31.86</v>
      </c>
      <c r="K603" s="379">
        <v>17.690000000000001</v>
      </c>
      <c r="L603" s="379"/>
      <c r="M603" s="379"/>
      <c r="N603" s="379"/>
      <c r="O603" s="379"/>
      <c r="P603" s="379">
        <v>236</v>
      </c>
      <c r="Q603" s="379"/>
      <c r="R603" s="379"/>
      <c r="S603" s="379"/>
      <c r="T603" s="379"/>
      <c r="U603" s="379"/>
      <c r="V603" s="380">
        <v>293.92</v>
      </c>
      <c r="W603" s="381"/>
      <c r="X603" s="379">
        <v>1</v>
      </c>
      <c r="Y603" s="379" t="s">
        <v>2353</v>
      </c>
      <c r="Z603" s="379">
        <v>5923001</v>
      </c>
      <c r="AA603" s="379" t="s">
        <v>2354</v>
      </c>
      <c r="AB603" s="380">
        <f t="shared" si="8"/>
        <v>0</v>
      </c>
    </row>
    <row r="604" spans="1:28" outlineLevel="2" x14ac:dyDescent="0.3">
      <c r="A604" s="379">
        <v>654</v>
      </c>
      <c r="B604" s="379">
        <v>813810</v>
      </c>
      <c r="C604" s="379" t="s">
        <v>2932</v>
      </c>
      <c r="D604" s="379">
        <v>6830956</v>
      </c>
      <c r="E604" s="379" t="s">
        <v>2486</v>
      </c>
      <c r="F604" s="379" t="s">
        <v>2366</v>
      </c>
      <c r="G604" s="383">
        <v>41883</v>
      </c>
      <c r="H604" s="379">
        <v>2146</v>
      </c>
      <c r="I604" s="379">
        <v>96.83</v>
      </c>
      <c r="J604" s="379">
        <v>233.1</v>
      </c>
      <c r="K604" s="379">
        <v>160.94999999999999</v>
      </c>
      <c r="L604" s="379"/>
      <c r="M604" s="379">
        <v>4.4400000000000004</v>
      </c>
      <c r="N604" s="379"/>
      <c r="O604" s="379">
        <v>2146</v>
      </c>
      <c r="P604" s="379"/>
      <c r="Q604" s="379"/>
      <c r="R604" s="379"/>
      <c r="S604" s="379"/>
      <c r="T604" s="379"/>
      <c r="U604" s="379"/>
      <c r="V604" s="380">
        <v>2641.32</v>
      </c>
      <c r="W604" s="381"/>
      <c r="X604" s="379"/>
      <c r="Y604" s="379"/>
      <c r="Z604" s="379">
        <v>5821001</v>
      </c>
      <c r="AA604" s="379" t="s">
        <v>2427</v>
      </c>
      <c r="AB604" s="380">
        <f t="shared" si="8"/>
        <v>0</v>
      </c>
    </row>
    <row r="605" spans="1:28" outlineLevel="2" x14ac:dyDescent="0.3">
      <c r="A605" s="379">
        <v>654</v>
      </c>
      <c r="B605" s="379">
        <v>813810</v>
      </c>
      <c r="C605" s="379" t="s">
        <v>2932</v>
      </c>
      <c r="D605" s="379">
        <v>6836435</v>
      </c>
      <c r="E605" s="379" t="s">
        <v>2621</v>
      </c>
      <c r="F605" s="379" t="s">
        <v>2696</v>
      </c>
      <c r="G605" s="383">
        <v>41030</v>
      </c>
      <c r="H605" s="379">
        <v>19726.5</v>
      </c>
      <c r="I605" s="379">
        <v>1017.56</v>
      </c>
      <c r="J605" s="379">
        <v>2602.8000000000002</v>
      </c>
      <c r="K605" s="379">
        <v>1479.5</v>
      </c>
      <c r="L605" s="379"/>
      <c r="M605" s="379"/>
      <c r="N605" s="379"/>
      <c r="O605" s="379"/>
      <c r="P605" s="379">
        <v>19280</v>
      </c>
      <c r="Q605" s="379">
        <v>446.5</v>
      </c>
      <c r="R605" s="379"/>
      <c r="S605" s="379"/>
      <c r="T605" s="379"/>
      <c r="U605" s="379"/>
      <c r="V605" s="380">
        <v>24826.36</v>
      </c>
      <c r="W605" s="381"/>
      <c r="X605" s="379">
        <v>1</v>
      </c>
      <c r="Y605" s="379" t="s">
        <v>2353</v>
      </c>
      <c r="Z605" s="379">
        <v>951001</v>
      </c>
      <c r="AA605" s="379" t="s">
        <v>2364</v>
      </c>
      <c r="AB605" s="380">
        <f t="shared" si="8"/>
        <v>0</v>
      </c>
    </row>
    <row r="606" spans="1:28" outlineLevel="2" x14ac:dyDescent="0.3">
      <c r="A606" s="379">
        <v>654</v>
      </c>
      <c r="B606" s="379">
        <v>813810</v>
      </c>
      <c r="C606" s="379" t="s">
        <v>2932</v>
      </c>
      <c r="D606" s="379">
        <v>20099677</v>
      </c>
      <c r="E606" s="379" t="s">
        <v>970</v>
      </c>
      <c r="F606" s="379" t="s">
        <v>2854</v>
      </c>
      <c r="G606" s="383">
        <v>43435</v>
      </c>
      <c r="H606" s="379">
        <v>1553</v>
      </c>
      <c r="I606" s="379">
        <v>55.13</v>
      </c>
      <c r="J606" s="379"/>
      <c r="K606" s="379">
        <v>116.5</v>
      </c>
      <c r="L606" s="379"/>
      <c r="M606" s="379"/>
      <c r="N606" s="379"/>
      <c r="O606" s="379"/>
      <c r="P606" s="379">
        <v>1500</v>
      </c>
      <c r="Q606" s="379">
        <v>53</v>
      </c>
      <c r="R606" s="379"/>
      <c r="S606" s="379"/>
      <c r="T606" s="379"/>
      <c r="U606" s="379"/>
      <c r="V606" s="380">
        <v>1724.63</v>
      </c>
      <c r="W606" s="381"/>
      <c r="X606" s="379"/>
      <c r="Y606" s="379"/>
      <c r="Z606" s="379">
        <v>1041001</v>
      </c>
      <c r="AA606" s="379" t="s">
        <v>2677</v>
      </c>
      <c r="AB606" s="380">
        <f t="shared" si="8"/>
        <v>0</v>
      </c>
    </row>
    <row r="607" spans="1:28" outlineLevel="2" x14ac:dyDescent="0.3">
      <c r="A607" s="379">
        <v>654</v>
      </c>
      <c r="B607" s="379">
        <v>813810</v>
      </c>
      <c r="C607" s="379" t="s">
        <v>2932</v>
      </c>
      <c r="D607" s="379">
        <v>20313290</v>
      </c>
      <c r="E607" s="379" t="s">
        <v>2318</v>
      </c>
      <c r="F607" s="379" t="s">
        <v>2744</v>
      </c>
      <c r="G607" s="383">
        <v>43160</v>
      </c>
      <c r="H607" s="379">
        <v>1517</v>
      </c>
      <c r="I607" s="379">
        <v>53.84</v>
      </c>
      <c r="J607" s="379">
        <v>233.1</v>
      </c>
      <c r="K607" s="379">
        <v>113.76</v>
      </c>
      <c r="L607" s="379"/>
      <c r="M607" s="379">
        <v>4.4400000000000004</v>
      </c>
      <c r="N607" s="379"/>
      <c r="O607" s="379">
        <v>1517</v>
      </c>
      <c r="P607" s="379"/>
      <c r="Q607" s="379"/>
      <c r="R607" s="379"/>
      <c r="S607" s="379"/>
      <c r="T607" s="379"/>
      <c r="U607" s="379"/>
      <c r="V607" s="380">
        <v>1922.14</v>
      </c>
      <c r="W607" s="381"/>
      <c r="X607" s="379"/>
      <c r="Y607" s="379"/>
      <c r="Z607" s="379">
        <v>5821001</v>
      </c>
      <c r="AA607" s="379" t="s">
        <v>2427</v>
      </c>
      <c r="AB607" s="380">
        <f t="shared" si="8"/>
        <v>0</v>
      </c>
    </row>
    <row r="608" spans="1:28" outlineLevel="2" x14ac:dyDescent="0.3">
      <c r="A608" s="379">
        <v>654</v>
      </c>
      <c r="B608" s="379">
        <v>813810</v>
      </c>
      <c r="C608" s="379" t="s">
        <v>2932</v>
      </c>
      <c r="D608" s="379">
        <v>20333124</v>
      </c>
      <c r="E608" s="379" t="s">
        <v>2940</v>
      </c>
      <c r="F608" s="379" t="s">
        <v>2941</v>
      </c>
      <c r="G608" s="383">
        <v>43556</v>
      </c>
      <c r="H608" s="379">
        <v>1022</v>
      </c>
      <c r="I608" s="379">
        <v>36.28</v>
      </c>
      <c r="J608" s="379"/>
      <c r="K608" s="379">
        <v>76.650000000000006</v>
      </c>
      <c r="L608" s="379"/>
      <c r="M608" s="379"/>
      <c r="N608" s="379"/>
      <c r="O608" s="379"/>
      <c r="P608" s="379">
        <v>990</v>
      </c>
      <c r="Q608" s="379">
        <v>32</v>
      </c>
      <c r="R608" s="379"/>
      <c r="S608" s="379"/>
      <c r="T608" s="379"/>
      <c r="U608" s="379"/>
      <c r="V608" s="380">
        <v>1134.93</v>
      </c>
      <c r="W608" s="381"/>
      <c r="X608" s="379"/>
      <c r="Y608" s="379"/>
      <c r="Z608" s="379">
        <v>1041001</v>
      </c>
      <c r="AA608" s="379" t="s">
        <v>2677</v>
      </c>
      <c r="AB608" s="380">
        <f t="shared" si="8"/>
        <v>0</v>
      </c>
    </row>
    <row r="609" spans="1:28" outlineLevel="2" x14ac:dyDescent="0.3">
      <c r="A609" s="379">
        <v>654</v>
      </c>
      <c r="B609" s="379">
        <v>813810</v>
      </c>
      <c r="C609" s="379" t="s">
        <v>2932</v>
      </c>
      <c r="D609" s="379">
        <v>20584006</v>
      </c>
      <c r="E609" s="379" t="s">
        <v>2457</v>
      </c>
      <c r="F609" s="379" t="s">
        <v>2942</v>
      </c>
      <c r="G609" s="383">
        <v>42917</v>
      </c>
      <c r="H609" s="379">
        <v>16786.3</v>
      </c>
      <c r="I609" s="379">
        <v>794.14</v>
      </c>
      <c r="J609" s="379"/>
      <c r="K609" s="379">
        <v>1258.95</v>
      </c>
      <c r="L609" s="379"/>
      <c r="M609" s="379"/>
      <c r="N609" s="379"/>
      <c r="O609" s="379"/>
      <c r="P609" s="379">
        <v>16425</v>
      </c>
      <c r="Q609" s="379">
        <v>361.3</v>
      </c>
      <c r="R609" s="379"/>
      <c r="S609" s="379"/>
      <c r="T609" s="379"/>
      <c r="U609" s="379"/>
      <c r="V609" s="380">
        <v>18839.39</v>
      </c>
      <c r="W609" s="381"/>
      <c r="X609" s="379"/>
      <c r="Y609" s="379"/>
      <c r="Z609" s="379">
        <v>1041001</v>
      </c>
      <c r="AA609" s="379" t="s">
        <v>2677</v>
      </c>
      <c r="AB609" s="380">
        <f t="shared" si="8"/>
        <v>0</v>
      </c>
    </row>
    <row r="610" spans="1:28" outlineLevel="2" x14ac:dyDescent="0.3">
      <c r="A610" s="379">
        <v>654</v>
      </c>
      <c r="B610" s="379">
        <v>813810</v>
      </c>
      <c r="C610" s="379" t="s">
        <v>2932</v>
      </c>
      <c r="D610" s="379">
        <v>30297212</v>
      </c>
      <c r="E610" s="379" t="s">
        <v>2943</v>
      </c>
      <c r="F610" s="379" t="s">
        <v>2944</v>
      </c>
      <c r="G610" s="383">
        <v>42917</v>
      </c>
      <c r="H610" s="379">
        <v>1553</v>
      </c>
      <c r="I610" s="379">
        <v>55.13</v>
      </c>
      <c r="J610" s="379"/>
      <c r="K610" s="379">
        <v>116.5</v>
      </c>
      <c r="L610" s="379"/>
      <c r="M610" s="379"/>
      <c r="N610" s="379"/>
      <c r="O610" s="379"/>
      <c r="P610" s="379">
        <v>1500</v>
      </c>
      <c r="Q610" s="379">
        <v>53</v>
      </c>
      <c r="R610" s="379"/>
      <c r="S610" s="379"/>
      <c r="T610" s="379"/>
      <c r="U610" s="379"/>
      <c r="V610" s="380">
        <v>1724.63</v>
      </c>
      <c r="W610" s="381"/>
      <c r="X610" s="379"/>
      <c r="Y610" s="379"/>
      <c r="Z610" s="379">
        <v>1041001</v>
      </c>
      <c r="AA610" s="379" t="s">
        <v>2677</v>
      </c>
      <c r="AB610" s="380">
        <f t="shared" si="8"/>
        <v>0</v>
      </c>
    </row>
    <row r="611" spans="1:28" outlineLevel="2" x14ac:dyDescent="0.3">
      <c r="A611" s="379">
        <v>654</v>
      </c>
      <c r="B611" s="379">
        <v>813810</v>
      </c>
      <c r="C611" s="379" t="s">
        <v>2932</v>
      </c>
      <c r="D611" s="379">
        <v>30308712</v>
      </c>
      <c r="E611" s="379" t="s">
        <v>2775</v>
      </c>
      <c r="F611" s="379" t="s">
        <v>2776</v>
      </c>
      <c r="G611" s="383">
        <v>42705</v>
      </c>
      <c r="H611" s="379">
        <v>2423</v>
      </c>
      <c r="I611" s="379">
        <v>112.05</v>
      </c>
      <c r="J611" s="379">
        <v>233.09</v>
      </c>
      <c r="K611" s="379">
        <v>181.71</v>
      </c>
      <c r="L611" s="379"/>
      <c r="M611" s="379">
        <v>4.43</v>
      </c>
      <c r="N611" s="379"/>
      <c r="O611" s="379">
        <v>2423</v>
      </c>
      <c r="P611" s="379"/>
      <c r="Q611" s="379"/>
      <c r="R611" s="379"/>
      <c r="S611" s="379"/>
      <c r="T611" s="379"/>
      <c r="U611" s="379"/>
      <c r="V611" s="380">
        <v>2954.28</v>
      </c>
      <c r="W611" s="381"/>
      <c r="X611" s="379"/>
      <c r="Y611" s="379"/>
      <c r="Z611" s="379">
        <v>5821001</v>
      </c>
      <c r="AA611" s="379" t="s">
        <v>2427</v>
      </c>
      <c r="AB611" s="380">
        <f t="shared" si="8"/>
        <v>0</v>
      </c>
    </row>
    <row r="612" spans="1:28" outlineLevel="2" x14ac:dyDescent="0.3">
      <c r="A612" s="379">
        <v>654</v>
      </c>
      <c r="B612" s="379">
        <v>813810</v>
      </c>
      <c r="C612" s="379" t="s">
        <v>2932</v>
      </c>
      <c r="D612" s="379">
        <v>30549007</v>
      </c>
      <c r="E612" s="379" t="s">
        <v>2597</v>
      </c>
      <c r="F612" s="379" t="s">
        <v>2424</v>
      </c>
      <c r="G612" s="383">
        <v>42614</v>
      </c>
      <c r="H612" s="379">
        <v>1110</v>
      </c>
      <c r="I612" s="379">
        <v>51.7</v>
      </c>
      <c r="J612" s="379"/>
      <c r="K612" s="379">
        <v>83.24</v>
      </c>
      <c r="L612" s="379"/>
      <c r="M612" s="379"/>
      <c r="N612" s="379"/>
      <c r="O612" s="379">
        <v>1110</v>
      </c>
      <c r="P612" s="379"/>
      <c r="Q612" s="379"/>
      <c r="R612" s="379"/>
      <c r="S612" s="379"/>
      <c r="T612" s="379"/>
      <c r="U612" s="379"/>
      <c r="V612" s="380">
        <v>1244.94</v>
      </c>
      <c r="W612" s="381"/>
      <c r="X612" s="379"/>
      <c r="Y612" s="379"/>
      <c r="Z612" s="379">
        <v>1422001</v>
      </c>
      <c r="AA612" s="379" t="s">
        <v>2648</v>
      </c>
      <c r="AB612" s="380">
        <f t="shared" si="8"/>
        <v>0</v>
      </c>
    </row>
    <row r="613" spans="1:28" outlineLevel="2" x14ac:dyDescent="0.3">
      <c r="A613" s="379">
        <v>654</v>
      </c>
      <c r="B613" s="379">
        <v>813810</v>
      </c>
      <c r="C613" s="379" t="s">
        <v>2932</v>
      </c>
      <c r="D613" s="379">
        <v>30550361</v>
      </c>
      <c r="E613" s="379" t="s">
        <v>2298</v>
      </c>
      <c r="F613" s="379" t="s">
        <v>2416</v>
      </c>
      <c r="G613" s="383">
        <v>43556</v>
      </c>
      <c r="H613" s="379">
        <v>1553</v>
      </c>
      <c r="I613" s="379">
        <v>55.13</v>
      </c>
      <c r="J613" s="379"/>
      <c r="K613" s="379">
        <v>116.5</v>
      </c>
      <c r="L613" s="379"/>
      <c r="M613" s="379"/>
      <c r="N613" s="379"/>
      <c r="O613" s="379"/>
      <c r="P613" s="379">
        <v>1500</v>
      </c>
      <c r="Q613" s="379">
        <v>53</v>
      </c>
      <c r="R613" s="379"/>
      <c r="S613" s="379"/>
      <c r="T613" s="379"/>
      <c r="U613" s="379"/>
      <c r="V613" s="380">
        <v>1724.63</v>
      </c>
      <c r="W613" s="381"/>
      <c r="X613" s="379"/>
      <c r="Y613" s="379"/>
      <c r="Z613" s="379">
        <v>1041001</v>
      </c>
      <c r="AA613" s="379" t="s">
        <v>2677</v>
      </c>
      <c r="AB613" s="380">
        <f t="shared" si="8"/>
        <v>0</v>
      </c>
    </row>
    <row r="614" spans="1:28" outlineLevel="2" x14ac:dyDescent="0.3">
      <c r="A614" s="379">
        <v>654</v>
      </c>
      <c r="B614" s="379">
        <v>813810</v>
      </c>
      <c r="C614" s="379" t="s">
        <v>2932</v>
      </c>
      <c r="D614" s="379">
        <v>30553978</v>
      </c>
      <c r="E614" s="379" t="s">
        <v>2700</v>
      </c>
      <c r="F614" s="379" t="s">
        <v>2945</v>
      </c>
      <c r="G614" s="383">
        <v>41913</v>
      </c>
      <c r="H614" s="379">
        <v>15428</v>
      </c>
      <c r="I614" s="379">
        <v>627.15</v>
      </c>
      <c r="J614" s="379"/>
      <c r="K614" s="379">
        <v>1157.1500000000001</v>
      </c>
      <c r="L614" s="379"/>
      <c r="M614" s="379"/>
      <c r="N614" s="379"/>
      <c r="O614" s="379"/>
      <c r="P614" s="379">
        <v>14440</v>
      </c>
      <c r="Q614" s="379">
        <v>489</v>
      </c>
      <c r="R614" s="379"/>
      <c r="S614" s="379"/>
      <c r="T614" s="379">
        <v>499</v>
      </c>
      <c r="U614" s="379"/>
      <c r="V614" s="380">
        <v>17212.3</v>
      </c>
      <c r="W614" s="381"/>
      <c r="X614" s="379"/>
      <c r="Y614" s="379"/>
      <c r="Z614" s="379">
        <v>1041001</v>
      </c>
      <c r="AA614" s="379" t="s">
        <v>2677</v>
      </c>
      <c r="AB614" s="380">
        <f t="shared" si="8"/>
        <v>0</v>
      </c>
    </row>
    <row r="615" spans="1:28" outlineLevel="2" x14ac:dyDescent="0.3">
      <c r="A615" s="379">
        <v>654</v>
      </c>
      <c r="B615" s="379">
        <v>813810</v>
      </c>
      <c r="C615" s="379" t="s">
        <v>2932</v>
      </c>
      <c r="D615" s="379">
        <v>30560571</v>
      </c>
      <c r="E615" s="379" t="s">
        <v>2747</v>
      </c>
      <c r="F615" s="379" t="s">
        <v>2588</v>
      </c>
      <c r="G615" s="383">
        <v>42705</v>
      </c>
      <c r="H615" s="379">
        <v>2220</v>
      </c>
      <c r="I615" s="379">
        <v>99.73</v>
      </c>
      <c r="J615" s="379">
        <v>233.1</v>
      </c>
      <c r="K615" s="379">
        <v>166.48</v>
      </c>
      <c r="L615" s="379"/>
      <c r="M615" s="379">
        <v>4.43</v>
      </c>
      <c r="N615" s="379"/>
      <c r="O615" s="379">
        <v>2220</v>
      </c>
      <c r="P615" s="379"/>
      <c r="Q615" s="379"/>
      <c r="R615" s="379"/>
      <c r="S615" s="379"/>
      <c r="T615" s="379"/>
      <c r="U615" s="379"/>
      <c r="V615" s="380">
        <v>2723.74</v>
      </c>
      <c r="W615" s="381"/>
      <c r="X615" s="379"/>
      <c r="Y615" s="379"/>
      <c r="Z615" s="379">
        <v>5821001</v>
      </c>
      <c r="AA615" s="379" t="s">
        <v>2427</v>
      </c>
      <c r="AB615" s="380">
        <f t="shared" si="8"/>
        <v>0</v>
      </c>
    </row>
    <row r="616" spans="1:28" outlineLevel="2" x14ac:dyDescent="0.3">
      <c r="A616" s="379">
        <v>654</v>
      </c>
      <c r="B616" s="379">
        <v>813810</v>
      </c>
      <c r="C616" s="379" t="s">
        <v>2932</v>
      </c>
      <c r="D616" s="379">
        <v>30791093</v>
      </c>
      <c r="E616" s="379" t="s">
        <v>2946</v>
      </c>
      <c r="F616" s="379" t="s">
        <v>2947</v>
      </c>
      <c r="G616" s="383">
        <v>43556</v>
      </c>
      <c r="H616" s="379">
        <v>1553</v>
      </c>
      <c r="I616" s="379">
        <v>55.13</v>
      </c>
      <c r="J616" s="379"/>
      <c r="K616" s="379">
        <v>116.5</v>
      </c>
      <c r="L616" s="379"/>
      <c r="M616" s="379"/>
      <c r="N616" s="379"/>
      <c r="O616" s="379"/>
      <c r="P616" s="379">
        <v>1500</v>
      </c>
      <c r="Q616" s="379">
        <v>53</v>
      </c>
      <c r="R616" s="379"/>
      <c r="S616" s="379"/>
      <c r="T616" s="379"/>
      <c r="U616" s="379"/>
      <c r="V616" s="380">
        <v>1724.63</v>
      </c>
      <c r="W616" s="381"/>
      <c r="X616" s="379"/>
      <c r="Y616" s="379"/>
      <c r="Z616" s="379">
        <v>1041001</v>
      </c>
      <c r="AA616" s="379" t="s">
        <v>2677</v>
      </c>
      <c r="AB616" s="380">
        <f t="shared" si="8"/>
        <v>0</v>
      </c>
    </row>
    <row r="617" spans="1:28" outlineLevel="2" x14ac:dyDescent="0.3">
      <c r="A617" s="379">
        <v>654</v>
      </c>
      <c r="B617" s="379">
        <v>813810</v>
      </c>
      <c r="C617" s="379" t="s">
        <v>2932</v>
      </c>
      <c r="D617" s="379">
        <v>30798852</v>
      </c>
      <c r="E617" s="379" t="s">
        <v>2948</v>
      </c>
      <c r="F617" s="379" t="s">
        <v>2949</v>
      </c>
      <c r="G617" s="383">
        <v>43160</v>
      </c>
      <c r="H617" s="379">
        <v>1553</v>
      </c>
      <c r="I617" s="379">
        <v>55.13</v>
      </c>
      <c r="J617" s="379"/>
      <c r="K617" s="379">
        <v>116.5</v>
      </c>
      <c r="L617" s="379"/>
      <c r="M617" s="379"/>
      <c r="N617" s="379"/>
      <c r="O617" s="379"/>
      <c r="P617" s="379">
        <v>1500</v>
      </c>
      <c r="Q617" s="379">
        <v>53</v>
      </c>
      <c r="R617" s="379"/>
      <c r="S617" s="379"/>
      <c r="T617" s="379"/>
      <c r="U617" s="379"/>
      <c r="V617" s="380">
        <v>1724.63</v>
      </c>
      <c r="W617" s="381"/>
      <c r="X617" s="379"/>
      <c r="Y617" s="379"/>
      <c r="Z617" s="379">
        <v>1582005</v>
      </c>
      <c r="AA617" s="379" t="s">
        <v>2475</v>
      </c>
      <c r="AB617" s="380">
        <f t="shared" si="8"/>
        <v>0</v>
      </c>
    </row>
    <row r="618" spans="1:28" outlineLevel="2" x14ac:dyDescent="0.3">
      <c r="A618" s="379">
        <v>654</v>
      </c>
      <c r="B618" s="379">
        <v>813810</v>
      </c>
      <c r="C618" s="379" t="s">
        <v>2932</v>
      </c>
      <c r="D618" s="379">
        <v>30846353</v>
      </c>
      <c r="E618" s="379" t="s">
        <v>2749</v>
      </c>
      <c r="F618" s="379" t="s">
        <v>2750</v>
      </c>
      <c r="G618" s="383">
        <v>42979</v>
      </c>
      <c r="H618" s="379">
        <v>2795</v>
      </c>
      <c r="I618" s="379">
        <v>99.21</v>
      </c>
      <c r="J618" s="379">
        <v>364.5</v>
      </c>
      <c r="K618" s="379">
        <v>209.62</v>
      </c>
      <c r="L618" s="379"/>
      <c r="M618" s="379"/>
      <c r="N618" s="379"/>
      <c r="O618" s="379"/>
      <c r="P618" s="379">
        <v>2700</v>
      </c>
      <c r="Q618" s="379">
        <v>95</v>
      </c>
      <c r="R618" s="379"/>
      <c r="S618" s="379"/>
      <c r="T618" s="379"/>
      <c r="U618" s="379"/>
      <c r="V618" s="380">
        <v>3468.33</v>
      </c>
      <c r="W618" s="381"/>
      <c r="X618" s="379"/>
      <c r="Y618" s="379"/>
      <c r="Z618" s="379">
        <v>1027</v>
      </c>
      <c r="AA618" s="379" t="s">
        <v>2383</v>
      </c>
      <c r="AB618" s="380">
        <f t="shared" si="8"/>
        <v>0</v>
      </c>
    </row>
    <row r="619" spans="1:28" outlineLevel="2" x14ac:dyDescent="0.3">
      <c r="A619" s="379">
        <v>654</v>
      </c>
      <c r="B619" s="379">
        <v>813810</v>
      </c>
      <c r="C619" s="379" t="s">
        <v>2932</v>
      </c>
      <c r="D619" s="379">
        <v>31144549</v>
      </c>
      <c r="E619" s="379" t="s">
        <v>2950</v>
      </c>
      <c r="F619" s="379" t="s">
        <v>2951</v>
      </c>
      <c r="G619" s="383">
        <v>43344</v>
      </c>
      <c r="H619" s="379">
        <v>1553</v>
      </c>
      <c r="I619" s="379">
        <v>55.13</v>
      </c>
      <c r="J619" s="379"/>
      <c r="K619" s="379">
        <v>116.5</v>
      </c>
      <c r="L619" s="379"/>
      <c r="M619" s="379"/>
      <c r="N619" s="379"/>
      <c r="O619" s="379"/>
      <c r="P619" s="379">
        <v>1500</v>
      </c>
      <c r="Q619" s="379">
        <v>53</v>
      </c>
      <c r="R619" s="379"/>
      <c r="S619" s="379"/>
      <c r="T619" s="379"/>
      <c r="U619" s="379"/>
      <c r="V619" s="380">
        <v>1724.63</v>
      </c>
      <c r="W619" s="381"/>
      <c r="X619" s="379"/>
      <c r="Y619" s="379"/>
      <c r="Z619" s="379">
        <v>5821001</v>
      </c>
      <c r="AA619" s="379" t="s">
        <v>2427</v>
      </c>
      <c r="AB619" s="380">
        <f t="shared" si="8"/>
        <v>0</v>
      </c>
    </row>
    <row r="620" spans="1:28" outlineLevel="2" x14ac:dyDescent="0.3">
      <c r="A620" s="379">
        <v>654</v>
      </c>
      <c r="B620" s="379">
        <v>813810</v>
      </c>
      <c r="C620" s="379" t="s">
        <v>2932</v>
      </c>
      <c r="D620" s="379">
        <v>31467062</v>
      </c>
      <c r="E620" s="379" t="s">
        <v>2952</v>
      </c>
      <c r="F620" s="379" t="s">
        <v>2316</v>
      </c>
      <c r="G620" s="383">
        <v>43556</v>
      </c>
      <c r="H620" s="379">
        <v>1553</v>
      </c>
      <c r="I620" s="379">
        <v>55.13</v>
      </c>
      <c r="J620" s="379"/>
      <c r="K620" s="379">
        <v>116.5</v>
      </c>
      <c r="L620" s="379"/>
      <c r="M620" s="379"/>
      <c r="N620" s="379"/>
      <c r="O620" s="379"/>
      <c r="P620" s="379">
        <v>1500</v>
      </c>
      <c r="Q620" s="379">
        <v>53</v>
      </c>
      <c r="R620" s="379"/>
      <c r="S620" s="379"/>
      <c r="T620" s="379"/>
      <c r="U620" s="379"/>
      <c r="V620" s="380">
        <v>1724.63</v>
      </c>
      <c r="W620" s="381"/>
      <c r="X620" s="379"/>
      <c r="Y620" s="379"/>
      <c r="Z620" s="379">
        <v>1041001</v>
      </c>
      <c r="AA620" s="379" t="s">
        <v>2677</v>
      </c>
      <c r="AB620" s="380">
        <f t="shared" si="8"/>
        <v>0</v>
      </c>
    </row>
    <row r="621" spans="1:28" outlineLevel="2" x14ac:dyDescent="0.3">
      <c r="A621" s="379">
        <v>654</v>
      </c>
      <c r="B621" s="379">
        <v>813810</v>
      </c>
      <c r="C621" s="379" t="s">
        <v>2932</v>
      </c>
      <c r="D621" s="379">
        <v>31848098</v>
      </c>
      <c r="E621" s="379" t="s">
        <v>2457</v>
      </c>
      <c r="F621" s="379" t="s">
        <v>2953</v>
      </c>
      <c r="G621" s="383">
        <v>43160</v>
      </c>
      <c r="H621" s="379">
        <v>1553</v>
      </c>
      <c r="I621" s="379">
        <v>55.13</v>
      </c>
      <c r="J621" s="379"/>
      <c r="K621" s="379">
        <v>116.5</v>
      </c>
      <c r="L621" s="379"/>
      <c r="M621" s="379"/>
      <c r="N621" s="379"/>
      <c r="O621" s="379"/>
      <c r="P621" s="379">
        <v>1500</v>
      </c>
      <c r="Q621" s="379">
        <v>53</v>
      </c>
      <c r="R621" s="379"/>
      <c r="S621" s="379"/>
      <c r="T621" s="379"/>
      <c r="U621" s="379"/>
      <c r="V621" s="380">
        <v>1724.63</v>
      </c>
      <c r="W621" s="381"/>
      <c r="X621" s="379"/>
      <c r="Y621" s="379"/>
      <c r="Z621" s="379">
        <v>1041001</v>
      </c>
      <c r="AA621" s="379" t="s">
        <v>2677</v>
      </c>
      <c r="AB621" s="380">
        <f t="shared" si="8"/>
        <v>0</v>
      </c>
    </row>
    <row r="622" spans="1:28" outlineLevel="2" x14ac:dyDescent="0.3">
      <c r="A622" s="379">
        <v>654</v>
      </c>
      <c r="B622" s="379">
        <v>813810</v>
      </c>
      <c r="C622" s="379" t="s">
        <v>2932</v>
      </c>
      <c r="D622" s="379">
        <v>32091779</v>
      </c>
      <c r="E622" s="379" t="s">
        <v>2954</v>
      </c>
      <c r="F622" s="379" t="s">
        <v>2955</v>
      </c>
      <c r="G622" s="383">
        <v>43160</v>
      </c>
      <c r="H622" s="379">
        <v>12216</v>
      </c>
      <c r="I622" s="379">
        <v>464.45</v>
      </c>
      <c r="J622" s="379"/>
      <c r="K622" s="379">
        <v>916.2</v>
      </c>
      <c r="L622" s="379"/>
      <c r="M622" s="379"/>
      <c r="N622" s="379"/>
      <c r="O622" s="379"/>
      <c r="P622" s="379">
        <v>11909</v>
      </c>
      <c r="Q622" s="379">
        <v>307</v>
      </c>
      <c r="R622" s="379"/>
      <c r="S622" s="379"/>
      <c r="T622" s="379"/>
      <c r="U622" s="379"/>
      <c r="V622" s="380">
        <v>13596.65</v>
      </c>
      <c r="W622" s="381"/>
      <c r="X622" s="379"/>
      <c r="Y622" s="379"/>
      <c r="Z622" s="379">
        <v>1041001</v>
      </c>
      <c r="AA622" s="379" t="s">
        <v>2677</v>
      </c>
      <c r="AB622" s="380">
        <f t="shared" si="8"/>
        <v>0</v>
      </c>
    </row>
    <row r="623" spans="1:28" outlineLevel="1" x14ac:dyDescent="0.3">
      <c r="A623" s="379"/>
      <c r="B623" s="384" t="s">
        <v>2956</v>
      </c>
      <c r="C623" s="379"/>
      <c r="D623" s="379"/>
      <c r="E623" s="379"/>
      <c r="F623" s="379"/>
      <c r="G623" s="383"/>
      <c r="H623" s="379"/>
      <c r="I623" s="379"/>
      <c r="J623" s="379"/>
      <c r="K623" s="379"/>
      <c r="L623" s="379"/>
      <c r="M623" s="379"/>
      <c r="N623" s="379"/>
      <c r="O623" s="379"/>
      <c r="P623" s="379"/>
      <c r="Q623" s="379"/>
      <c r="R623" s="379"/>
      <c r="S623" s="379"/>
      <c r="T623" s="379"/>
      <c r="U623" s="379"/>
      <c r="V623" s="380">
        <f>SUBTOTAL(9,V547:V622)</f>
        <v>309437.07</v>
      </c>
      <c r="W623" s="381">
        <f>SUBTOTAL(9,W547:W622)</f>
        <v>0</v>
      </c>
      <c r="X623" s="379"/>
      <c r="Y623" s="379"/>
      <c r="Z623" s="379"/>
      <c r="AA623" s="379"/>
      <c r="AB623" s="380">
        <f>SUBTOTAL(9,AB547:AB622)</f>
        <v>0</v>
      </c>
    </row>
    <row r="624" spans="1:28" outlineLevel="2" x14ac:dyDescent="0.3">
      <c r="A624" s="379">
        <v>654</v>
      </c>
      <c r="B624" s="379">
        <v>815700</v>
      </c>
      <c r="C624" s="379" t="s">
        <v>1500</v>
      </c>
      <c r="D624" s="379">
        <v>2459537</v>
      </c>
      <c r="E624" s="379" t="s">
        <v>2588</v>
      </c>
      <c r="F624" s="379" t="s">
        <v>2707</v>
      </c>
      <c r="G624" s="383">
        <v>34001</v>
      </c>
      <c r="H624" s="379">
        <v>11285.87</v>
      </c>
      <c r="I624" s="379">
        <v>608.08000000000004</v>
      </c>
      <c r="J624" s="379">
        <v>1066.24</v>
      </c>
      <c r="K624" s="379">
        <v>846.45</v>
      </c>
      <c r="L624" s="379"/>
      <c r="M624" s="379">
        <v>39.950000000000003</v>
      </c>
      <c r="N624" s="379"/>
      <c r="O624" s="379">
        <v>7871.28</v>
      </c>
      <c r="P624" s="379">
        <v>1838.5</v>
      </c>
      <c r="Q624" s="379">
        <v>514.1</v>
      </c>
      <c r="R624" s="379">
        <v>1061.99</v>
      </c>
      <c r="S624" s="379"/>
      <c r="T624" s="379"/>
      <c r="U624" s="379"/>
      <c r="V624" s="380">
        <v>13846.59</v>
      </c>
      <c r="W624" s="381">
        <v>1</v>
      </c>
      <c r="X624" s="379">
        <v>23</v>
      </c>
      <c r="Y624" s="379" t="s">
        <v>2957</v>
      </c>
      <c r="Z624" s="379">
        <v>3202002</v>
      </c>
      <c r="AA624" s="379" t="s">
        <v>2290</v>
      </c>
      <c r="AB624" s="380">
        <f t="shared" si="8"/>
        <v>8.3333333333333329E-2</v>
      </c>
    </row>
    <row r="625" spans="1:28" outlineLevel="2" x14ac:dyDescent="0.3">
      <c r="A625" s="379">
        <v>654</v>
      </c>
      <c r="B625" s="379">
        <v>815700</v>
      </c>
      <c r="C625" s="379" t="s">
        <v>1500</v>
      </c>
      <c r="D625" s="379">
        <v>5877568</v>
      </c>
      <c r="E625" s="379" t="s">
        <v>2549</v>
      </c>
      <c r="F625" s="379" t="s">
        <v>2958</v>
      </c>
      <c r="G625" s="383">
        <v>32843</v>
      </c>
      <c r="H625" s="379">
        <v>65853.67</v>
      </c>
      <c r="I625" s="379">
        <v>3996.26</v>
      </c>
      <c r="J625" s="379">
        <v>5466.71</v>
      </c>
      <c r="K625" s="379">
        <v>4939.43</v>
      </c>
      <c r="L625" s="379"/>
      <c r="M625" s="379">
        <v>218.98</v>
      </c>
      <c r="N625" s="379"/>
      <c r="O625" s="379">
        <v>55842.54</v>
      </c>
      <c r="P625" s="379"/>
      <c r="Q625" s="379">
        <v>155.52000000000001</v>
      </c>
      <c r="R625" s="379"/>
      <c r="S625" s="379">
        <v>5480</v>
      </c>
      <c r="T625" s="379">
        <v>4375.6099999999997</v>
      </c>
      <c r="U625" s="379"/>
      <c r="V625" s="380">
        <v>80475.05</v>
      </c>
      <c r="W625" s="381">
        <v>4.3559999999999999</v>
      </c>
      <c r="X625" s="379"/>
      <c r="Y625" s="379"/>
      <c r="Z625" s="379">
        <v>1711001</v>
      </c>
      <c r="AA625" s="379" t="s">
        <v>2550</v>
      </c>
      <c r="AB625" s="380">
        <f t="shared" ref="AB625:AB698" si="9">W625/12</f>
        <v>0.36299999999999999</v>
      </c>
    </row>
    <row r="626" spans="1:28" outlineLevel="2" x14ac:dyDescent="0.3">
      <c r="A626" s="379">
        <v>654</v>
      </c>
      <c r="B626" s="379">
        <v>815700</v>
      </c>
      <c r="C626" s="379" t="s">
        <v>1500</v>
      </c>
      <c r="D626" s="379">
        <v>30763939</v>
      </c>
      <c r="E626" s="379" t="s">
        <v>2959</v>
      </c>
      <c r="F626" s="379" t="s">
        <v>2319</v>
      </c>
      <c r="G626" s="383">
        <v>36251</v>
      </c>
      <c r="H626" s="379">
        <v>7427.2</v>
      </c>
      <c r="I626" s="379">
        <v>314.82</v>
      </c>
      <c r="J626" s="379">
        <v>587.14</v>
      </c>
      <c r="K626" s="379">
        <v>557.04999999999995</v>
      </c>
      <c r="L626" s="379"/>
      <c r="M626" s="379">
        <v>28.7</v>
      </c>
      <c r="N626" s="379"/>
      <c r="O626" s="379">
        <v>6901.72</v>
      </c>
      <c r="P626" s="379">
        <v>11.38</v>
      </c>
      <c r="Q626" s="379">
        <v>514.1</v>
      </c>
      <c r="R626" s="379"/>
      <c r="S626" s="379"/>
      <c r="T626" s="379"/>
      <c r="U626" s="379"/>
      <c r="V626" s="380">
        <v>8914.91</v>
      </c>
      <c r="W626" s="381">
        <v>1</v>
      </c>
      <c r="X626" s="379"/>
      <c r="Y626" s="379"/>
      <c r="Z626" s="379">
        <v>1601001</v>
      </c>
      <c r="AA626" s="379" t="s">
        <v>2960</v>
      </c>
      <c r="AB626" s="380">
        <f t="shared" si="9"/>
        <v>8.3333333333333329E-2</v>
      </c>
    </row>
    <row r="627" spans="1:28" outlineLevel="2" x14ac:dyDescent="0.3">
      <c r="A627" s="379">
        <v>654</v>
      </c>
      <c r="B627" s="379">
        <v>815700</v>
      </c>
      <c r="C627" s="379" t="s">
        <v>1500</v>
      </c>
      <c r="D627" s="379">
        <v>30774978</v>
      </c>
      <c r="E627" s="379" t="s">
        <v>2961</v>
      </c>
      <c r="F627" s="379" t="s">
        <v>2962</v>
      </c>
      <c r="G627" s="383">
        <v>36251</v>
      </c>
      <c r="H627" s="379">
        <v>96461.04</v>
      </c>
      <c r="I627" s="379">
        <v>4344.08</v>
      </c>
      <c r="J627" s="379">
        <v>8047.25</v>
      </c>
      <c r="K627" s="379">
        <v>7263.5</v>
      </c>
      <c r="L627" s="379"/>
      <c r="M627" s="379">
        <v>340.65</v>
      </c>
      <c r="N627" s="379"/>
      <c r="O627" s="379">
        <v>81622.45</v>
      </c>
      <c r="P627" s="379">
        <v>317.73</v>
      </c>
      <c r="Q627" s="379">
        <v>6169.2</v>
      </c>
      <c r="R627" s="379"/>
      <c r="S627" s="379"/>
      <c r="T627" s="379">
        <v>7442.66</v>
      </c>
      <c r="U627" s="379">
        <v>909</v>
      </c>
      <c r="V627" s="380">
        <v>116456.52</v>
      </c>
      <c r="W627" s="381">
        <v>12</v>
      </c>
      <c r="X627" s="379"/>
      <c r="Y627" s="379"/>
      <c r="Z627" s="379">
        <v>1601001</v>
      </c>
      <c r="AA627" s="379" t="s">
        <v>2960</v>
      </c>
      <c r="AB627" s="380">
        <f t="shared" si="9"/>
        <v>1</v>
      </c>
    </row>
    <row r="628" spans="1:28" outlineLevel="2" x14ac:dyDescent="0.3">
      <c r="A628" s="379">
        <v>654</v>
      </c>
      <c r="B628" s="379">
        <v>815700</v>
      </c>
      <c r="C628" s="379" t="s">
        <v>1500</v>
      </c>
      <c r="D628" s="379">
        <v>31953753</v>
      </c>
      <c r="E628" s="379" t="s">
        <v>2963</v>
      </c>
      <c r="F628" s="379" t="s">
        <v>2717</v>
      </c>
      <c r="G628" s="383">
        <v>36251</v>
      </c>
      <c r="H628" s="379">
        <v>92902.27</v>
      </c>
      <c r="I628" s="379">
        <v>754.51</v>
      </c>
      <c r="J628" s="379">
        <v>7771.28</v>
      </c>
      <c r="K628" s="379">
        <v>6996.75</v>
      </c>
      <c r="L628" s="379"/>
      <c r="M628" s="379">
        <v>326.7</v>
      </c>
      <c r="N628" s="379"/>
      <c r="O628" s="379">
        <v>81722.570000000007</v>
      </c>
      <c r="P628" s="379">
        <v>127.5</v>
      </c>
      <c r="Q628" s="379">
        <v>2809.2</v>
      </c>
      <c r="R628" s="379"/>
      <c r="S628" s="379"/>
      <c r="T628" s="379">
        <v>7334</v>
      </c>
      <c r="U628" s="379">
        <v>909</v>
      </c>
      <c r="V628" s="380">
        <v>108751.51</v>
      </c>
      <c r="W628" s="381">
        <v>12</v>
      </c>
      <c r="X628" s="379"/>
      <c r="Y628" s="379"/>
      <c r="Z628" s="379">
        <v>1601001</v>
      </c>
      <c r="AA628" s="379" t="s">
        <v>2960</v>
      </c>
      <c r="AB628" s="380">
        <f t="shared" si="9"/>
        <v>1</v>
      </c>
    </row>
    <row r="629" spans="1:28" outlineLevel="1" x14ac:dyDescent="0.3">
      <c r="A629" s="379"/>
      <c r="B629" s="384" t="s">
        <v>2964</v>
      </c>
      <c r="C629" s="379"/>
      <c r="D629" s="379"/>
      <c r="E629" s="379"/>
      <c r="F629" s="379"/>
      <c r="G629" s="383"/>
      <c r="H629" s="379"/>
      <c r="I629" s="379"/>
      <c r="J629" s="379"/>
      <c r="K629" s="379"/>
      <c r="L629" s="379"/>
      <c r="M629" s="379"/>
      <c r="N629" s="379"/>
      <c r="O629" s="379"/>
      <c r="P629" s="379"/>
      <c r="Q629" s="379"/>
      <c r="R629" s="379"/>
      <c r="S629" s="379"/>
      <c r="T629" s="379"/>
      <c r="U629" s="379"/>
      <c r="V629" s="380">
        <f>SUBTOTAL(9,V624:V628)</f>
        <v>328444.58</v>
      </c>
      <c r="W629" s="381">
        <f>SUBTOTAL(9,W624:W628)</f>
        <v>30.356000000000002</v>
      </c>
      <c r="X629" s="379"/>
      <c r="Y629" s="379"/>
      <c r="Z629" s="379"/>
      <c r="AA629" s="379"/>
      <c r="AB629" s="380">
        <f>SUBTOTAL(9,AB624:AB628)</f>
        <v>2.5296666666666665</v>
      </c>
    </row>
    <row r="630" spans="1:28" outlineLevel="2" x14ac:dyDescent="0.3">
      <c r="A630" s="379">
        <v>654</v>
      </c>
      <c r="B630" s="379">
        <v>815710</v>
      </c>
      <c r="C630" s="379" t="s">
        <v>2965</v>
      </c>
      <c r="D630" s="379">
        <v>2459537</v>
      </c>
      <c r="E630" s="379" t="s">
        <v>2588</v>
      </c>
      <c r="F630" s="379" t="s">
        <v>2707</v>
      </c>
      <c r="G630" s="383">
        <v>34001</v>
      </c>
      <c r="H630" s="379">
        <v>134670.5</v>
      </c>
      <c r="I630" s="379">
        <v>7522.13</v>
      </c>
      <c r="J630" s="379">
        <v>12754.8</v>
      </c>
      <c r="K630" s="379">
        <v>10137.5</v>
      </c>
      <c r="L630" s="379"/>
      <c r="M630" s="379">
        <v>450.55</v>
      </c>
      <c r="N630" s="379"/>
      <c r="O630" s="379">
        <v>84711.14</v>
      </c>
      <c r="P630" s="379">
        <v>20284.240000000002</v>
      </c>
      <c r="Q630" s="379">
        <v>5655.1</v>
      </c>
      <c r="R630" s="379">
        <v>11681.82</v>
      </c>
      <c r="S630" s="379"/>
      <c r="T630" s="379">
        <v>12338.2</v>
      </c>
      <c r="U630" s="379"/>
      <c r="V630" s="380">
        <v>165535.48000000001</v>
      </c>
      <c r="W630" s="381">
        <v>11</v>
      </c>
      <c r="X630" s="379">
        <v>23</v>
      </c>
      <c r="Y630" s="379" t="s">
        <v>2957</v>
      </c>
      <c r="Z630" s="379">
        <v>3202002</v>
      </c>
      <c r="AA630" s="379" t="s">
        <v>2290</v>
      </c>
      <c r="AB630" s="380">
        <f t="shared" si="9"/>
        <v>0.91666666666666663</v>
      </c>
    </row>
    <row r="631" spans="1:28" outlineLevel="2" x14ac:dyDescent="0.3">
      <c r="A631" s="379">
        <v>654</v>
      </c>
      <c r="B631" s="379">
        <v>815710</v>
      </c>
      <c r="C631" s="379" t="s">
        <v>2965</v>
      </c>
      <c r="D631" s="379">
        <v>5877568</v>
      </c>
      <c r="E631" s="379" t="s">
        <v>2549</v>
      </c>
      <c r="F631" s="379" t="s">
        <v>2958</v>
      </c>
      <c r="G631" s="383">
        <v>32843</v>
      </c>
      <c r="H631" s="379">
        <v>129542.62</v>
      </c>
      <c r="I631" s="379">
        <v>7890.31</v>
      </c>
      <c r="J631" s="379">
        <v>11869.61</v>
      </c>
      <c r="K631" s="379">
        <v>9752.4699999999993</v>
      </c>
      <c r="L631" s="379"/>
      <c r="M631" s="379">
        <v>479.02</v>
      </c>
      <c r="N631" s="379"/>
      <c r="O631" s="379">
        <v>94758.53</v>
      </c>
      <c r="P631" s="379">
        <v>15481.79</v>
      </c>
      <c r="Q631" s="379">
        <v>9045.84</v>
      </c>
      <c r="R631" s="379"/>
      <c r="S631" s="379"/>
      <c r="T631" s="379">
        <v>10256.459999999999</v>
      </c>
      <c r="U631" s="379"/>
      <c r="V631" s="380">
        <v>159534.03</v>
      </c>
      <c r="W631" s="381">
        <v>12</v>
      </c>
      <c r="X631" s="379"/>
      <c r="Y631" s="379"/>
      <c r="Z631" s="379">
        <v>1711001</v>
      </c>
      <c r="AA631" s="379" t="s">
        <v>2550</v>
      </c>
      <c r="AB631" s="380">
        <f t="shared" si="9"/>
        <v>1</v>
      </c>
    </row>
    <row r="632" spans="1:28" outlineLevel="2" x14ac:dyDescent="0.3">
      <c r="A632" s="379">
        <v>654</v>
      </c>
      <c r="B632" s="379">
        <v>815710</v>
      </c>
      <c r="C632" s="379" t="s">
        <v>2965</v>
      </c>
      <c r="D632" s="379">
        <v>5918964</v>
      </c>
      <c r="E632" s="379" t="s">
        <v>2549</v>
      </c>
      <c r="F632" s="379" t="s">
        <v>2771</v>
      </c>
      <c r="G632" s="383">
        <v>32721</v>
      </c>
      <c r="H632" s="379">
        <v>101919.27</v>
      </c>
      <c r="I632" s="379">
        <v>4764.58</v>
      </c>
      <c r="J632" s="379">
        <v>9297.06</v>
      </c>
      <c r="K632" s="379">
        <v>7681.2</v>
      </c>
      <c r="L632" s="379"/>
      <c r="M632" s="379">
        <v>361.2</v>
      </c>
      <c r="N632" s="379"/>
      <c r="O632" s="379">
        <v>82712.83</v>
      </c>
      <c r="P632" s="379">
        <v>70.709999999999994</v>
      </c>
      <c r="Q632" s="379">
        <v>7197.2</v>
      </c>
      <c r="R632" s="379"/>
      <c r="S632" s="379"/>
      <c r="T632" s="379">
        <v>11938.53</v>
      </c>
      <c r="U632" s="379"/>
      <c r="V632" s="380">
        <v>124023.31</v>
      </c>
      <c r="W632" s="381">
        <v>12</v>
      </c>
      <c r="X632" s="379"/>
      <c r="Y632" s="379"/>
      <c r="Z632" s="379">
        <v>1601001</v>
      </c>
      <c r="AA632" s="379" t="s">
        <v>2960</v>
      </c>
      <c r="AB632" s="380">
        <f t="shared" si="9"/>
        <v>1</v>
      </c>
    </row>
    <row r="633" spans="1:28" outlineLevel="2" x14ac:dyDescent="0.3">
      <c r="A633" s="379">
        <v>654</v>
      </c>
      <c r="B633" s="379">
        <v>815710</v>
      </c>
      <c r="C633" s="379" t="s">
        <v>2965</v>
      </c>
      <c r="D633" s="379">
        <v>30763939</v>
      </c>
      <c r="E633" s="379" t="s">
        <v>2959</v>
      </c>
      <c r="F633" s="379" t="s">
        <v>2319</v>
      </c>
      <c r="G633" s="383">
        <v>36251</v>
      </c>
      <c r="H633" s="379">
        <v>89137.64</v>
      </c>
      <c r="I633" s="379">
        <v>4028.36</v>
      </c>
      <c r="J633" s="379">
        <v>7459.23</v>
      </c>
      <c r="K633" s="379">
        <v>6705.65</v>
      </c>
      <c r="L633" s="379"/>
      <c r="M633" s="379">
        <v>311.8</v>
      </c>
      <c r="N633" s="379"/>
      <c r="O633" s="379">
        <v>75015.88</v>
      </c>
      <c r="P633" s="379"/>
      <c r="Q633" s="379">
        <v>5655.1</v>
      </c>
      <c r="R633" s="379"/>
      <c r="S633" s="379"/>
      <c r="T633" s="379">
        <v>7442.66</v>
      </c>
      <c r="U633" s="379">
        <v>1024</v>
      </c>
      <c r="V633" s="380">
        <v>107642.68</v>
      </c>
      <c r="W633" s="381">
        <v>11</v>
      </c>
      <c r="X633" s="379"/>
      <c r="Y633" s="379"/>
      <c r="Z633" s="379">
        <v>1601001</v>
      </c>
      <c r="AA633" s="379" t="s">
        <v>2960</v>
      </c>
      <c r="AB633" s="380">
        <f t="shared" si="9"/>
        <v>0.91666666666666663</v>
      </c>
    </row>
    <row r="634" spans="1:28" outlineLevel="1" x14ac:dyDescent="0.3">
      <c r="A634" s="379"/>
      <c r="B634" s="384" t="s">
        <v>2966</v>
      </c>
      <c r="C634" s="379"/>
      <c r="D634" s="379"/>
      <c r="E634" s="379"/>
      <c r="F634" s="379"/>
      <c r="G634" s="383"/>
      <c r="H634" s="379"/>
      <c r="I634" s="379"/>
      <c r="J634" s="379"/>
      <c r="K634" s="379"/>
      <c r="L634" s="379"/>
      <c r="M634" s="379"/>
      <c r="N634" s="379"/>
      <c r="O634" s="379"/>
      <c r="P634" s="379"/>
      <c r="Q634" s="379"/>
      <c r="R634" s="379"/>
      <c r="S634" s="379"/>
      <c r="T634" s="379"/>
      <c r="U634" s="379"/>
      <c r="V634" s="380">
        <f>SUBTOTAL(9,V630:V633)</f>
        <v>556735.5</v>
      </c>
      <c r="W634" s="381">
        <f>SUBTOTAL(9,W630:W633)</f>
        <v>46</v>
      </c>
      <c r="X634" s="379"/>
      <c r="Y634" s="379"/>
      <c r="Z634" s="379"/>
      <c r="AA634" s="379"/>
      <c r="AB634" s="380">
        <f>SUBTOTAL(9,AB630:AB633)</f>
        <v>3.833333333333333</v>
      </c>
    </row>
    <row r="635" spans="1:28" outlineLevel="2" x14ac:dyDescent="0.3">
      <c r="A635" s="379">
        <v>654</v>
      </c>
      <c r="B635" s="379">
        <v>815730</v>
      </c>
      <c r="C635" s="379" t="s">
        <v>2967</v>
      </c>
      <c r="D635" s="379">
        <v>5829047</v>
      </c>
      <c r="E635" s="379" t="s">
        <v>2580</v>
      </c>
      <c r="F635" s="379" t="s">
        <v>2968</v>
      </c>
      <c r="G635" s="383">
        <v>31503</v>
      </c>
      <c r="H635" s="379">
        <v>116786.47</v>
      </c>
      <c r="I635" s="379">
        <v>5913.24</v>
      </c>
      <c r="J635" s="379">
        <v>10320.790000000001</v>
      </c>
      <c r="K635" s="379">
        <v>8796.2000000000007</v>
      </c>
      <c r="L635" s="379"/>
      <c r="M635" s="379">
        <v>406.35</v>
      </c>
      <c r="N635" s="379"/>
      <c r="O635" s="379">
        <v>95733.2</v>
      </c>
      <c r="P635" s="379">
        <v>160.80000000000001</v>
      </c>
      <c r="Q635" s="379">
        <v>6169.2</v>
      </c>
      <c r="R635" s="379"/>
      <c r="S635" s="379"/>
      <c r="T635" s="379">
        <v>12493.27</v>
      </c>
      <c r="U635" s="379">
        <v>2230</v>
      </c>
      <c r="V635" s="380">
        <v>142223.04999999999</v>
      </c>
      <c r="W635" s="381">
        <v>12</v>
      </c>
      <c r="X635" s="379">
        <v>21</v>
      </c>
      <c r="Y635" s="379" t="s">
        <v>2632</v>
      </c>
      <c r="Z635" s="379">
        <v>3202004</v>
      </c>
      <c r="AA635" s="379" t="s">
        <v>2532</v>
      </c>
      <c r="AB635" s="380">
        <f t="shared" si="9"/>
        <v>1</v>
      </c>
    </row>
    <row r="636" spans="1:28" outlineLevel="1" x14ac:dyDescent="0.3">
      <c r="A636" s="379"/>
      <c r="B636" s="384" t="s">
        <v>2969</v>
      </c>
      <c r="C636" s="379"/>
      <c r="D636" s="379"/>
      <c r="E636" s="379"/>
      <c r="F636" s="379"/>
      <c r="G636" s="383"/>
      <c r="H636" s="379"/>
      <c r="I636" s="379"/>
      <c r="J636" s="379"/>
      <c r="K636" s="379"/>
      <c r="L636" s="379"/>
      <c r="M636" s="379"/>
      <c r="N636" s="379"/>
      <c r="O636" s="379"/>
      <c r="P636" s="379"/>
      <c r="Q636" s="379"/>
      <c r="R636" s="379"/>
      <c r="S636" s="379"/>
      <c r="T636" s="379"/>
      <c r="U636" s="379"/>
      <c r="V636" s="380">
        <f>SUBTOTAL(9,V635:V635)</f>
        <v>142223.04999999999</v>
      </c>
      <c r="W636" s="381">
        <f>SUBTOTAL(9,W635:W635)</f>
        <v>12</v>
      </c>
      <c r="X636" s="379"/>
      <c r="Y636" s="379"/>
      <c r="Z636" s="379"/>
      <c r="AA636" s="379"/>
      <c r="AB636" s="380">
        <f>SUBTOTAL(9,AB635:AB635)</f>
        <v>1</v>
      </c>
    </row>
    <row r="637" spans="1:28" outlineLevel="2" x14ac:dyDescent="0.3">
      <c r="A637" s="379">
        <v>654</v>
      </c>
      <c r="B637" s="379">
        <v>817100</v>
      </c>
      <c r="C637" s="379" t="s">
        <v>117</v>
      </c>
      <c r="D637" s="379">
        <v>5905548</v>
      </c>
      <c r="E637" s="379" t="s">
        <v>2970</v>
      </c>
      <c r="F637" s="379" t="s">
        <v>2413</v>
      </c>
      <c r="G637" s="383">
        <v>42856</v>
      </c>
      <c r="H637" s="379">
        <v>147822.85</v>
      </c>
      <c r="I637" s="379">
        <v>8270.98</v>
      </c>
      <c r="J637" s="379">
        <v>23167.81</v>
      </c>
      <c r="K637" s="379">
        <v>11123.9</v>
      </c>
      <c r="L637" s="379"/>
      <c r="M637" s="379">
        <v>414.45</v>
      </c>
      <c r="N637" s="379"/>
      <c r="O637" s="379">
        <v>78235.210000000006</v>
      </c>
      <c r="P637" s="379">
        <v>26624.880000000001</v>
      </c>
      <c r="Q637" s="379">
        <v>2809.2</v>
      </c>
      <c r="R637" s="379">
        <v>32387.56</v>
      </c>
      <c r="S637" s="379"/>
      <c r="T637" s="379">
        <v>7766</v>
      </c>
      <c r="U637" s="379"/>
      <c r="V637" s="380">
        <v>190799.99</v>
      </c>
      <c r="W637" s="381">
        <v>12</v>
      </c>
      <c r="X637" s="379"/>
      <c r="Y637" s="379"/>
      <c r="Z637" s="379">
        <v>5781001</v>
      </c>
      <c r="AA637" s="379" t="s">
        <v>2971</v>
      </c>
      <c r="AB637" s="380">
        <f t="shared" si="9"/>
        <v>1</v>
      </c>
    </row>
    <row r="638" spans="1:28" outlineLevel="1" x14ac:dyDescent="0.3">
      <c r="A638" s="379"/>
      <c r="B638" s="384" t="s">
        <v>2972</v>
      </c>
      <c r="C638" s="379"/>
      <c r="D638" s="379"/>
      <c r="E638" s="379"/>
      <c r="F638" s="379"/>
      <c r="G638" s="383"/>
      <c r="H638" s="379"/>
      <c r="I638" s="379"/>
      <c r="J638" s="379"/>
      <c r="K638" s="379"/>
      <c r="L638" s="379"/>
      <c r="M638" s="379"/>
      <c r="N638" s="379"/>
      <c r="O638" s="379"/>
      <c r="P638" s="379"/>
      <c r="Q638" s="379"/>
      <c r="R638" s="379"/>
      <c r="S638" s="379"/>
      <c r="T638" s="379"/>
      <c r="U638" s="379"/>
      <c r="V638" s="380">
        <f>SUBTOTAL(9,V637:V637)</f>
        <v>190799.99</v>
      </c>
      <c r="W638" s="381">
        <f>SUBTOTAL(9,W637:W637)</f>
        <v>12</v>
      </c>
      <c r="X638" s="379"/>
      <c r="Y638" s="379"/>
      <c r="Z638" s="379"/>
      <c r="AA638" s="379"/>
      <c r="AB638" s="380">
        <f>SUBTOTAL(9,AB637:AB637)</f>
        <v>1</v>
      </c>
    </row>
    <row r="639" spans="1:28" outlineLevel="2" x14ac:dyDescent="0.3">
      <c r="A639" s="379">
        <v>654</v>
      </c>
      <c r="B639" s="379">
        <v>817200</v>
      </c>
      <c r="C639" s="379" t="s">
        <v>2973</v>
      </c>
      <c r="D639" s="379">
        <v>1650685</v>
      </c>
      <c r="E639" s="379" t="s">
        <v>2549</v>
      </c>
      <c r="F639" s="379" t="s">
        <v>2974</v>
      </c>
      <c r="G639" s="383">
        <v>39783</v>
      </c>
      <c r="H639" s="379">
        <v>89853.47</v>
      </c>
      <c r="I639" s="379">
        <v>3843.83</v>
      </c>
      <c r="J639" s="379">
        <v>18850.79</v>
      </c>
      <c r="K639" s="379">
        <v>6758.2</v>
      </c>
      <c r="L639" s="379"/>
      <c r="M639" s="379">
        <v>309.55</v>
      </c>
      <c r="N639" s="379"/>
      <c r="O639" s="379">
        <v>77421.64</v>
      </c>
      <c r="P639" s="379">
        <v>115.77</v>
      </c>
      <c r="Q639" s="379">
        <v>2809.2</v>
      </c>
      <c r="R639" s="379"/>
      <c r="S639" s="379"/>
      <c r="T639" s="379">
        <v>7010.66</v>
      </c>
      <c r="U639" s="379">
        <v>2496.1999999999998</v>
      </c>
      <c r="V639" s="380">
        <v>119615.84</v>
      </c>
      <c r="W639" s="381">
        <v>12</v>
      </c>
      <c r="X639" s="379">
        <v>15</v>
      </c>
      <c r="Y639" s="379" t="s">
        <v>2975</v>
      </c>
      <c r="Z639" s="379">
        <v>1011</v>
      </c>
      <c r="AA639" s="379" t="s">
        <v>2331</v>
      </c>
      <c r="AB639" s="380">
        <f t="shared" si="9"/>
        <v>1</v>
      </c>
    </row>
    <row r="640" spans="1:28" outlineLevel="2" x14ac:dyDescent="0.3">
      <c r="A640" s="379">
        <v>654</v>
      </c>
      <c r="B640" s="379">
        <v>817200</v>
      </c>
      <c r="C640" s="379" t="s">
        <v>2973</v>
      </c>
      <c r="D640" s="379">
        <v>2418787</v>
      </c>
      <c r="E640" s="379" t="s">
        <v>2398</v>
      </c>
      <c r="F640" s="379" t="s">
        <v>2379</v>
      </c>
      <c r="G640" s="383">
        <v>36800</v>
      </c>
      <c r="H640" s="379">
        <v>47953.09</v>
      </c>
      <c r="I640" s="379">
        <v>1719.97</v>
      </c>
      <c r="J640" s="379">
        <v>4029.53</v>
      </c>
      <c r="K640" s="379">
        <v>3633.75</v>
      </c>
      <c r="L640" s="379"/>
      <c r="M640" s="379">
        <v>169.2</v>
      </c>
      <c r="N640" s="379"/>
      <c r="O640" s="379">
        <v>40609.49</v>
      </c>
      <c r="P640" s="379"/>
      <c r="Q640" s="379">
        <v>4197.6000000000004</v>
      </c>
      <c r="R640" s="379"/>
      <c r="S640" s="379"/>
      <c r="T640" s="379">
        <v>3146</v>
      </c>
      <c r="U640" s="379"/>
      <c r="V640" s="380">
        <v>57505.54</v>
      </c>
      <c r="W640" s="381">
        <v>6</v>
      </c>
      <c r="X640" s="379"/>
      <c r="Y640" s="379"/>
      <c r="Z640" s="379">
        <v>5931001</v>
      </c>
      <c r="AA640" s="379" t="s">
        <v>2320</v>
      </c>
      <c r="AB640" s="380">
        <f t="shared" si="9"/>
        <v>0.5</v>
      </c>
    </row>
    <row r="641" spans="1:28" outlineLevel="2" x14ac:dyDescent="0.3">
      <c r="A641" s="379">
        <v>654</v>
      </c>
      <c r="B641" s="379">
        <v>817200</v>
      </c>
      <c r="C641" s="379" t="s">
        <v>2973</v>
      </c>
      <c r="D641" s="379">
        <v>2459720</v>
      </c>
      <c r="E641" s="379" t="s">
        <v>2303</v>
      </c>
      <c r="F641" s="379" t="s">
        <v>2917</v>
      </c>
      <c r="G641" s="383">
        <v>43132</v>
      </c>
      <c r="H641" s="379">
        <v>1405</v>
      </c>
      <c r="I641" s="379">
        <v>56.1</v>
      </c>
      <c r="J641" s="379">
        <v>175.23</v>
      </c>
      <c r="K641" s="379">
        <v>118.5</v>
      </c>
      <c r="L641" s="379"/>
      <c r="M641" s="379"/>
      <c r="N641" s="379"/>
      <c r="O641" s="379"/>
      <c r="P641" s="379">
        <v>1298</v>
      </c>
      <c r="Q641" s="379">
        <v>107</v>
      </c>
      <c r="R641" s="379"/>
      <c r="S641" s="379"/>
      <c r="T641" s="379"/>
      <c r="U641" s="379"/>
      <c r="V641" s="380">
        <v>1754.83</v>
      </c>
      <c r="W641" s="381"/>
      <c r="X641" s="379"/>
      <c r="Y641" s="379"/>
      <c r="Z641" s="379">
        <v>5923001</v>
      </c>
      <c r="AA641" s="379" t="s">
        <v>2354</v>
      </c>
      <c r="AB641" s="380">
        <f t="shared" si="9"/>
        <v>0</v>
      </c>
    </row>
    <row r="642" spans="1:28" outlineLevel="2" x14ac:dyDescent="0.3">
      <c r="A642" s="379">
        <v>654</v>
      </c>
      <c r="B642" s="379">
        <v>817200</v>
      </c>
      <c r="C642" s="379" t="s">
        <v>2973</v>
      </c>
      <c r="D642" s="379">
        <v>5663747</v>
      </c>
      <c r="E642" s="379" t="s">
        <v>2387</v>
      </c>
      <c r="F642" s="379" t="s">
        <v>2658</v>
      </c>
      <c r="G642" s="383">
        <v>31138</v>
      </c>
      <c r="H642" s="379">
        <v>75605.5</v>
      </c>
      <c r="I642" s="379">
        <v>520.14</v>
      </c>
      <c r="J642" s="379">
        <v>7449.07</v>
      </c>
      <c r="K642" s="379">
        <v>5707.6</v>
      </c>
      <c r="L642" s="379"/>
      <c r="M642" s="379">
        <v>267.39999999999998</v>
      </c>
      <c r="N642" s="379"/>
      <c r="O642" s="379">
        <v>56786.1</v>
      </c>
      <c r="P642" s="379">
        <v>7265.72</v>
      </c>
      <c r="Q642" s="379">
        <v>2622.6</v>
      </c>
      <c r="R642" s="379"/>
      <c r="S642" s="379"/>
      <c r="T642" s="379">
        <v>8070.68</v>
      </c>
      <c r="U642" s="379">
        <v>860.4</v>
      </c>
      <c r="V642" s="380">
        <v>89549.71</v>
      </c>
      <c r="W642" s="381">
        <v>8.16</v>
      </c>
      <c r="X642" s="379"/>
      <c r="Y642" s="379"/>
      <c r="Z642" s="379">
        <v>3201001</v>
      </c>
      <c r="AA642" s="379" t="s">
        <v>2976</v>
      </c>
      <c r="AB642" s="380">
        <f t="shared" si="9"/>
        <v>0.68</v>
      </c>
    </row>
    <row r="643" spans="1:28" outlineLevel="2" x14ac:dyDescent="0.3">
      <c r="A643" s="379">
        <v>654</v>
      </c>
      <c r="B643" s="379">
        <v>817200</v>
      </c>
      <c r="C643" s="379" t="s">
        <v>2973</v>
      </c>
      <c r="D643" s="379">
        <v>6847449</v>
      </c>
      <c r="E643" s="379" t="s">
        <v>2548</v>
      </c>
      <c r="F643" s="379" t="s">
        <v>2583</v>
      </c>
      <c r="G643" s="383">
        <v>34121</v>
      </c>
      <c r="H643" s="379">
        <v>37411.629999999997</v>
      </c>
      <c r="I643" s="379">
        <v>1727.69</v>
      </c>
      <c r="J643" s="379">
        <v>3726.34</v>
      </c>
      <c r="K643" s="379">
        <v>2805.9</v>
      </c>
      <c r="L643" s="379"/>
      <c r="M643" s="379">
        <v>145.85</v>
      </c>
      <c r="N643" s="379"/>
      <c r="O643" s="379">
        <v>30225.23</v>
      </c>
      <c r="P643" s="379">
        <v>6250</v>
      </c>
      <c r="Q643" s="379">
        <v>936.4</v>
      </c>
      <c r="R643" s="379"/>
      <c r="S643" s="379"/>
      <c r="T643" s="379"/>
      <c r="U643" s="379"/>
      <c r="V643" s="380">
        <v>45817.41</v>
      </c>
      <c r="W643" s="381">
        <v>4</v>
      </c>
      <c r="X643" s="379"/>
      <c r="Y643" s="379"/>
      <c r="Z643" s="379">
        <v>1582005</v>
      </c>
      <c r="AA643" s="379" t="s">
        <v>2475</v>
      </c>
      <c r="AB643" s="380">
        <f t="shared" si="9"/>
        <v>0.33333333333333331</v>
      </c>
    </row>
    <row r="644" spans="1:28" outlineLevel="1" x14ac:dyDescent="0.3">
      <c r="A644" s="379"/>
      <c r="B644" s="384" t="s">
        <v>2977</v>
      </c>
      <c r="C644" s="379"/>
      <c r="D644" s="379"/>
      <c r="E644" s="379"/>
      <c r="F644" s="379"/>
      <c r="G644" s="383"/>
      <c r="H644" s="379"/>
      <c r="I644" s="379"/>
      <c r="J644" s="379"/>
      <c r="K644" s="379"/>
      <c r="L644" s="379"/>
      <c r="M644" s="379"/>
      <c r="N644" s="379"/>
      <c r="O644" s="379"/>
      <c r="P644" s="379"/>
      <c r="Q644" s="379"/>
      <c r="R644" s="379"/>
      <c r="S644" s="379"/>
      <c r="T644" s="379"/>
      <c r="U644" s="379"/>
      <c r="V644" s="380">
        <f>SUBTOTAL(9,V639:V643)</f>
        <v>314243.32999999996</v>
      </c>
      <c r="W644" s="381">
        <f>SUBTOTAL(9,W639:W643)</f>
        <v>30.16</v>
      </c>
      <c r="X644" s="379"/>
      <c r="Y644" s="379"/>
      <c r="Z644" s="379"/>
      <c r="AA644" s="379"/>
      <c r="AB644" s="380">
        <f>SUBTOTAL(9,AB639:AB643)</f>
        <v>2.5133333333333336</v>
      </c>
    </row>
    <row r="645" spans="1:28" outlineLevel="2" x14ac:dyDescent="0.3">
      <c r="A645" s="379">
        <v>654</v>
      </c>
      <c r="B645" s="379">
        <v>817300</v>
      </c>
      <c r="C645" s="379" t="s">
        <v>2978</v>
      </c>
      <c r="D645" s="379">
        <v>2244009</v>
      </c>
      <c r="E645" s="379" t="s">
        <v>2979</v>
      </c>
      <c r="F645" s="379" t="s">
        <v>2866</v>
      </c>
      <c r="G645" s="383">
        <v>35674</v>
      </c>
      <c r="H645" s="379">
        <v>60633.01</v>
      </c>
      <c r="I645" s="379">
        <v>2152.4699999999998</v>
      </c>
      <c r="J645" s="379">
        <v>4164</v>
      </c>
      <c r="K645" s="379">
        <v>4547.45</v>
      </c>
      <c r="L645" s="379"/>
      <c r="M645" s="379">
        <v>203.95</v>
      </c>
      <c r="N645" s="379"/>
      <c r="O645" s="379">
        <v>53753.53</v>
      </c>
      <c r="P645" s="379"/>
      <c r="Q645" s="379">
        <v>3261.6</v>
      </c>
      <c r="R645" s="379"/>
      <c r="S645" s="379"/>
      <c r="T645" s="379">
        <v>3451</v>
      </c>
      <c r="U645" s="379">
        <v>166.88</v>
      </c>
      <c r="V645" s="380">
        <v>71700.88</v>
      </c>
      <c r="W645" s="381">
        <v>6</v>
      </c>
      <c r="X645" s="379"/>
      <c r="Y645" s="379"/>
      <c r="Z645" s="379">
        <v>631001</v>
      </c>
      <c r="AA645" s="379" t="s">
        <v>2796</v>
      </c>
      <c r="AB645" s="380">
        <f t="shared" si="9"/>
        <v>0.5</v>
      </c>
    </row>
    <row r="646" spans="1:28" outlineLevel="2" x14ac:dyDescent="0.3">
      <c r="A646" s="379">
        <v>654</v>
      </c>
      <c r="B646" s="379">
        <v>817300</v>
      </c>
      <c r="C646" s="379" t="s">
        <v>2978</v>
      </c>
      <c r="D646" s="379">
        <v>3196259</v>
      </c>
      <c r="E646" s="379" t="s">
        <v>2980</v>
      </c>
      <c r="F646" s="379" t="s">
        <v>2866</v>
      </c>
      <c r="G646" s="383">
        <v>42979</v>
      </c>
      <c r="H646" s="379">
        <v>104573.72</v>
      </c>
      <c r="I646" s="379">
        <v>4777.08</v>
      </c>
      <c r="J646" s="379">
        <v>20536.62</v>
      </c>
      <c r="K646" s="379">
        <v>7681.8</v>
      </c>
      <c r="L646" s="379"/>
      <c r="M646" s="379">
        <v>337.55</v>
      </c>
      <c r="N646" s="379"/>
      <c r="O646" s="379">
        <v>88227.18</v>
      </c>
      <c r="P646" s="379">
        <v>720.36</v>
      </c>
      <c r="Q646" s="379">
        <v>7220.2</v>
      </c>
      <c r="R646" s="379">
        <v>0</v>
      </c>
      <c r="S646" s="379"/>
      <c r="T646" s="379">
        <v>4842.18</v>
      </c>
      <c r="U646" s="379">
        <v>3563.8</v>
      </c>
      <c r="V646" s="380">
        <v>137906.76999999999</v>
      </c>
      <c r="W646" s="381">
        <v>12</v>
      </c>
      <c r="X646" s="379"/>
      <c r="Y646" s="379"/>
      <c r="Z646" s="379">
        <v>631001</v>
      </c>
      <c r="AA646" s="379" t="s">
        <v>2796</v>
      </c>
      <c r="AB646" s="380">
        <f t="shared" si="9"/>
        <v>1</v>
      </c>
    </row>
    <row r="647" spans="1:28" outlineLevel="2" x14ac:dyDescent="0.3">
      <c r="A647" s="379">
        <v>654</v>
      </c>
      <c r="B647" s="379">
        <v>817300</v>
      </c>
      <c r="C647" s="379" t="s">
        <v>2978</v>
      </c>
      <c r="D647" s="379">
        <v>3263337</v>
      </c>
      <c r="E647" s="379" t="s">
        <v>2981</v>
      </c>
      <c r="F647" s="379" t="s">
        <v>2982</v>
      </c>
      <c r="G647" s="383">
        <v>41153</v>
      </c>
      <c r="H647" s="379">
        <v>262.02</v>
      </c>
      <c r="I647" s="379">
        <v>9.3000000000000007</v>
      </c>
      <c r="J647" s="379">
        <v>55.03</v>
      </c>
      <c r="K647" s="379">
        <v>19.649999999999999</v>
      </c>
      <c r="L647" s="379"/>
      <c r="M647" s="379"/>
      <c r="N647" s="379"/>
      <c r="O647" s="379"/>
      <c r="P647" s="379"/>
      <c r="Q647" s="379"/>
      <c r="R647" s="379"/>
      <c r="S647" s="379"/>
      <c r="T647" s="379">
        <v>262.02</v>
      </c>
      <c r="U647" s="379"/>
      <c r="V647" s="380">
        <v>346</v>
      </c>
      <c r="W647" s="381"/>
      <c r="X647" s="379"/>
      <c r="Y647" s="379"/>
      <c r="Z647" s="379">
        <v>631001</v>
      </c>
      <c r="AA647" s="379" t="s">
        <v>2796</v>
      </c>
      <c r="AB647" s="380">
        <f t="shared" si="9"/>
        <v>0</v>
      </c>
    </row>
    <row r="648" spans="1:28" outlineLevel="2" x14ac:dyDescent="0.3">
      <c r="A648" s="379">
        <v>654</v>
      </c>
      <c r="B648" s="379">
        <v>817300</v>
      </c>
      <c r="C648" s="379" t="s">
        <v>2978</v>
      </c>
      <c r="D648" s="379">
        <v>3287863</v>
      </c>
      <c r="E648" s="379" t="s">
        <v>2983</v>
      </c>
      <c r="F648" s="379" t="s">
        <v>2984</v>
      </c>
      <c r="G648" s="383">
        <v>41518</v>
      </c>
      <c r="H648" s="379">
        <v>57020.5</v>
      </c>
      <c r="I648" s="379">
        <v>2024.21</v>
      </c>
      <c r="J648" s="379">
        <v>10799.21</v>
      </c>
      <c r="K648" s="379">
        <v>4276.55</v>
      </c>
      <c r="L648" s="379"/>
      <c r="M648" s="379">
        <v>182.05</v>
      </c>
      <c r="N648" s="379"/>
      <c r="O648" s="379">
        <v>47794.400000000001</v>
      </c>
      <c r="P648" s="379"/>
      <c r="Q648" s="379">
        <v>5753.6</v>
      </c>
      <c r="R648" s="379"/>
      <c r="S648" s="379"/>
      <c r="T648" s="379">
        <v>3073</v>
      </c>
      <c r="U648" s="379">
        <v>399.5</v>
      </c>
      <c r="V648" s="380">
        <v>74302.52</v>
      </c>
      <c r="W648" s="381">
        <v>6</v>
      </c>
      <c r="X648" s="379"/>
      <c r="Y648" s="379"/>
      <c r="Z648" s="379">
        <v>637001</v>
      </c>
      <c r="AA648" s="379" t="s">
        <v>2985</v>
      </c>
      <c r="AB648" s="380">
        <f t="shared" si="9"/>
        <v>0.5</v>
      </c>
    </row>
    <row r="649" spans="1:28" outlineLevel="2" x14ac:dyDescent="0.3">
      <c r="A649" s="379">
        <v>654</v>
      </c>
      <c r="B649" s="379">
        <v>817300</v>
      </c>
      <c r="C649" s="379" t="s">
        <v>2978</v>
      </c>
      <c r="D649" s="379">
        <v>4335728</v>
      </c>
      <c r="E649" s="379" t="s">
        <v>2986</v>
      </c>
      <c r="F649" s="379" t="s">
        <v>2426</v>
      </c>
      <c r="G649" s="383">
        <v>43344</v>
      </c>
      <c r="H649" s="379">
        <v>88070.59</v>
      </c>
      <c r="I649" s="379">
        <v>3723.07</v>
      </c>
      <c r="J649" s="379">
        <v>16857.93</v>
      </c>
      <c r="K649" s="379">
        <v>6605.25</v>
      </c>
      <c r="L649" s="379"/>
      <c r="M649" s="379">
        <v>281.39999999999998</v>
      </c>
      <c r="N649" s="379"/>
      <c r="O649" s="379">
        <v>74121.429999999993</v>
      </c>
      <c r="P649" s="379"/>
      <c r="Q649" s="379">
        <v>6390</v>
      </c>
      <c r="R649" s="379"/>
      <c r="S649" s="379"/>
      <c r="T649" s="379">
        <v>1657.54</v>
      </c>
      <c r="U649" s="379">
        <v>5901.62</v>
      </c>
      <c r="V649" s="380">
        <v>115538.24000000001</v>
      </c>
      <c r="W649" s="381">
        <v>10</v>
      </c>
      <c r="X649" s="379"/>
      <c r="Y649" s="379"/>
      <c r="Z649" s="379">
        <v>631001</v>
      </c>
      <c r="AA649" s="379" t="s">
        <v>2796</v>
      </c>
      <c r="AB649" s="380">
        <f t="shared" si="9"/>
        <v>0.83333333333333337</v>
      </c>
    </row>
    <row r="650" spans="1:28" outlineLevel="2" x14ac:dyDescent="0.3">
      <c r="A650" s="379">
        <v>654</v>
      </c>
      <c r="B650" s="379">
        <v>817300</v>
      </c>
      <c r="C650" s="379" t="s">
        <v>2978</v>
      </c>
      <c r="D650" s="379">
        <v>5569957</v>
      </c>
      <c r="E650" s="379" t="s">
        <v>2987</v>
      </c>
      <c r="F650" s="379" t="s">
        <v>2988</v>
      </c>
      <c r="G650" s="383">
        <v>38961</v>
      </c>
      <c r="H650" s="379">
        <v>86106.19</v>
      </c>
      <c r="I650" s="379">
        <v>3545.42</v>
      </c>
      <c r="J650" s="379">
        <v>16872.53</v>
      </c>
      <c r="K650" s="379">
        <v>6458.05</v>
      </c>
      <c r="L650" s="379"/>
      <c r="M650" s="379">
        <v>268.45</v>
      </c>
      <c r="N650" s="379"/>
      <c r="O650" s="379">
        <v>71699.320000000007</v>
      </c>
      <c r="P650" s="379">
        <v>513.9</v>
      </c>
      <c r="Q650" s="379">
        <v>5099.6000000000004</v>
      </c>
      <c r="R650" s="379"/>
      <c r="S650" s="379"/>
      <c r="T650" s="379">
        <v>8273.83</v>
      </c>
      <c r="U650" s="379">
        <v>519.54</v>
      </c>
      <c r="V650" s="380">
        <v>113250.64</v>
      </c>
      <c r="W650" s="381">
        <v>6</v>
      </c>
      <c r="X650" s="379"/>
      <c r="Y650" s="379"/>
      <c r="Z650" s="379">
        <v>631001</v>
      </c>
      <c r="AA650" s="379" t="s">
        <v>2796</v>
      </c>
      <c r="AB650" s="380">
        <f t="shared" si="9"/>
        <v>0.5</v>
      </c>
    </row>
    <row r="651" spans="1:28" outlineLevel="2" x14ac:dyDescent="0.3">
      <c r="A651" s="379">
        <v>654</v>
      </c>
      <c r="B651" s="379">
        <v>817300</v>
      </c>
      <c r="C651" s="379" t="s">
        <v>2978</v>
      </c>
      <c r="D651" s="379">
        <v>5746004</v>
      </c>
      <c r="E651" s="379" t="s">
        <v>2340</v>
      </c>
      <c r="F651" s="379" t="s">
        <v>2379</v>
      </c>
      <c r="G651" s="383">
        <v>41487</v>
      </c>
      <c r="H651" s="379">
        <v>1239</v>
      </c>
      <c r="I651" s="379">
        <v>43.96</v>
      </c>
      <c r="J651" s="379">
        <v>61.92</v>
      </c>
      <c r="K651" s="379">
        <v>92.9</v>
      </c>
      <c r="L651" s="379"/>
      <c r="M651" s="379"/>
      <c r="N651" s="379"/>
      <c r="O651" s="379"/>
      <c r="P651" s="379">
        <v>1239</v>
      </c>
      <c r="Q651" s="379"/>
      <c r="R651" s="379"/>
      <c r="S651" s="379"/>
      <c r="T651" s="379"/>
      <c r="U651" s="379"/>
      <c r="V651" s="380">
        <v>1437.78</v>
      </c>
      <c r="W651" s="381"/>
      <c r="X651" s="379"/>
      <c r="Y651" s="379"/>
      <c r="Z651" s="379">
        <v>1401202</v>
      </c>
      <c r="AA651" s="379" t="s">
        <v>2380</v>
      </c>
      <c r="AB651" s="380">
        <f t="shared" si="9"/>
        <v>0</v>
      </c>
    </row>
    <row r="652" spans="1:28" outlineLevel="2" x14ac:dyDescent="0.3">
      <c r="A652" s="379">
        <v>654</v>
      </c>
      <c r="B652" s="379">
        <v>817300</v>
      </c>
      <c r="C652" s="379" t="s">
        <v>2978</v>
      </c>
      <c r="D652" s="379">
        <v>5956391</v>
      </c>
      <c r="E652" s="379" t="s">
        <v>2989</v>
      </c>
      <c r="F652" s="379" t="s">
        <v>2491</v>
      </c>
      <c r="G652" s="383">
        <v>40756</v>
      </c>
      <c r="H652" s="379">
        <v>297238.55</v>
      </c>
      <c r="I652" s="379">
        <v>19901.939999999999</v>
      </c>
      <c r="J652" s="379">
        <v>20785.400000000001</v>
      </c>
      <c r="K652" s="379">
        <v>22602.799999999999</v>
      </c>
      <c r="L652" s="379"/>
      <c r="M652" s="379">
        <v>958.75</v>
      </c>
      <c r="N652" s="379"/>
      <c r="O652" s="379">
        <v>237654.51</v>
      </c>
      <c r="P652" s="379"/>
      <c r="Q652" s="379">
        <v>1021.2</v>
      </c>
      <c r="R652" s="379">
        <v>39783.769999999997</v>
      </c>
      <c r="S652" s="379"/>
      <c r="T652" s="379">
        <v>17980.07</v>
      </c>
      <c r="U652" s="379">
        <v>799</v>
      </c>
      <c r="V652" s="380">
        <v>361487.44</v>
      </c>
      <c r="W652" s="381">
        <v>15</v>
      </c>
      <c r="X652" s="379"/>
      <c r="Y652" s="379"/>
      <c r="Z652" s="379">
        <v>636001</v>
      </c>
      <c r="AA652" s="379" t="s">
        <v>2990</v>
      </c>
      <c r="AB652" s="380">
        <f t="shared" si="9"/>
        <v>1.25</v>
      </c>
    </row>
    <row r="653" spans="1:28" outlineLevel="2" x14ac:dyDescent="0.3">
      <c r="A653" s="379">
        <v>654</v>
      </c>
      <c r="B653" s="379">
        <v>817300</v>
      </c>
      <c r="C653" s="379" t="s">
        <v>2978</v>
      </c>
      <c r="D653" s="379">
        <v>6608749</v>
      </c>
      <c r="E653" s="379" t="s">
        <v>2991</v>
      </c>
      <c r="F653" s="379" t="s">
        <v>2992</v>
      </c>
      <c r="G653" s="383">
        <v>41214</v>
      </c>
      <c r="H653" s="379">
        <v>74923.67</v>
      </c>
      <c r="I653" s="379">
        <v>2805.69</v>
      </c>
      <c r="J653" s="379">
        <v>13315.94</v>
      </c>
      <c r="K653" s="379">
        <v>5619.25</v>
      </c>
      <c r="L653" s="379"/>
      <c r="M653" s="379">
        <v>208.7</v>
      </c>
      <c r="N653" s="379"/>
      <c r="O653" s="379">
        <v>53165.22</v>
      </c>
      <c r="P653" s="379">
        <v>1283.26</v>
      </c>
      <c r="Q653" s="379">
        <v>15639.6</v>
      </c>
      <c r="R653" s="379"/>
      <c r="S653" s="379"/>
      <c r="T653" s="379">
        <v>4075.29</v>
      </c>
      <c r="U653" s="379">
        <v>760.3</v>
      </c>
      <c r="V653" s="380">
        <v>96873.25</v>
      </c>
      <c r="W653" s="381">
        <v>6</v>
      </c>
      <c r="X653" s="379"/>
      <c r="Y653" s="379"/>
      <c r="Z653" s="379">
        <v>631001</v>
      </c>
      <c r="AA653" s="379" t="s">
        <v>2796</v>
      </c>
      <c r="AB653" s="380">
        <f t="shared" si="9"/>
        <v>0.5</v>
      </c>
    </row>
    <row r="654" spans="1:28" outlineLevel="2" x14ac:dyDescent="0.3">
      <c r="A654" s="379">
        <v>654</v>
      </c>
      <c r="B654" s="379">
        <v>817300</v>
      </c>
      <c r="C654" s="379" t="s">
        <v>2978</v>
      </c>
      <c r="D654" s="379">
        <v>6670430</v>
      </c>
      <c r="E654" s="379" t="s">
        <v>2794</v>
      </c>
      <c r="F654" s="379" t="s">
        <v>2795</v>
      </c>
      <c r="G654" s="383">
        <v>43344</v>
      </c>
      <c r="H654" s="379">
        <v>58491.03</v>
      </c>
      <c r="I654" s="379">
        <v>2124.83</v>
      </c>
      <c r="J654" s="379">
        <v>11593.92</v>
      </c>
      <c r="K654" s="379">
        <v>4304.5600000000004</v>
      </c>
      <c r="L654" s="379"/>
      <c r="M654" s="379">
        <v>198.5</v>
      </c>
      <c r="N654" s="379"/>
      <c r="O654" s="379">
        <v>52291.42</v>
      </c>
      <c r="P654" s="379"/>
      <c r="Q654" s="379">
        <v>3772.2</v>
      </c>
      <c r="R654" s="379">
        <v>0</v>
      </c>
      <c r="S654" s="379"/>
      <c r="T654" s="379">
        <v>853.01</v>
      </c>
      <c r="U654" s="379">
        <v>1574.4</v>
      </c>
      <c r="V654" s="380">
        <v>76712.84</v>
      </c>
      <c r="W654" s="381">
        <v>6.25</v>
      </c>
      <c r="X654" s="379"/>
      <c r="Y654" s="379"/>
      <c r="Z654" s="379">
        <v>631001</v>
      </c>
      <c r="AA654" s="379" t="s">
        <v>2796</v>
      </c>
      <c r="AB654" s="380">
        <f t="shared" si="9"/>
        <v>0.52083333333333337</v>
      </c>
    </row>
    <row r="655" spans="1:28" outlineLevel="2" x14ac:dyDescent="0.3">
      <c r="A655" s="379">
        <v>654</v>
      </c>
      <c r="B655" s="379">
        <v>817300</v>
      </c>
      <c r="C655" s="379" t="s">
        <v>2978</v>
      </c>
      <c r="D655" s="379">
        <v>30023138</v>
      </c>
      <c r="E655" s="379" t="s">
        <v>2993</v>
      </c>
      <c r="F655" s="379" t="s">
        <v>2410</v>
      </c>
      <c r="G655" s="383">
        <v>43709</v>
      </c>
      <c r="H655" s="379">
        <v>24086.36</v>
      </c>
      <c r="I655" s="379">
        <v>855.07</v>
      </c>
      <c r="J655" s="379">
        <v>110</v>
      </c>
      <c r="K655" s="379">
        <v>1797.5</v>
      </c>
      <c r="L655" s="379"/>
      <c r="M655" s="379">
        <v>83.45</v>
      </c>
      <c r="N655" s="379"/>
      <c r="O655" s="379">
        <v>22002.83</v>
      </c>
      <c r="P655" s="379"/>
      <c r="Q655" s="379">
        <v>1747.8</v>
      </c>
      <c r="R655" s="379"/>
      <c r="S655" s="379"/>
      <c r="T655" s="379">
        <v>15.98</v>
      </c>
      <c r="U655" s="379">
        <v>319.75</v>
      </c>
      <c r="V655" s="380">
        <v>26932.38</v>
      </c>
      <c r="W655" s="381">
        <v>3</v>
      </c>
      <c r="X655" s="379"/>
      <c r="Y655" s="379"/>
      <c r="Z655" s="379">
        <v>631001</v>
      </c>
      <c r="AA655" s="379" t="s">
        <v>2796</v>
      </c>
      <c r="AB655" s="380">
        <f t="shared" si="9"/>
        <v>0.25</v>
      </c>
    </row>
    <row r="656" spans="1:28" outlineLevel="2" x14ac:dyDescent="0.3">
      <c r="A656" s="379">
        <v>654</v>
      </c>
      <c r="B656" s="379">
        <v>817300</v>
      </c>
      <c r="C656" s="379" t="s">
        <v>2978</v>
      </c>
      <c r="D656" s="379">
        <v>30040489</v>
      </c>
      <c r="E656" s="379" t="s">
        <v>2994</v>
      </c>
      <c r="F656" s="379" t="s">
        <v>2995</v>
      </c>
      <c r="G656" s="383">
        <v>42705</v>
      </c>
      <c r="H656" s="379">
        <v>66342.05</v>
      </c>
      <c r="I656" s="379">
        <v>2370.9</v>
      </c>
      <c r="J656" s="379">
        <v>11103.5</v>
      </c>
      <c r="K656" s="379">
        <v>4975.6499999999996</v>
      </c>
      <c r="L656" s="379"/>
      <c r="M656" s="379">
        <v>172.05</v>
      </c>
      <c r="N656" s="379"/>
      <c r="O656" s="379">
        <v>45284.35</v>
      </c>
      <c r="P656" s="379"/>
      <c r="Q656" s="379">
        <v>2517.6</v>
      </c>
      <c r="R656" s="379">
        <v>14933.3</v>
      </c>
      <c r="S656" s="379"/>
      <c r="T656" s="379">
        <v>3207.3</v>
      </c>
      <c r="U656" s="379">
        <v>399.5</v>
      </c>
      <c r="V656" s="380">
        <v>84964.15</v>
      </c>
      <c r="W656" s="381">
        <v>6</v>
      </c>
      <c r="X656" s="379"/>
      <c r="Y656" s="379"/>
      <c r="Z656" s="379">
        <v>631001</v>
      </c>
      <c r="AA656" s="379" t="s">
        <v>2796</v>
      </c>
      <c r="AB656" s="380">
        <f t="shared" si="9"/>
        <v>0.5</v>
      </c>
    </row>
    <row r="657" spans="1:28" outlineLevel="2" x14ac:dyDescent="0.3">
      <c r="A657" s="379">
        <v>654</v>
      </c>
      <c r="B657" s="379">
        <v>817300</v>
      </c>
      <c r="C657" s="379" t="s">
        <v>2978</v>
      </c>
      <c r="D657" s="379">
        <v>30482092</v>
      </c>
      <c r="E657" s="379" t="s">
        <v>2340</v>
      </c>
      <c r="F657" s="379" t="s">
        <v>2996</v>
      </c>
      <c r="G657" s="383">
        <v>42979</v>
      </c>
      <c r="H657" s="379">
        <v>89223.42</v>
      </c>
      <c r="I657" s="379">
        <v>4730.8</v>
      </c>
      <c r="J657" s="379">
        <v>18049.650000000001</v>
      </c>
      <c r="K657" s="379">
        <v>6662.65</v>
      </c>
      <c r="L657" s="379"/>
      <c r="M657" s="379">
        <v>295.64999999999998</v>
      </c>
      <c r="N657" s="379"/>
      <c r="O657" s="379">
        <v>77890.2</v>
      </c>
      <c r="P657" s="379">
        <v>200.12</v>
      </c>
      <c r="Q657" s="379">
        <v>4702.1000000000004</v>
      </c>
      <c r="R657" s="379">
        <v>0</v>
      </c>
      <c r="S657" s="379"/>
      <c r="T657" s="379">
        <v>5428</v>
      </c>
      <c r="U657" s="379">
        <v>1003</v>
      </c>
      <c r="V657" s="380">
        <v>118962.17</v>
      </c>
      <c r="W657" s="381">
        <v>9.5</v>
      </c>
      <c r="X657" s="379"/>
      <c r="Y657" s="379"/>
      <c r="Z657" s="379">
        <v>631001</v>
      </c>
      <c r="AA657" s="379" t="s">
        <v>2796</v>
      </c>
      <c r="AB657" s="380">
        <f t="shared" si="9"/>
        <v>0.79166666666666663</v>
      </c>
    </row>
    <row r="658" spans="1:28" outlineLevel="2" x14ac:dyDescent="0.3">
      <c r="A658" s="379">
        <v>654</v>
      </c>
      <c r="B658" s="379">
        <v>817300</v>
      </c>
      <c r="C658" s="379" t="s">
        <v>2978</v>
      </c>
      <c r="D658" s="379">
        <v>30496429</v>
      </c>
      <c r="E658" s="379" t="s">
        <v>2997</v>
      </c>
      <c r="F658" s="379" t="s">
        <v>2998</v>
      </c>
      <c r="G658" s="383">
        <v>43344</v>
      </c>
      <c r="H658" s="379">
        <v>54113.06</v>
      </c>
      <c r="I658" s="379">
        <v>1934.37</v>
      </c>
      <c r="J658" s="379">
        <v>9827.09</v>
      </c>
      <c r="K658" s="379">
        <v>3996.7</v>
      </c>
      <c r="L658" s="379"/>
      <c r="M658" s="379">
        <v>161.4</v>
      </c>
      <c r="N658" s="379"/>
      <c r="O658" s="379">
        <v>42305.98</v>
      </c>
      <c r="P658" s="379">
        <v>322.72000000000003</v>
      </c>
      <c r="Q658" s="379">
        <v>8726.4</v>
      </c>
      <c r="R658" s="379"/>
      <c r="S658" s="379"/>
      <c r="T658" s="379">
        <v>920.46</v>
      </c>
      <c r="U658" s="379">
        <v>1837.5</v>
      </c>
      <c r="V658" s="380">
        <v>70032.62</v>
      </c>
      <c r="W658" s="381">
        <v>6</v>
      </c>
      <c r="X658" s="379"/>
      <c r="Y658" s="379"/>
      <c r="Z658" s="379">
        <v>631001</v>
      </c>
      <c r="AA658" s="379" t="s">
        <v>2796</v>
      </c>
      <c r="AB658" s="380">
        <f t="shared" si="9"/>
        <v>0.5</v>
      </c>
    </row>
    <row r="659" spans="1:28" outlineLevel="1" x14ac:dyDescent="0.3">
      <c r="A659" s="379"/>
      <c r="B659" s="384" t="s">
        <v>2999</v>
      </c>
      <c r="C659" s="379"/>
      <c r="D659" s="379"/>
      <c r="E659" s="379"/>
      <c r="F659" s="379"/>
      <c r="G659" s="383"/>
      <c r="H659" s="379"/>
      <c r="I659" s="379"/>
      <c r="J659" s="379"/>
      <c r="K659" s="379"/>
      <c r="L659" s="379"/>
      <c r="M659" s="379"/>
      <c r="N659" s="379"/>
      <c r="O659" s="379"/>
      <c r="P659" s="379"/>
      <c r="Q659" s="379"/>
      <c r="R659" s="379"/>
      <c r="S659" s="379"/>
      <c r="T659" s="379"/>
      <c r="U659" s="379"/>
      <c r="V659" s="380">
        <f>SUBTOTAL(9,V645:V658)</f>
        <v>1350447.6799999997</v>
      </c>
      <c r="W659" s="381">
        <f>SUBTOTAL(9,W645:W658)</f>
        <v>91.75</v>
      </c>
      <c r="X659" s="379"/>
      <c r="Y659" s="379"/>
      <c r="Z659" s="379"/>
      <c r="AA659" s="379"/>
      <c r="AB659" s="380">
        <f>SUBTOTAL(9,AB645:AB658)</f>
        <v>7.6458333333333339</v>
      </c>
    </row>
    <row r="660" spans="1:28" outlineLevel="2" x14ac:dyDescent="0.3">
      <c r="A660" s="379">
        <v>654</v>
      </c>
      <c r="B660" s="379">
        <v>817310</v>
      </c>
      <c r="C660" s="379" t="s">
        <v>1529</v>
      </c>
      <c r="D660" s="379">
        <v>2704640</v>
      </c>
      <c r="E660" s="379" t="s">
        <v>3000</v>
      </c>
      <c r="F660" s="379" t="s">
        <v>2895</v>
      </c>
      <c r="G660" s="383">
        <v>30042</v>
      </c>
      <c r="H660" s="379">
        <v>140635.85</v>
      </c>
      <c r="I660" s="379">
        <v>7725.3</v>
      </c>
      <c r="J660" s="379">
        <v>12653.11</v>
      </c>
      <c r="K660" s="379">
        <v>10584.9</v>
      </c>
      <c r="L660" s="379"/>
      <c r="M660" s="379">
        <v>436.9</v>
      </c>
      <c r="N660" s="379"/>
      <c r="O660" s="379">
        <v>85480.45</v>
      </c>
      <c r="P660" s="379">
        <v>19444.28</v>
      </c>
      <c r="Q660" s="379">
        <v>2809.2</v>
      </c>
      <c r="R660" s="379">
        <v>20833.439999999999</v>
      </c>
      <c r="S660" s="379"/>
      <c r="T660" s="379">
        <v>12068.48</v>
      </c>
      <c r="U660" s="379"/>
      <c r="V660" s="380">
        <v>172036.06</v>
      </c>
      <c r="W660" s="381">
        <v>12</v>
      </c>
      <c r="X660" s="379">
        <v>16</v>
      </c>
      <c r="Y660" s="379" t="s">
        <v>3001</v>
      </c>
      <c r="Z660" s="379">
        <v>3202002</v>
      </c>
      <c r="AA660" s="379" t="s">
        <v>2290</v>
      </c>
      <c r="AB660" s="380">
        <f t="shared" si="9"/>
        <v>1</v>
      </c>
    </row>
    <row r="661" spans="1:28" outlineLevel="2" x14ac:dyDescent="0.3">
      <c r="A661" s="379">
        <v>654</v>
      </c>
      <c r="B661" s="379">
        <v>817310</v>
      </c>
      <c r="C661" s="379" t="s">
        <v>1529</v>
      </c>
      <c r="D661" s="379">
        <v>5753966</v>
      </c>
      <c r="E661" s="379" t="s">
        <v>2398</v>
      </c>
      <c r="F661" s="379" t="s">
        <v>3002</v>
      </c>
      <c r="G661" s="383">
        <v>34486</v>
      </c>
      <c r="H661" s="379">
        <v>26724.7</v>
      </c>
      <c r="I661" s="379">
        <v>946.99</v>
      </c>
      <c r="J661" s="379">
        <v>2345.89</v>
      </c>
      <c r="K661" s="379">
        <v>2003.65</v>
      </c>
      <c r="L661" s="379"/>
      <c r="M661" s="379">
        <v>89.43</v>
      </c>
      <c r="N661" s="379"/>
      <c r="O661" s="379">
        <v>20902.14</v>
      </c>
      <c r="P661" s="379"/>
      <c r="Q661" s="379">
        <v>4033.56</v>
      </c>
      <c r="R661" s="379"/>
      <c r="S661" s="379"/>
      <c r="T661" s="379">
        <v>1789</v>
      </c>
      <c r="U661" s="379"/>
      <c r="V661" s="380">
        <v>32110.66</v>
      </c>
      <c r="W661" s="381">
        <v>3</v>
      </c>
      <c r="X661" s="379"/>
      <c r="Y661" s="379"/>
      <c r="Z661" s="379">
        <v>5923001</v>
      </c>
      <c r="AA661" s="379" t="s">
        <v>2354</v>
      </c>
      <c r="AB661" s="380">
        <f t="shared" si="9"/>
        <v>0.25</v>
      </c>
    </row>
    <row r="662" spans="1:28" outlineLevel="1" x14ac:dyDescent="0.3">
      <c r="A662" s="379"/>
      <c r="B662" s="384" t="s">
        <v>3003</v>
      </c>
      <c r="C662" s="379"/>
      <c r="D662" s="379"/>
      <c r="E662" s="379"/>
      <c r="F662" s="379"/>
      <c r="G662" s="383"/>
      <c r="H662" s="379"/>
      <c r="I662" s="379"/>
      <c r="J662" s="379"/>
      <c r="K662" s="379"/>
      <c r="L662" s="379"/>
      <c r="M662" s="379"/>
      <c r="N662" s="379"/>
      <c r="O662" s="379"/>
      <c r="P662" s="379"/>
      <c r="Q662" s="379"/>
      <c r="R662" s="379"/>
      <c r="S662" s="379"/>
      <c r="T662" s="379"/>
      <c r="U662" s="379"/>
      <c r="V662" s="380">
        <f>SUBTOTAL(9,V660:V661)</f>
        <v>204146.72</v>
      </c>
      <c r="W662" s="381">
        <f>SUBTOTAL(9,W660:W661)</f>
        <v>15</v>
      </c>
      <c r="X662" s="379"/>
      <c r="Y662" s="379"/>
      <c r="Z662" s="379"/>
      <c r="AA662" s="379"/>
      <c r="AB662" s="380">
        <f>SUBTOTAL(9,AB660:AB661)</f>
        <v>1.25</v>
      </c>
    </row>
    <row r="663" spans="1:28" outlineLevel="2" x14ac:dyDescent="0.3">
      <c r="A663" s="379">
        <v>654</v>
      </c>
      <c r="B663" s="379">
        <v>817400</v>
      </c>
      <c r="C663" s="379" t="s">
        <v>3004</v>
      </c>
      <c r="D663" s="379">
        <v>2391136</v>
      </c>
      <c r="E663" s="379" t="s">
        <v>3005</v>
      </c>
      <c r="F663" s="379" t="s">
        <v>2937</v>
      </c>
      <c r="G663" s="383">
        <v>35004</v>
      </c>
      <c r="H663" s="379">
        <v>102775.46</v>
      </c>
      <c r="I663" s="379">
        <v>4848.57</v>
      </c>
      <c r="J663" s="379">
        <v>7761.77</v>
      </c>
      <c r="K663" s="379">
        <v>7745.4</v>
      </c>
      <c r="L663" s="379"/>
      <c r="M663" s="379">
        <v>359.9</v>
      </c>
      <c r="N663" s="379"/>
      <c r="O663" s="379">
        <v>81313.77</v>
      </c>
      <c r="P663" s="379">
        <v>1077</v>
      </c>
      <c r="Q663" s="379">
        <v>6169.2</v>
      </c>
      <c r="R663" s="379"/>
      <c r="S663" s="379"/>
      <c r="T663" s="379">
        <v>11985.49</v>
      </c>
      <c r="U663" s="379">
        <v>2230</v>
      </c>
      <c r="V663" s="380">
        <v>123491.1</v>
      </c>
      <c r="W663" s="381">
        <v>12</v>
      </c>
      <c r="X663" s="379"/>
      <c r="Y663" s="379"/>
      <c r="Z663" s="379">
        <v>3202002</v>
      </c>
      <c r="AA663" s="379" t="s">
        <v>2290</v>
      </c>
      <c r="AB663" s="380">
        <f t="shared" si="9"/>
        <v>1</v>
      </c>
    </row>
    <row r="664" spans="1:28" outlineLevel="1" x14ac:dyDescent="0.3">
      <c r="A664" s="379"/>
      <c r="B664" s="384" t="s">
        <v>3006</v>
      </c>
      <c r="C664" s="379"/>
      <c r="D664" s="379"/>
      <c r="E664" s="379"/>
      <c r="F664" s="379"/>
      <c r="G664" s="383"/>
      <c r="H664" s="379"/>
      <c r="I664" s="379"/>
      <c r="J664" s="379"/>
      <c r="K664" s="379"/>
      <c r="L664" s="379"/>
      <c r="M664" s="379"/>
      <c r="N664" s="379"/>
      <c r="O664" s="379"/>
      <c r="P664" s="379"/>
      <c r="Q664" s="379"/>
      <c r="R664" s="379"/>
      <c r="S664" s="379"/>
      <c r="T664" s="379"/>
      <c r="U664" s="379"/>
      <c r="V664" s="380">
        <f>SUBTOTAL(9,V663:V663)</f>
        <v>123491.1</v>
      </c>
      <c r="W664" s="381">
        <f>SUBTOTAL(9,W663:W663)</f>
        <v>12</v>
      </c>
      <c r="X664" s="379"/>
      <c r="Y664" s="379"/>
      <c r="Z664" s="379"/>
      <c r="AA664" s="379"/>
      <c r="AB664" s="380">
        <f>SUBTOTAL(9,AB663:AB663)</f>
        <v>1</v>
      </c>
    </row>
    <row r="665" spans="1:28" outlineLevel="2" x14ac:dyDescent="0.3">
      <c r="A665" s="379">
        <v>654</v>
      </c>
      <c r="B665" s="379">
        <v>817600</v>
      </c>
      <c r="C665" s="379" t="s">
        <v>498</v>
      </c>
      <c r="D665" s="379">
        <v>2209767</v>
      </c>
      <c r="E665" s="379" t="s">
        <v>3007</v>
      </c>
      <c r="F665" s="379" t="s">
        <v>3008</v>
      </c>
      <c r="G665" s="383">
        <v>43739</v>
      </c>
      <c r="H665" s="379">
        <v>5155</v>
      </c>
      <c r="I665" s="379">
        <v>183</v>
      </c>
      <c r="J665" s="379"/>
      <c r="K665" s="379">
        <v>386.65</v>
      </c>
      <c r="L665" s="379"/>
      <c r="M665" s="379"/>
      <c r="N665" s="379"/>
      <c r="O665" s="379">
        <v>-750</v>
      </c>
      <c r="P665" s="379">
        <v>5850</v>
      </c>
      <c r="Q665" s="379">
        <v>55</v>
      </c>
      <c r="R665" s="379"/>
      <c r="S665" s="379"/>
      <c r="T665" s="379"/>
      <c r="U665" s="379"/>
      <c r="V665" s="380">
        <v>5724.65</v>
      </c>
      <c r="W665" s="381"/>
      <c r="X665" s="379"/>
      <c r="Y665" s="379"/>
      <c r="Z665" s="379">
        <v>1031001</v>
      </c>
      <c r="AA665" s="379" t="s">
        <v>2328</v>
      </c>
      <c r="AB665" s="380">
        <f t="shared" si="9"/>
        <v>0</v>
      </c>
    </row>
    <row r="666" spans="1:28" outlineLevel="2" x14ac:dyDescent="0.3">
      <c r="A666" s="379">
        <v>654</v>
      </c>
      <c r="B666" s="379">
        <v>817600</v>
      </c>
      <c r="C666" s="379" t="s">
        <v>498</v>
      </c>
      <c r="D666" s="379">
        <v>2418754</v>
      </c>
      <c r="E666" s="379" t="s">
        <v>2540</v>
      </c>
      <c r="F666" s="379" t="s">
        <v>3009</v>
      </c>
      <c r="G666" s="383">
        <v>39692</v>
      </c>
      <c r="H666" s="379">
        <v>1800</v>
      </c>
      <c r="I666" s="379">
        <v>65.64</v>
      </c>
      <c r="J666" s="379">
        <v>377.98</v>
      </c>
      <c r="K666" s="379">
        <v>135</v>
      </c>
      <c r="L666" s="379"/>
      <c r="M666" s="379">
        <v>7.2</v>
      </c>
      <c r="N666" s="379"/>
      <c r="O666" s="379"/>
      <c r="P666" s="379">
        <v>1800</v>
      </c>
      <c r="Q666" s="379"/>
      <c r="R666" s="379"/>
      <c r="S666" s="379"/>
      <c r="T666" s="379"/>
      <c r="U666" s="379"/>
      <c r="V666" s="380">
        <v>2385.8200000000002</v>
      </c>
      <c r="W666" s="381"/>
      <c r="X666" s="379"/>
      <c r="Y666" s="379"/>
      <c r="Z666" s="379">
        <v>1401202</v>
      </c>
      <c r="AA666" s="379" t="s">
        <v>2380</v>
      </c>
      <c r="AB666" s="380">
        <f t="shared" si="9"/>
        <v>0</v>
      </c>
    </row>
    <row r="667" spans="1:28" outlineLevel="2" x14ac:dyDescent="0.3">
      <c r="A667" s="379">
        <v>654</v>
      </c>
      <c r="B667" s="379">
        <v>817600</v>
      </c>
      <c r="C667" s="379" t="s">
        <v>498</v>
      </c>
      <c r="D667" s="379">
        <v>2459889</v>
      </c>
      <c r="E667" s="379" t="s">
        <v>2451</v>
      </c>
      <c r="F667" s="379" t="s">
        <v>2832</v>
      </c>
      <c r="G667" s="383">
        <v>37712</v>
      </c>
      <c r="H667" s="379">
        <v>1800</v>
      </c>
      <c r="I667" s="379">
        <v>81.92</v>
      </c>
      <c r="J667" s="379">
        <v>377.98</v>
      </c>
      <c r="K667" s="379">
        <v>135</v>
      </c>
      <c r="L667" s="379"/>
      <c r="M667" s="379">
        <v>7.2</v>
      </c>
      <c r="N667" s="379"/>
      <c r="O667" s="379"/>
      <c r="P667" s="379">
        <v>1800</v>
      </c>
      <c r="Q667" s="379"/>
      <c r="R667" s="379"/>
      <c r="S667" s="379"/>
      <c r="T667" s="379"/>
      <c r="U667" s="379"/>
      <c r="V667" s="380">
        <v>2402.1</v>
      </c>
      <c r="W667" s="381"/>
      <c r="X667" s="379"/>
      <c r="Y667" s="379"/>
      <c r="Z667" s="379">
        <v>1027</v>
      </c>
      <c r="AA667" s="379" t="s">
        <v>2383</v>
      </c>
      <c r="AB667" s="380">
        <f t="shared" si="9"/>
        <v>0</v>
      </c>
    </row>
    <row r="668" spans="1:28" outlineLevel="2" x14ac:dyDescent="0.3">
      <c r="A668" s="379">
        <v>654</v>
      </c>
      <c r="B668" s="379">
        <v>817600</v>
      </c>
      <c r="C668" s="379" t="s">
        <v>498</v>
      </c>
      <c r="D668" s="379">
        <v>2567502</v>
      </c>
      <c r="E668" s="379" t="s">
        <v>3010</v>
      </c>
      <c r="F668" s="379" t="s">
        <v>2310</v>
      </c>
      <c r="G668" s="383">
        <v>43800</v>
      </c>
      <c r="H668" s="379">
        <v>4800</v>
      </c>
      <c r="I668" s="379">
        <v>170.4</v>
      </c>
      <c r="J668" s="379"/>
      <c r="K668" s="379">
        <v>360</v>
      </c>
      <c r="L668" s="379"/>
      <c r="M668" s="379"/>
      <c r="N668" s="379"/>
      <c r="O668" s="379"/>
      <c r="P668" s="379">
        <v>4800</v>
      </c>
      <c r="Q668" s="379"/>
      <c r="R668" s="379"/>
      <c r="S668" s="379"/>
      <c r="T668" s="379"/>
      <c r="U668" s="379"/>
      <c r="V668" s="380">
        <v>5330.4</v>
      </c>
      <c r="W668" s="381"/>
      <c r="X668" s="379"/>
      <c r="Y668" s="379"/>
      <c r="Z668" s="379">
        <v>1031001</v>
      </c>
      <c r="AA668" s="379" t="s">
        <v>2328</v>
      </c>
      <c r="AB668" s="380">
        <f t="shared" si="9"/>
        <v>0</v>
      </c>
    </row>
    <row r="669" spans="1:28" outlineLevel="2" x14ac:dyDescent="0.3">
      <c r="A669" s="379">
        <v>654</v>
      </c>
      <c r="B669" s="379">
        <v>817600</v>
      </c>
      <c r="C669" s="379" t="s">
        <v>498</v>
      </c>
      <c r="D669" s="379">
        <v>2873919</v>
      </c>
      <c r="E669" s="379" t="s">
        <v>2340</v>
      </c>
      <c r="F669" s="379" t="s">
        <v>3011</v>
      </c>
      <c r="G669" s="383">
        <v>43617</v>
      </c>
      <c r="H669" s="379">
        <v>7018</v>
      </c>
      <c r="I669" s="379">
        <v>249.14</v>
      </c>
      <c r="J669" s="379"/>
      <c r="K669" s="379">
        <v>526.35</v>
      </c>
      <c r="L669" s="379"/>
      <c r="M669" s="379"/>
      <c r="N669" s="379"/>
      <c r="O669" s="379"/>
      <c r="P669" s="379">
        <v>6720</v>
      </c>
      <c r="Q669" s="379">
        <v>298</v>
      </c>
      <c r="R669" s="379"/>
      <c r="S669" s="379"/>
      <c r="T669" s="379"/>
      <c r="U669" s="379"/>
      <c r="V669" s="380">
        <v>7793.49</v>
      </c>
      <c r="W669" s="381"/>
      <c r="X669" s="379"/>
      <c r="Y669" s="379"/>
      <c r="Z669" s="379">
        <v>953001</v>
      </c>
      <c r="AA669" s="379" t="s">
        <v>2902</v>
      </c>
      <c r="AB669" s="380">
        <f t="shared" si="9"/>
        <v>0</v>
      </c>
    </row>
    <row r="670" spans="1:28" outlineLevel="2" x14ac:dyDescent="0.3">
      <c r="A670" s="379">
        <v>654</v>
      </c>
      <c r="B670" s="379">
        <v>817600</v>
      </c>
      <c r="C670" s="379" t="s">
        <v>498</v>
      </c>
      <c r="D670" s="379">
        <v>2932885</v>
      </c>
      <c r="E670" s="379" t="s">
        <v>2351</v>
      </c>
      <c r="F670" s="379" t="s">
        <v>2919</v>
      </c>
      <c r="G670" s="383">
        <v>41030</v>
      </c>
      <c r="H670" s="379">
        <v>1800</v>
      </c>
      <c r="I670" s="379">
        <v>72.12</v>
      </c>
      <c r="J670" s="379">
        <v>377.98</v>
      </c>
      <c r="K670" s="379">
        <v>135</v>
      </c>
      <c r="L670" s="379"/>
      <c r="M670" s="379">
        <v>7.2</v>
      </c>
      <c r="N670" s="379"/>
      <c r="O670" s="379"/>
      <c r="P670" s="379">
        <v>1800</v>
      </c>
      <c r="Q670" s="379"/>
      <c r="R670" s="379"/>
      <c r="S670" s="379"/>
      <c r="T670" s="379"/>
      <c r="U670" s="379"/>
      <c r="V670" s="380">
        <v>2392.3000000000002</v>
      </c>
      <c r="W670" s="381"/>
      <c r="X670" s="379"/>
      <c r="Y670" s="379"/>
      <c r="Z670" s="379">
        <v>1422001</v>
      </c>
      <c r="AA670" s="379" t="s">
        <v>2648</v>
      </c>
      <c r="AB670" s="380">
        <f t="shared" si="9"/>
        <v>0</v>
      </c>
    </row>
    <row r="671" spans="1:28" outlineLevel="2" x14ac:dyDescent="0.3">
      <c r="A671" s="379">
        <v>654</v>
      </c>
      <c r="B671" s="379">
        <v>817600</v>
      </c>
      <c r="C671" s="379" t="s">
        <v>498</v>
      </c>
      <c r="D671" s="379">
        <v>2974223</v>
      </c>
      <c r="E671" s="379" t="s">
        <v>3012</v>
      </c>
      <c r="F671" s="379" t="s">
        <v>2935</v>
      </c>
      <c r="G671" s="383">
        <v>41153</v>
      </c>
      <c r="H671" s="379">
        <v>79951.399999999994</v>
      </c>
      <c r="I671" s="379">
        <v>3081.18</v>
      </c>
      <c r="J671" s="379">
        <v>16414.32</v>
      </c>
      <c r="K671" s="379">
        <v>5996.6</v>
      </c>
      <c r="L671" s="379"/>
      <c r="M671" s="379">
        <v>294.95</v>
      </c>
      <c r="N671" s="379"/>
      <c r="O671" s="379">
        <v>-211.6</v>
      </c>
      <c r="P671" s="379">
        <v>73968</v>
      </c>
      <c r="Q671" s="379">
        <v>1788</v>
      </c>
      <c r="R671" s="379"/>
      <c r="S671" s="379"/>
      <c r="T671" s="379">
        <v>4407</v>
      </c>
      <c r="U671" s="379"/>
      <c r="V671" s="380">
        <v>105738.45</v>
      </c>
      <c r="W671" s="381"/>
      <c r="X671" s="379"/>
      <c r="Y671" s="379"/>
      <c r="Z671" s="379">
        <v>953001</v>
      </c>
      <c r="AA671" s="379" t="s">
        <v>2902</v>
      </c>
      <c r="AB671" s="380">
        <f t="shared" si="9"/>
        <v>0</v>
      </c>
    </row>
    <row r="672" spans="1:28" outlineLevel="2" x14ac:dyDescent="0.3">
      <c r="A672" s="379">
        <v>654</v>
      </c>
      <c r="B672" s="379">
        <v>817600</v>
      </c>
      <c r="C672" s="379" t="s">
        <v>498</v>
      </c>
      <c r="D672" s="379">
        <v>3263247</v>
      </c>
      <c r="E672" s="379" t="s">
        <v>2546</v>
      </c>
      <c r="F672" s="379" t="s">
        <v>3013</v>
      </c>
      <c r="G672" s="383">
        <v>40817</v>
      </c>
      <c r="H672" s="379">
        <v>4800</v>
      </c>
      <c r="I672" s="379">
        <v>193.4</v>
      </c>
      <c r="J672" s="379">
        <v>648</v>
      </c>
      <c r="K672" s="379">
        <v>408.6</v>
      </c>
      <c r="L672" s="379"/>
      <c r="M672" s="379"/>
      <c r="N672" s="379"/>
      <c r="O672" s="379"/>
      <c r="P672" s="379">
        <v>4800</v>
      </c>
      <c r="Q672" s="379"/>
      <c r="R672" s="379"/>
      <c r="S672" s="379"/>
      <c r="T672" s="379"/>
      <c r="U672" s="379"/>
      <c r="V672" s="380">
        <v>6050</v>
      </c>
      <c r="W672" s="381"/>
      <c r="X672" s="379"/>
      <c r="Y672" s="379"/>
      <c r="Z672" s="379">
        <v>931001</v>
      </c>
      <c r="AA672" s="379" t="s">
        <v>2667</v>
      </c>
      <c r="AB672" s="380">
        <f t="shared" si="9"/>
        <v>0</v>
      </c>
    </row>
    <row r="673" spans="1:28" outlineLevel="2" x14ac:dyDescent="0.3">
      <c r="A673" s="379">
        <v>654</v>
      </c>
      <c r="B673" s="379">
        <v>817600</v>
      </c>
      <c r="C673" s="379" t="s">
        <v>498</v>
      </c>
      <c r="D673" s="379">
        <v>3290036</v>
      </c>
      <c r="E673" s="379" t="s">
        <v>3014</v>
      </c>
      <c r="F673" s="379" t="s">
        <v>2835</v>
      </c>
      <c r="G673" s="383">
        <v>42248</v>
      </c>
      <c r="H673" s="379">
        <v>70211.100000000006</v>
      </c>
      <c r="I673" s="379">
        <v>2769.42</v>
      </c>
      <c r="J673" s="379">
        <v>13595.76</v>
      </c>
      <c r="K673" s="379">
        <v>5265.8</v>
      </c>
      <c r="L673" s="379"/>
      <c r="M673" s="379">
        <v>244.2</v>
      </c>
      <c r="N673" s="379"/>
      <c r="O673" s="379">
        <v>-570.4</v>
      </c>
      <c r="P673" s="379">
        <v>61640</v>
      </c>
      <c r="Q673" s="379">
        <v>1490</v>
      </c>
      <c r="R673" s="379">
        <v>3979.5</v>
      </c>
      <c r="S673" s="379"/>
      <c r="T673" s="379">
        <v>3672</v>
      </c>
      <c r="U673" s="379"/>
      <c r="V673" s="380">
        <v>92086.28</v>
      </c>
      <c r="W673" s="381"/>
      <c r="X673" s="379"/>
      <c r="Y673" s="379"/>
      <c r="Z673" s="379">
        <v>953001</v>
      </c>
      <c r="AA673" s="379" t="s">
        <v>2902</v>
      </c>
      <c r="AB673" s="380">
        <f t="shared" si="9"/>
        <v>0</v>
      </c>
    </row>
    <row r="674" spans="1:28" outlineLevel="2" x14ac:dyDescent="0.3">
      <c r="A674" s="379">
        <v>654</v>
      </c>
      <c r="B674" s="379">
        <v>817600</v>
      </c>
      <c r="C674" s="379" t="s">
        <v>498</v>
      </c>
      <c r="D674" s="379">
        <v>3311942</v>
      </c>
      <c r="E674" s="379" t="s">
        <v>2340</v>
      </c>
      <c r="F674" s="379" t="s">
        <v>2528</v>
      </c>
      <c r="G674" s="383">
        <v>42736</v>
      </c>
      <c r="H674" s="379">
        <v>4800</v>
      </c>
      <c r="I674" s="379">
        <v>170.4</v>
      </c>
      <c r="J674" s="379"/>
      <c r="K674" s="379">
        <v>360</v>
      </c>
      <c r="L674" s="379"/>
      <c r="M674" s="379"/>
      <c r="N674" s="379"/>
      <c r="O674" s="379"/>
      <c r="P674" s="379">
        <v>4800</v>
      </c>
      <c r="Q674" s="379"/>
      <c r="R674" s="379"/>
      <c r="S674" s="379"/>
      <c r="T674" s="379"/>
      <c r="U674" s="379"/>
      <c r="V674" s="380">
        <v>5330.4</v>
      </c>
      <c r="W674" s="381"/>
      <c r="X674" s="379"/>
      <c r="Y674" s="379"/>
      <c r="Z674" s="379">
        <v>1031001</v>
      </c>
      <c r="AA674" s="379" t="s">
        <v>2328</v>
      </c>
      <c r="AB674" s="380">
        <f t="shared" si="9"/>
        <v>0</v>
      </c>
    </row>
    <row r="675" spans="1:28" outlineLevel="2" x14ac:dyDescent="0.3">
      <c r="A675" s="379">
        <v>654</v>
      </c>
      <c r="B675" s="379">
        <v>817600</v>
      </c>
      <c r="C675" s="379" t="s">
        <v>498</v>
      </c>
      <c r="D675" s="379">
        <v>3326275</v>
      </c>
      <c r="E675" s="379" t="s">
        <v>3015</v>
      </c>
      <c r="F675" s="379" t="s">
        <v>2615</v>
      </c>
      <c r="G675" s="383">
        <v>43617</v>
      </c>
      <c r="H675" s="379">
        <v>3120</v>
      </c>
      <c r="I675" s="379">
        <v>110.76</v>
      </c>
      <c r="J675" s="379"/>
      <c r="K675" s="379">
        <v>234</v>
      </c>
      <c r="L675" s="379"/>
      <c r="M675" s="379"/>
      <c r="N675" s="379"/>
      <c r="O675" s="379"/>
      <c r="P675" s="379">
        <v>3120</v>
      </c>
      <c r="Q675" s="379"/>
      <c r="R675" s="379"/>
      <c r="S675" s="379"/>
      <c r="T675" s="379"/>
      <c r="U675" s="379"/>
      <c r="V675" s="380">
        <v>3464.76</v>
      </c>
      <c r="W675" s="381"/>
      <c r="X675" s="379"/>
      <c r="Y675" s="379"/>
      <c r="Z675" s="379">
        <v>1031001</v>
      </c>
      <c r="AA675" s="379" t="s">
        <v>2328</v>
      </c>
      <c r="AB675" s="380">
        <f t="shared" si="9"/>
        <v>0</v>
      </c>
    </row>
    <row r="676" spans="1:28" outlineLevel="2" x14ac:dyDescent="0.3">
      <c r="A676" s="379">
        <v>654</v>
      </c>
      <c r="B676" s="379">
        <v>817600</v>
      </c>
      <c r="C676" s="379" t="s">
        <v>498</v>
      </c>
      <c r="D676" s="379">
        <v>3466679</v>
      </c>
      <c r="E676" s="379" t="s">
        <v>3016</v>
      </c>
      <c r="F676" s="379" t="s">
        <v>2728</v>
      </c>
      <c r="G676" s="383">
        <v>41456</v>
      </c>
      <c r="H676" s="379">
        <v>1800</v>
      </c>
      <c r="I676" s="379">
        <v>69.63</v>
      </c>
      <c r="J676" s="379">
        <v>242.99</v>
      </c>
      <c r="K676" s="379">
        <v>134.99</v>
      </c>
      <c r="L676" s="379"/>
      <c r="M676" s="379">
        <v>7.19</v>
      </c>
      <c r="N676" s="379"/>
      <c r="O676" s="379"/>
      <c r="P676" s="379">
        <v>1800</v>
      </c>
      <c r="Q676" s="379"/>
      <c r="R676" s="379"/>
      <c r="S676" s="379"/>
      <c r="T676" s="379"/>
      <c r="U676" s="379"/>
      <c r="V676" s="380">
        <v>2254.8000000000002</v>
      </c>
      <c r="W676" s="381"/>
      <c r="X676" s="379"/>
      <c r="Y676" s="379"/>
      <c r="Z676" s="379">
        <v>1401202</v>
      </c>
      <c r="AA676" s="379" t="s">
        <v>2380</v>
      </c>
      <c r="AB676" s="380">
        <f t="shared" si="9"/>
        <v>0</v>
      </c>
    </row>
    <row r="677" spans="1:28" outlineLevel="2" x14ac:dyDescent="0.3">
      <c r="A677" s="379">
        <v>654</v>
      </c>
      <c r="B677" s="379">
        <v>817600</v>
      </c>
      <c r="C677" s="379" t="s">
        <v>498</v>
      </c>
      <c r="D677" s="379">
        <v>3466794</v>
      </c>
      <c r="E677" s="379" t="s">
        <v>2340</v>
      </c>
      <c r="F677" s="379" t="s">
        <v>3017</v>
      </c>
      <c r="G677" s="383">
        <v>43800</v>
      </c>
      <c r="H677" s="379">
        <v>4800</v>
      </c>
      <c r="I677" s="379">
        <v>170.4</v>
      </c>
      <c r="J677" s="379"/>
      <c r="K677" s="379">
        <v>360</v>
      </c>
      <c r="L677" s="379"/>
      <c r="M677" s="379"/>
      <c r="N677" s="379"/>
      <c r="O677" s="379"/>
      <c r="P677" s="379">
        <v>4800</v>
      </c>
      <c r="Q677" s="379"/>
      <c r="R677" s="379"/>
      <c r="S677" s="379"/>
      <c r="T677" s="379"/>
      <c r="U677" s="379"/>
      <c r="V677" s="380">
        <v>5330.4</v>
      </c>
      <c r="W677" s="381"/>
      <c r="X677" s="379"/>
      <c r="Y677" s="379"/>
      <c r="Z677" s="379">
        <v>1021001</v>
      </c>
      <c r="AA677" s="379" t="s">
        <v>3018</v>
      </c>
      <c r="AB677" s="380">
        <f t="shared" si="9"/>
        <v>0</v>
      </c>
    </row>
    <row r="678" spans="1:28" outlineLevel="2" x14ac:dyDescent="0.3">
      <c r="A678" s="379">
        <v>654</v>
      </c>
      <c r="B678" s="379">
        <v>817600</v>
      </c>
      <c r="C678" s="379" t="s">
        <v>498</v>
      </c>
      <c r="D678" s="379">
        <v>3683416</v>
      </c>
      <c r="E678" s="379" t="s">
        <v>3019</v>
      </c>
      <c r="F678" s="379" t="s">
        <v>2324</v>
      </c>
      <c r="G678" s="383">
        <v>41821</v>
      </c>
      <c r="H678" s="379">
        <v>14000</v>
      </c>
      <c r="I678" s="379">
        <v>562.17999999999995</v>
      </c>
      <c r="J678" s="379">
        <v>1836</v>
      </c>
      <c r="K678" s="379">
        <v>1187.75</v>
      </c>
      <c r="L678" s="379"/>
      <c r="M678" s="379"/>
      <c r="N678" s="379"/>
      <c r="O678" s="379">
        <v>-880</v>
      </c>
      <c r="P678" s="379">
        <v>14480</v>
      </c>
      <c r="Q678" s="379">
        <v>400</v>
      </c>
      <c r="R678" s="379"/>
      <c r="S678" s="379"/>
      <c r="T678" s="379"/>
      <c r="U678" s="379"/>
      <c r="V678" s="380">
        <v>17585.93</v>
      </c>
      <c r="W678" s="381"/>
      <c r="X678" s="379"/>
      <c r="Y678" s="379"/>
      <c r="Z678" s="379">
        <v>1031001</v>
      </c>
      <c r="AA678" s="379" t="s">
        <v>2328</v>
      </c>
      <c r="AB678" s="380">
        <f t="shared" si="9"/>
        <v>0</v>
      </c>
    </row>
    <row r="679" spans="1:28" outlineLevel="2" x14ac:dyDescent="0.3">
      <c r="A679" s="379">
        <v>654</v>
      </c>
      <c r="B679" s="379">
        <v>817600</v>
      </c>
      <c r="C679" s="379" t="s">
        <v>498</v>
      </c>
      <c r="D679" s="379">
        <v>3769344</v>
      </c>
      <c r="E679" s="379" t="s">
        <v>3020</v>
      </c>
      <c r="F679" s="379" t="s">
        <v>2624</v>
      </c>
      <c r="G679" s="383">
        <v>42736</v>
      </c>
      <c r="H679" s="379">
        <v>4800</v>
      </c>
      <c r="I679" s="379">
        <v>170.4</v>
      </c>
      <c r="J679" s="379"/>
      <c r="K679" s="379">
        <v>360</v>
      </c>
      <c r="L679" s="379"/>
      <c r="M679" s="379"/>
      <c r="N679" s="379"/>
      <c r="O679" s="379"/>
      <c r="P679" s="379">
        <v>4800</v>
      </c>
      <c r="Q679" s="379"/>
      <c r="R679" s="379"/>
      <c r="S679" s="379"/>
      <c r="T679" s="379"/>
      <c r="U679" s="379"/>
      <c r="V679" s="380">
        <v>5330.4</v>
      </c>
      <c r="W679" s="381"/>
      <c r="X679" s="379"/>
      <c r="Y679" s="379"/>
      <c r="Z679" s="379">
        <v>1031001</v>
      </c>
      <c r="AA679" s="379" t="s">
        <v>2328</v>
      </c>
      <c r="AB679" s="380">
        <f t="shared" si="9"/>
        <v>0</v>
      </c>
    </row>
    <row r="680" spans="1:28" outlineLevel="2" x14ac:dyDescent="0.3">
      <c r="A680" s="379">
        <v>654</v>
      </c>
      <c r="B680" s="379">
        <v>817600</v>
      </c>
      <c r="C680" s="379" t="s">
        <v>498</v>
      </c>
      <c r="D680" s="379">
        <v>3820163</v>
      </c>
      <c r="E680" s="379" t="s">
        <v>2340</v>
      </c>
      <c r="F680" s="379" t="s">
        <v>2697</v>
      </c>
      <c r="G680" s="383">
        <v>43709</v>
      </c>
      <c r="H680" s="379">
        <v>25316</v>
      </c>
      <c r="I680" s="379">
        <v>987.61</v>
      </c>
      <c r="J680" s="379">
        <v>3337.2</v>
      </c>
      <c r="K680" s="379">
        <v>1898.8</v>
      </c>
      <c r="L680" s="379"/>
      <c r="M680" s="379"/>
      <c r="N680" s="379"/>
      <c r="O680" s="379">
        <v>-2560</v>
      </c>
      <c r="P680" s="379">
        <v>27280</v>
      </c>
      <c r="Q680" s="379">
        <v>596</v>
      </c>
      <c r="R680" s="379"/>
      <c r="S680" s="379"/>
      <c r="T680" s="379"/>
      <c r="U680" s="379"/>
      <c r="V680" s="380">
        <v>31539.61</v>
      </c>
      <c r="W680" s="381"/>
      <c r="X680" s="379"/>
      <c r="Y680" s="379"/>
      <c r="Z680" s="379">
        <v>1031001</v>
      </c>
      <c r="AA680" s="379" t="s">
        <v>2328</v>
      </c>
      <c r="AB680" s="380">
        <f t="shared" si="9"/>
        <v>0</v>
      </c>
    </row>
    <row r="681" spans="1:28" outlineLevel="2" x14ac:dyDescent="0.3">
      <c r="A681" s="379">
        <v>654</v>
      </c>
      <c r="B681" s="379">
        <v>817600</v>
      </c>
      <c r="C681" s="379" t="s">
        <v>498</v>
      </c>
      <c r="D681" s="379">
        <v>3951808</v>
      </c>
      <c r="E681" s="379" t="s">
        <v>3021</v>
      </c>
      <c r="F681" s="379" t="s">
        <v>2315</v>
      </c>
      <c r="G681" s="383">
        <v>43739</v>
      </c>
      <c r="H681" s="379">
        <v>11882</v>
      </c>
      <c r="I681" s="379">
        <v>421.81</v>
      </c>
      <c r="J681" s="379"/>
      <c r="K681" s="379">
        <v>891.2</v>
      </c>
      <c r="L681" s="379"/>
      <c r="M681" s="379"/>
      <c r="N681" s="379"/>
      <c r="O681" s="379">
        <v>-400</v>
      </c>
      <c r="P681" s="379">
        <v>12120</v>
      </c>
      <c r="Q681" s="379">
        <v>162</v>
      </c>
      <c r="R681" s="379"/>
      <c r="S681" s="379"/>
      <c r="T681" s="379"/>
      <c r="U681" s="379"/>
      <c r="V681" s="380">
        <v>13195.01</v>
      </c>
      <c r="W681" s="381"/>
      <c r="X681" s="379"/>
      <c r="Y681" s="379"/>
      <c r="Z681" s="379">
        <v>1031001</v>
      </c>
      <c r="AA681" s="379" t="s">
        <v>2328</v>
      </c>
      <c r="AB681" s="380">
        <f t="shared" si="9"/>
        <v>0</v>
      </c>
    </row>
    <row r="682" spans="1:28" outlineLevel="2" x14ac:dyDescent="0.3">
      <c r="A682" s="379">
        <v>654</v>
      </c>
      <c r="B682" s="379">
        <v>817600</v>
      </c>
      <c r="C682" s="379" t="s">
        <v>498</v>
      </c>
      <c r="D682" s="379">
        <v>5716950</v>
      </c>
      <c r="E682" s="379" t="s">
        <v>2834</v>
      </c>
      <c r="F682" s="379" t="s">
        <v>2358</v>
      </c>
      <c r="G682" s="383">
        <v>36161</v>
      </c>
      <c r="H682" s="379">
        <v>1800</v>
      </c>
      <c r="I682" s="379">
        <v>88.88</v>
      </c>
      <c r="J682" s="379">
        <v>134.99</v>
      </c>
      <c r="K682" s="379">
        <v>135</v>
      </c>
      <c r="L682" s="379"/>
      <c r="M682" s="379">
        <v>7.2</v>
      </c>
      <c r="N682" s="379"/>
      <c r="O682" s="379"/>
      <c r="P682" s="379">
        <v>1800</v>
      </c>
      <c r="Q682" s="379"/>
      <c r="R682" s="379"/>
      <c r="S682" s="379"/>
      <c r="T682" s="379"/>
      <c r="U682" s="379"/>
      <c r="V682" s="380">
        <v>2166.0700000000002</v>
      </c>
      <c r="W682" s="381"/>
      <c r="X682" s="379"/>
      <c r="Y682" s="379"/>
      <c r="Z682" s="379">
        <v>1027</v>
      </c>
      <c r="AA682" s="379" t="s">
        <v>2383</v>
      </c>
      <c r="AB682" s="380">
        <f t="shared" si="9"/>
        <v>0</v>
      </c>
    </row>
    <row r="683" spans="1:28" outlineLevel="2" x14ac:dyDescent="0.3">
      <c r="A683" s="379">
        <v>654</v>
      </c>
      <c r="B683" s="379">
        <v>817600</v>
      </c>
      <c r="C683" s="379" t="s">
        <v>498</v>
      </c>
      <c r="D683" s="379">
        <v>20398519</v>
      </c>
      <c r="E683" s="379" t="s">
        <v>3022</v>
      </c>
      <c r="F683" s="379" t="s">
        <v>3023</v>
      </c>
      <c r="G683" s="383">
        <v>43800</v>
      </c>
      <c r="H683" s="379">
        <v>4800</v>
      </c>
      <c r="I683" s="379">
        <v>170.4</v>
      </c>
      <c r="J683" s="379"/>
      <c r="K683" s="379">
        <v>360</v>
      </c>
      <c r="L683" s="379"/>
      <c r="M683" s="379"/>
      <c r="N683" s="379"/>
      <c r="O683" s="379"/>
      <c r="P683" s="379">
        <v>4800</v>
      </c>
      <c r="Q683" s="379"/>
      <c r="R683" s="379"/>
      <c r="S683" s="379"/>
      <c r="T683" s="379"/>
      <c r="U683" s="379"/>
      <c r="V683" s="380">
        <v>5330.4</v>
      </c>
      <c r="W683" s="381"/>
      <c r="X683" s="379"/>
      <c r="Y683" s="379"/>
      <c r="Z683" s="379">
        <v>1031001</v>
      </c>
      <c r="AA683" s="379" t="s">
        <v>2328</v>
      </c>
      <c r="AB683" s="380">
        <f t="shared" si="9"/>
        <v>0</v>
      </c>
    </row>
    <row r="684" spans="1:28" outlineLevel="2" x14ac:dyDescent="0.3">
      <c r="A684" s="379">
        <v>654</v>
      </c>
      <c r="B684" s="379">
        <v>817600</v>
      </c>
      <c r="C684" s="379" t="s">
        <v>498</v>
      </c>
      <c r="D684" s="379">
        <v>30571965</v>
      </c>
      <c r="E684" s="379" t="s">
        <v>2318</v>
      </c>
      <c r="F684" s="379" t="s">
        <v>2565</v>
      </c>
      <c r="G684" s="383">
        <v>43191</v>
      </c>
      <c r="H684" s="379">
        <v>4800</v>
      </c>
      <c r="I684" s="379">
        <v>170.4</v>
      </c>
      <c r="J684" s="379"/>
      <c r="K684" s="379">
        <v>360</v>
      </c>
      <c r="L684" s="379"/>
      <c r="M684" s="379"/>
      <c r="N684" s="379"/>
      <c r="O684" s="379"/>
      <c r="P684" s="379">
        <v>4800</v>
      </c>
      <c r="Q684" s="379"/>
      <c r="R684" s="379"/>
      <c r="S684" s="379"/>
      <c r="T684" s="379"/>
      <c r="U684" s="379"/>
      <c r="V684" s="380">
        <v>5330.4</v>
      </c>
      <c r="W684" s="381"/>
      <c r="X684" s="379"/>
      <c r="Y684" s="379"/>
      <c r="Z684" s="379">
        <v>1031001</v>
      </c>
      <c r="AA684" s="379" t="s">
        <v>2328</v>
      </c>
      <c r="AB684" s="380">
        <f t="shared" si="9"/>
        <v>0</v>
      </c>
    </row>
    <row r="685" spans="1:28" outlineLevel="2" x14ac:dyDescent="0.3">
      <c r="A685" s="379">
        <v>654</v>
      </c>
      <c r="B685" s="379">
        <v>817600</v>
      </c>
      <c r="C685" s="379" t="s">
        <v>498</v>
      </c>
      <c r="D685" s="379">
        <v>31320927</v>
      </c>
      <c r="E685" s="379" t="s">
        <v>2351</v>
      </c>
      <c r="F685" s="379" t="s">
        <v>3024</v>
      </c>
      <c r="G685" s="383">
        <v>43800</v>
      </c>
      <c r="H685" s="379">
        <v>1800</v>
      </c>
      <c r="I685" s="379">
        <v>63.9</v>
      </c>
      <c r="J685" s="379"/>
      <c r="K685" s="379">
        <v>135</v>
      </c>
      <c r="L685" s="379"/>
      <c r="M685" s="379"/>
      <c r="N685" s="379"/>
      <c r="O685" s="379"/>
      <c r="P685" s="379">
        <v>1800</v>
      </c>
      <c r="Q685" s="379"/>
      <c r="R685" s="379"/>
      <c r="S685" s="379"/>
      <c r="T685" s="379"/>
      <c r="U685" s="379"/>
      <c r="V685" s="380">
        <v>1998.9</v>
      </c>
      <c r="W685" s="381"/>
      <c r="X685" s="379"/>
      <c r="Y685" s="379"/>
      <c r="Z685" s="379">
        <v>961001</v>
      </c>
      <c r="AA685" s="379" t="s">
        <v>3025</v>
      </c>
      <c r="AB685" s="380">
        <f t="shared" si="9"/>
        <v>0</v>
      </c>
    </row>
    <row r="686" spans="1:28" outlineLevel="2" x14ac:dyDescent="0.3">
      <c r="A686" s="379">
        <v>654</v>
      </c>
      <c r="B686" s="379">
        <v>817600</v>
      </c>
      <c r="C686" s="379" t="s">
        <v>498</v>
      </c>
      <c r="D686" s="379">
        <v>31615444</v>
      </c>
      <c r="E686" s="379" t="s">
        <v>2465</v>
      </c>
      <c r="F686" s="379" t="s">
        <v>3026</v>
      </c>
      <c r="G686" s="383">
        <v>43800</v>
      </c>
      <c r="H686" s="379">
        <v>1800</v>
      </c>
      <c r="I686" s="379">
        <v>63.9</v>
      </c>
      <c r="J686" s="379"/>
      <c r="K686" s="379">
        <v>135</v>
      </c>
      <c r="L686" s="379"/>
      <c r="M686" s="379"/>
      <c r="N686" s="379"/>
      <c r="O686" s="379"/>
      <c r="P686" s="379">
        <v>1800</v>
      </c>
      <c r="Q686" s="379"/>
      <c r="R686" s="379"/>
      <c r="S686" s="379"/>
      <c r="T686" s="379"/>
      <c r="U686" s="379"/>
      <c r="V686" s="380">
        <v>1998.9</v>
      </c>
      <c r="W686" s="381"/>
      <c r="X686" s="379"/>
      <c r="Y686" s="379"/>
      <c r="Z686" s="379">
        <v>1031001</v>
      </c>
      <c r="AA686" s="379" t="s">
        <v>2328</v>
      </c>
      <c r="AB686" s="380">
        <f t="shared" si="9"/>
        <v>0</v>
      </c>
    </row>
    <row r="687" spans="1:28" outlineLevel="2" x14ac:dyDescent="0.3">
      <c r="A687" s="379">
        <v>654</v>
      </c>
      <c r="B687" s="379">
        <v>817600</v>
      </c>
      <c r="C687" s="379" t="s">
        <v>498</v>
      </c>
      <c r="D687" s="379">
        <v>32055616</v>
      </c>
      <c r="E687" s="379" t="s">
        <v>3027</v>
      </c>
      <c r="F687" s="379" t="s">
        <v>3028</v>
      </c>
      <c r="G687" s="383">
        <v>43709</v>
      </c>
      <c r="H687" s="379">
        <v>1800</v>
      </c>
      <c r="I687" s="379">
        <v>79.95</v>
      </c>
      <c r="J687" s="379"/>
      <c r="K687" s="379">
        <v>135</v>
      </c>
      <c r="L687" s="379"/>
      <c r="M687" s="379">
        <v>7.19</v>
      </c>
      <c r="N687" s="379"/>
      <c r="O687" s="379"/>
      <c r="P687" s="379">
        <v>1800</v>
      </c>
      <c r="Q687" s="379"/>
      <c r="R687" s="379"/>
      <c r="S687" s="379"/>
      <c r="T687" s="379"/>
      <c r="U687" s="379"/>
      <c r="V687" s="380">
        <v>2022.14</v>
      </c>
      <c r="W687" s="381"/>
      <c r="X687" s="379"/>
      <c r="Y687" s="379"/>
      <c r="Z687" s="379">
        <v>1401202</v>
      </c>
      <c r="AA687" s="379" t="s">
        <v>2380</v>
      </c>
      <c r="AB687" s="380">
        <f t="shared" si="9"/>
        <v>0</v>
      </c>
    </row>
    <row r="688" spans="1:28" outlineLevel="1" x14ac:dyDescent="0.3">
      <c r="A688" s="379"/>
      <c r="B688" s="384" t="s">
        <v>3029</v>
      </c>
      <c r="C688" s="379"/>
      <c r="D688" s="379"/>
      <c r="E688" s="379"/>
      <c r="F688" s="379"/>
      <c r="G688" s="383"/>
      <c r="H688" s="379"/>
      <c r="I688" s="379"/>
      <c r="J688" s="379"/>
      <c r="K688" s="379"/>
      <c r="L688" s="379"/>
      <c r="M688" s="379"/>
      <c r="N688" s="379"/>
      <c r="O688" s="379"/>
      <c r="P688" s="379"/>
      <c r="Q688" s="379"/>
      <c r="R688" s="379"/>
      <c r="S688" s="379"/>
      <c r="T688" s="379"/>
      <c r="U688" s="379"/>
      <c r="V688" s="380">
        <f>SUBTOTAL(9,V665:V687)</f>
        <v>332781.6100000001</v>
      </c>
      <c r="W688" s="381">
        <f>SUBTOTAL(9,W665:W687)</f>
        <v>0</v>
      </c>
      <c r="X688" s="379"/>
      <c r="Y688" s="379"/>
      <c r="Z688" s="379"/>
      <c r="AA688" s="379"/>
      <c r="AB688" s="380">
        <f>SUBTOTAL(9,AB665:AB687)</f>
        <v>0</v>
      </c>
    </row>
    <row r="689" spans="1:28" outlineLevel="2" x14ac:dyDescent="0.3">
      <c r="A689" s="379">
        <v>654</v>
      </c>
      <c r="B689" s="379">
        <v>817700</v>
      </c>
      <c r="C689" s="379" t="s">
        <v>3030</v>
      </c>
      <c r="D689" s="379">
        <v>2391173</v>
      </c>
      <c r="E689" s="379" t="s">
        <v>2321</v>
      </c>
      <c r="F689" s="379" t="s">
        <v>3031</v>
      </c>
      <c r="G689" s="383">
        <v>37165</v>
      </c>
      <c r="H689" s="379">
        <v>148679.01999999999</v>
      </c>
      <c r="I689" s="379">
        <v>8322.52</v>
      </c>
      <c r="J689" s="379">
        <v>27369.24</v>
      </c>
      <c r="K689" s="379">
        <v>11174.8</v>
      </c>
      <c r="L689" s="379"/>
      <c r="M689" s="379">
        <v>430.1</v>
      </c>
      <c r="N689" s="379"/>
      <c r="O689" s="379">
        <v>102189.86</v>
      </c>
      <c r="P689" s="379">
        <v>5323.8</v>
      </c>
      <c r="Q689" s="379">
        <v>2517.6</v>
      </c>
      <c r="R689" s="379">
        <v>19838.060000000001</v>
      </c>
      <c r="S689" s="379">
        <v>10846.4</v>
      </c>
      <c r="T689" s="379">
        <v>7766</v>
      </c>
      <c r="U689" s="379">
        <v>197.3</v>
      </c>
      <c r="V689" s="380">
        <v>195975.67999999999</v>
      </c>
      <c r="W689" s="381">
        <v>12</v>
      </c>
      <c r="X689" s="379"/>
      <c r="Y689" s="379"/>
      <c r="Z689" s="379">
        <v>1414001</v>
      </c>
      <c r="AA689" s="379" t="s">
        <v>3032</v>
      </c>
      <c r="AB689" s="380">
        <f t="shared" si="9"/>
        <v>1</v>
      </c>
    </row>
    <row r="690" spans="1:28" outlineLevel="2" x14ac:dyDescent="0.3">
      <c r="A690" s="379">
        <v>654</v>
      </c>
      <c r="B690" s="379">
        <v>817700</v>
      </c>
      <c r="C690" s="379" t="s">
        <v>3030</v>
      </c>
      <c r="D690" s="379">
        <v>2528097</v>
      </c>
      <c r="E690" s="379" t="s">
        <v>2519</v>
      </c>
      <c r="F690" s="379" t="s">
        <v>3033</v>
      </c>
      <c r="G690" s="383">
        <v>43009</v>
      </c>
      <c r="H690" s="379">
        <v>125434.19</v>
      </c>
      <c r="I690" s="379">
        <v>6524.23</v>
      </c>
      <c r="J690" s="379">
        <v>23812.27</v>
      </c>
      <c r="K690" s="379">
        <v>9404.4500000000007</v>
      </c>
      <c r="L690" s="379"/>
      <c r="M690" s="379">
        <v>358.7</v>
      </c>
      <c r="N690" s="379"/>
      <c r="O690" s="379">
        <v>89686.62</v>
      </c>
      <c r="P690" s="379"/>
      <c r="Q690" s="379">
        <v>2517.6</v>
      </c>
      <c r="R690" s="379">
        <v>14915.77</v>
      </c>
      <c r="S690" s="379">
        <v>10739.4</v>
      </c>
      <c r="T690" s="379">
        <v>6724</v>
      </c>
      <c r="U690" s="379">
        <v>850.8</v>
      </c>
      <c r="V690" s="380">
        <v>165533.84</v>
      </c>
      <c r="W690" s="381">
        <v>12</v>
      </c>
      <c r="X690" s="379"/>
      <c r="Y690" s="379"/>
      <c r="Z690" s="379">
        <v>1414001</v>
      </c>
      <c r="AA690" s="379" t="s">
        <v>3032</v>
      </c>
      <c r="AB690" s="380">
        <f t="shared" si="9"/>
        <v>1</v>
      </c>
    </row>
    <row r="691" spans="1:28" outlineLevel="1" x14ac:dyDescent="0.3">
      <c r="A691" s="379"/>
      <c r="B691" s="384" t="s">
        <v>3034</v>
      </c>
      <c r="C691" s="379"/>
      <c r="D691" s="379"/>
      <c r="E691" s="379"/>
      <c r="F691" s="379"/>
      <c r="G691" s="383"/>
      <c r="H691" s="379"/>
      <c r="I691" s="379"/>
      <c r="J691" s="379"/>
      <c r="K691" s="379"/>
      <c r="L691" s="379"/>
      <c r="M691" s="379"/>
      <c r="N691" s="379"/>
      <c r="O691" s="379"/>
      <c r="P691" s="379"/>
      <c r="Q691" s="379"/>
      <c r="R691" s="379"/>
      <c r="S691" s="379"/>
      <c r="T691" s="379"/>
      <c r="U691" s="379"/>
      <c r="V691" s="380">
        <f>SUBTOTAL(9,V689:V690)</f>
        <v>361509.52</v>
      </c>
      <c r="W691" s="381">
        <f>SUBTOTAL(9,W689:W690)</f>
        <v>24</v>
      </c>
      <c r="X691" s="379"/>
      <c r="Y691" s="379"/>
      <c r="Z691" s="379"/>
      <c r="AA691" s="379"/>
      <c r="AB691" s="380">
        <f>SUBTOTAL(9,AB689:AB690)</f>
        <v>2</v>
      </c>
    </row>
    <row r="692" spans="1:28" outlineLevel="2" x14ac:dyDescent="0.3">
      <c r="A692" s="379">
        <v>654</v>
      </c>
      <c r="B692" s="379">
        <v>817800</v>
      </c>
      <c r="C692" s="379" t="s">
        <v>599</v>
      </c>
      <c r="D692" s="379">
        <v>1304034</v>
      </c>
      <c r="E692" s="379" t="s">
        <v>3035</v>
      </c>
      <c r="F692" s="379" t="s">
        <v>2517</v>
      </c>
      <c r="G692" s="383">
        <v>41548</v>
      </c>
      <c r="H692" s="379">
        <v>19430.12</v>
      </c>
      <c r="I692" s="379">
        <v>95.65</v>
      </c>
      <c r="J692" s="379">
        <v>4374.88</v>
      </c>
      <c r="K692" s="379">
        <v>1494.5</v>
      </c>
      <c r="L692" s="379"/>
      <c r="M692" s="379">
        <v>64.55</v>
      </c>
      <c r="N692" s="379"/>
      <c r="O692" s="379">
        <v>16136.51</v>
      </c>
      <c r="P692" s="379"/>
      <c r="Q692" s="379">
        <v>1258.8</v>
      </c>
      <c r="R692" s="379"/>
      <c r="S692" s="379"/>
      <c r="T692" s="379">
        <v>2034.81</v>
      </c>
      <c r="U692" s="379"/>
      <c r="V692" s="380">
        <v>25459.7</v>
      </c>
      <c r="W692" s="381">
        <v>3</v>
      </c>
      <c r="X692" s="379">
        <v>17</v>
      </c>
      <c r="Y692" s="379" t="s">
        <v>3036</v>
      </c>
      <c r="Z692" s="379">
        <v>1401202</v>
      </c>
      <c r="AA692" s="379" t="s">
        <v>2380</v>
      </c>
      <c r="AB692" s="380">
        <f t="shared" si="9"/>
        <v>0.25</v>
      </c>
    </row>
    <row r="693" spans="1:28" outlineLevel="2" x14ac:dyDescent="0.3">
      <c r="A693" s="379">
        <v>654</v>
      </c>
      <c r="B693" s="379">
        <v>817800</v>
      </c>
      <c r="C693" s="379" t="s">
        <v>599</v>
      </c>
      <c r="D693" s="379">
        <v>2200415</v>
      </c>
      <c r="E693" s="379" t="s">
        <v>2716</v>
      </c>
      <c r="F693" s="379" t="s">
        <v>2368</v>
      </c>
      <c r="G693" s="383">
        <v>40238</v>
      </c>
      <c r="H693" s="379">
        <v>18955.509999999998</v>
      </c>
      <c r="I693" s="379">
        <v>908.58</v>
      </c>
      <c r="J693" s="379">
        <v>4368.6099999999997</v>
      </c>
      <c r="K693" s="379">
        <v>1919.26</v>
      </c>
      <c r="L693" s="379"/>
      <c r="M693" s="379">
        <v>63.78</v>
      </c>
      <c r="N693" s="379"/>
      <c r="O693" s="379">
        <v>15903.53</v>
      </c>
      <c r="P693" s="379"/>
      <c r="Q693" s="379">
        <v>516.02</v>
      </c>
      <c r="R693" s="379"/>
      <c r="S693" s="379"/>
      <c r="T693" s="379">
        <v>2535.96</v>
      </c>
      <c r="U693" s="379"/>
      <c r="V693" s="380">
        <v>26215.74</v>
      </c>
      <c r="W693" s="381">
        <v>2.7280000000000002</v>
      </c>
      <c r="X693" s="379"/>
      <c r="Y693" s="379"/>
      <c r="Z693" s="379">
        <v>1401202</v>
      </c>
      <c r="AA693" s="379" t="s">
        <v>2380</v>
      </c>
      <c r="AB693" s="380">
        <f t="shared" si="9"/>
        <v>0.22733333333333336</v>
      </c>
    </row>
    <row r="694" spans="1:28" outlineLevel="2" x14ac:dyDescent="0.3">
      <c r="A694" s="379">
        <v>654</v>
      </c>
      <c r="B694" s="379">
        <v>817800</v>
      </c>
      <c r="C694" s="379" t="s">
        <v>599</v>
      </c>
      <c r="D694" s="379">
        <v>2244162</v>
      </c>
      <c r="E694" s="379" t="s">
        <v>2538</v>
      </c>
      <c r="F694" s="379" t="s">
        <v>2662</v>
      </c>
      <c r="G694" s="383">
        <v>39692</v>
      </c>
      <c r="H694" s="379">
        <v>1075</v>
      </c>
      <c r="I694" s="379">
        <v>55.6</v>
      </c>
      <c r="J694" s="379">
        <v>225.74</v>
      </c>
      <c r="K694" s="379">
        <v>80.62</v>
      </c>
      <c r="L694" s="379"/>
      <c r="M694" s="379"/>
      <c r="N694" s="379"/>
      <c r="O694" s="379"/>
      <c r="P694" s="379"/>
      <c r="Q694" s="379"/>
      <c r="R694" s="379"/>
      <c r="S694" s="379"/>
      <c r="T694" s="379">
        <v>1075</v>
      </c>
      <c r="U694" s="379"/>
      <c r="V694" s="380">
        <v>1436.96</v>
      </c>
      <c r="W694" s="381"/>
      <c r="X694" s="379"/>
      <c r="Y694" s="379"/>
      <c r="Z694" s="379">
        <v>5821001</v>
      </c>
      <c r="AA694" s="379" t="s">
        <v>2427</v>
      </c>
      <c r="AB694" s="380">
        <f t="shared" si="9"/>
        <v>0</v>
      </c>
    </row>
    <row r="695" spans="1:28" outlineLevel="2" x14ac:dyDescent="0.3">
      <c r="A695" s="379">
        <v>654</v>
      </c>
      <c r="B695" s="379">
        <v>817800</v>
      </c>
      <c r="C695" s="379" t="s">
        <v>599</v>
      </c>
      <c r="D695" s="379">
        <v>2244463</v>
      </c>
      <c r="E695" s="379" t="s">
        <v>2303</v>
      </c>
      <c r="F695" s="379" t="s">
        <v>2935</v>
      </c>
      <c r="G695" s="383">
        <v>41974</v>
      </c>
      <c r="H695" s="379">
        <v>27032.89</v>
      </c>
      <c r="I695" s="379">
        <v>977.27</v>
      </c>
      <c r="J695" s="379">
        <v>6053.36</v>
      </c>
      <c r="K695" s="379">
        <v>2064.65</v>
      </c>
      <c r="L695" s="379"/>
      <c r="M695" s="379"/>
      <c r="N695" s="379"/>
      <c r="O695" s="379">
        <v>24563.99</v>
      </c>
      <c r="P695" s="379"/>
      <c r="Q695" s="379">
        <v>569.1</v>
      </c>
      <c r="R695" s="379"/>
      <c r="S695" s="379"/>
      <c r="T695" s="379">
        <v>1899.8</v>
      </c>
      <c r="U695" s="379"/>
      <c r="V695" s="380">
        <v>36128.17</v>
      </c>
      <c r="W695" s="381">
        <v>4.2</v>
      </c>
      <c r="X695" s="379"/>
      <c r="Y695" s="379"/>
      <c r="Z695" s="379">
        <v>1401202</v>
      </c>
      <c r="AA695" s="379" t="s">
        <v>2380</v>
      </c>
      <c r="AB695" s="380">
        <f t="shared" si="9"/>
        <v>0.35000000000000003</v>
      </c>
    </row>
    <row r="696" spans="1:28" outlineLevel="2" x14ac:dyDescent="0.3">
      <c r="A696" s="379">
        <v>654</v>
      </c>
      <c r="B696" s="379">
        <v>817800</v>
      </c>
      <c r="C696" s="379" t="s">
        <v>599</v>
      </c>
      <c r="D696" s="379">
        <v>2244464</v>
      </c>
      <c r="E696" s="379" t="s">
        <v>2916</v>
      </c>
      <c r="F696" s="379" t="s">
        <v>2808</v>
      </c>
      <c r="G696" s="383">
        <v>43009</v>
      </c>
      <c r="H696" s="379">
        <v>18857.07</v>
      </c>
      <c r="I696" s="379">
        <v>686.97</v>
      </c>
      <c r="J696" s="379">
        <v>4243.26</v>
      </c>
      <c r="K696" s="379">
        <v>1451.44</v>
      </c>
      <c r="L696" s="379"/>
      <c r="M696" s="379"/>
      <c r="N696" s="379"/>
      <c r="O696" s="379">
        <v>16228.44</v>
      </c>
      <c r="P696" s="379"/>
      <c r="Q696" s="379">
        <v>1012.65</v>
      </c>
      <c r="R696" s="379"/>
      <c r="S696" s="379"/>
      <c r="T696" s="379">
        <v>1615.98</v>
      </c>
      <c r="U696" s="379"/>
      <c r="V696" s="380">
        <v>25238.74</v>
      </c>
      <c r="W696" s="381">
        <v>3.2549999999999999</v>
      </c>
      <c r="X696" s="379"/>
      <c r="Y696" s="379"/>
      <c r="Z696" s="379">
        <v>1401202</v>
      </c>
      <c r="AA696" s="379" t="s">
        <v>2380</v>
      </c>
      <c r="AB696" s="380">
        <f t="shared" si="9"/>
        <v>0.27124999999999999</v>
      </c>
    </row>
    <row r="697" spans="1:28" outlineLevel="2" x14ac:dyDescent="0.3">
      <c r="A697" s="379">
        <v>654</v>
      </c>
      <c r="B697" s="379">
        <v>817800</v>
      </c>
      <c r="C697" s="379" t="s">
        <v>599</v>
      </c>
      <c r="D697" s="379">
        <v>2416438</v>
      </c>
      <c r="E697" s="379" t="s">
        <v>2805</v>
      </c>
      <c r="F697" s="379" t="s">
        <v>2664</v>
      </c>
      <c r="G697" s="383">
        <v>43070</v>
      </c>
      <c r="H697" s="379">
        <v>501.5</v>
      </c>
      <c r="I697" s="379">
        <v>17.8</v>
      </c>
      <c r="J697" s="379">
        <v>67.7</v>
      </c>
      <c r="K697" s="379">
        <v>37.61</v>
      </c>
      <c r="L697" s="379"/>
      <c r="M697" s="379"/>
      <c r="N697" s="379"/>
      <c r="O697" s="379"/>
      <c r="P697" s="379">
        <v>501.5</v>
      </c>
      <c r="Q697" s="379"/>
      <c r="R697" s="379"/>
      <c r="S697" s="379"/>
      <c r="T697" s="379"/>
      <c r="U697" s="379"/>
      <c r="V697" s="380">
        <v>624.61</v>
      </c>
      <c r="W697" s="381"/>
      <c r="X697" s="379">
        <v>12107</v>
      </c>
      <c r="Y697" s="379" t="s">
        <v>2801</v>
      </c>
      <c r="Z697" s="379">
        <v>1422001</v>
      </c>
      <c r="AA697" s="379" t="s">
        <v>2648</v>
      </c>
      <c r="AB697" s="380">
        <f t="shared" si="9"/>
        <v>0</v>
      </c>
    </row>
    <row r="698" spans="1:28" outlineLevel="2" x14ac:dyDescent="0.3">
      <c r="A698" s="379">
        <v>654</v>
      </c>
      <c r="B698" s="379">
        <v>817800</v>
      </c>
      <c r="C698" s="379" t="s">
        <v>599</v>
      </c>
      <c r="D698" s="379">
        <v>2458374</v>
      </c>
      <c r="E698" s="379" t="s">
        <v>2597</v>
      </c>
      <c r="F698" s="379" t="s">
        <v>2634</v>
      </c>
      <c r="G698" s="383">
        <v>42614</v>
      </c>
      <c r="H698" s="379">
        <v>84517.23</v>
      </c>
      <c r="I698" s="379">
        <v>3832.71</v>
      </c>
      <c r="J698" s="379">
        <v>15076.14</v>
      </c>
      <c r="K698" s="379">
        <v>6376</v>
      </c>
      <c r="L698" s="379"/>
      <c r="M698" s="379">
        <v>278.89999999999998</v>
      </c>
      <c r="N698" s="379"/>
      <c r="O698" s="379">
        <v>56272.72</v>
      </c>
      <c r="P698" s="379">
        <v>13432.31</v>
      </c>
      <c r="Q698" s="379">
        <v>765.98</v>
      </c>
      <c r="R698" s="379"/>
      <c r="S698" s="379"/>
      <c r="T698" s="379">
        <v>4521.5200000000004</v>
      </c>
      <c r="U698" s="379">
        <v>9524.7000000000007</v>
      </c>
      <c r="V698" s="380">
        <v>110080.98</v>
      </c>
      <c r="W698" s="381">
        <v>10</v>
      </c>
      <c r="X698" s="379"/>
      <c r="Y698" s="379"/>
      <c r="Z698" s="379">
        <v>1401202</v>
      </c>
      <c r="AA698" s="379" t="s">
        <v>2380</v>
      </c>
      <c r="AB698" s="380">
        <f t="shared" si="9"/>
        <v>0.83333333333333337</v>
      </c>
    </row>
    <row r="699" spans="1:28" outlineLevel="2" x14ac:dyDescent="0.3">
      <c r="A699" s="379">
        <v>654</v>
      </c>
      <c r="B699" s="379">
        <v>817800</v>
      </c>
      <c r="C699" s="379" t="s">
        <v>599</v>
      </c>
      <c r="D699" s="379">
        <v>2468379</v>
      </c>
      <c r="E699" s="379" t="s">
        <v>3037</v>
      </c>
      <c r="F699" s="379" t="s">
        <v>2547</v>
      </c>
      <c r="G699" s="383">
        <v>40422</v>
      </c>
      <c r="H699" s="379">
        <v>90793.33</v>
      </c>
      <c r="I699" s="379">
        <v>3927.69</v>
      </c>
      <c r="J699" s="379">
        <v>18091.39</v>
      </c>
      <c r="K699" s="379">
        <v>6846.7</v>
      </c>
      <c r="L699" s="379"/>
      <c r="M699" s="379">
        <v>316.14999999999998</v>
      </c>
      <c r="N699" s="379"/>
      <c r="O699" s="379">
        <v>75307.460000000006</v>
      </c>
      <c r="P699" s="379">
        <v>3754.37</v>
      </c>
      <c r="Q699" s="379">
        <v>2537.16</v>
      </c>
      <c r="R699" s="379"/>
      <c r="S699" s="379"/>
      <c r="T699" s="379">
        <v>5573.84</v>
      </c>
      <c r="U699" s="379">
        <v>3620.5</v>
      </c>
      <c r="V699" s="380">
        <v>119975.26</v>
      </c>
      <c r="W699" s="381">
        <v>11.835000000000001</v>
      </c>
      <c r="X699" s="379"/>
      <c r="Y699" s="379"/>
      <c r="Z699" s="379">
        <v>1401202</v>
      </c>
      <c r="AA699" s="379" t="s">
        <v>2380</v>
      </c>
      <c r="AB699" s="380">
        <f t="shared" ref="AB699:AB763" si="10">W699/12</f>
        <v>0.98625000000000007</v>
      </c>
    </row>
    <row r="700" spans="1:28" outlineLevel="2" x14ac:dyDescent="0.3">
      <c r="A700" s="379">
        <v>654</v>
      </c>
      <c r="B700" s="379">
        <v>817800</v>
      </c>
      <c r="C700" s="379" t="s">
        <v>599</v>
      </c>
      <c r="D700" s="379">
        <v>2564601</v>
      </c>
      <c r="E700" s="379" t="s">
        <v>2538</v>
      </c>
      <c r="F700" s="379" t="s">
        <v>2832</v>
      </c>
      <c r="G700" s="383">
        <v>42583</v>
      </c>
      <c r="H700" s="379">
        <v>15386.86</v>
      </c>
      <c r="I700" s="379">
        <v>635.13</v>
      </c>
      <c r="J700" s="379">
        <v>3207.39</v>
      </c>
      <c r="K700" s="379">
        <v>1154.25</v>
      </c>
      <c r="L700" s="379"/>
      <c r="M700" s="379">
        <v>55.09</v>
      </c>
      <c r="N700" s="379"/>
      <c r="O700" s="379">
        <v>13723.7</v>
      </c>
      <c r="P700" s="379"/>
      <c r="Q700" s="379">
        <v>116.64</v>
      </c>
      <c r="R700" s="379"/>
      <c r="S700" s="379"/>
      <c r="T700" s="379">
        <v>1546.52</v>
      </c>
      <c r="U700" s="379"/>
      <c r="V700" s="380">
        <v>20438.72</v>
      </c>
      <c r="W700" s="381">
        <v>2.4</v>
      </c>
      <c r="X700" s="379"/>
      <c r="Y700" s="379"/>
      <c r="Z700" s="379">
        <v>1422001</v>
      </c>
      <c r="AA700" s="379" t="s">
        <v>2648</v>
      </c>
      <c r="AB700" s="380">
        <f t="shared" si="10"/>
        <v>0.19999999999999998</v>
      </c>
    </row>
    <row r="701" spans="1:28" outlineLevel="2" x14ac:dyDescent="0.3">
      <c r="A701" s="379">
        <v>654</v>
      </c>
      <c r="B701" s="379">
        <v>817800</v>
      </c>
      <c r="C701" s="379" t="s">
        <v>599</v>
      </c>
      <c r="D701" s="379">
        <v>2699980</v>
      </c>
      <c r="E701" s="379" t="s">
        <v>2519</v>
      </c>
      <c r="F701" s="379" t="s">
        <v>2358</v>
      </c>
      <c r="G701" s="383">
        <v>40603</v>
      </c>
      <c r="H701" s="379">
        <v>40473.910000000003</v>
      </c>
      <c r="I701" s="379">
        <v>1453.13</v>
      </c>
      <c r="J701" s="379">
        <v>8848.0400000000009</v>
      </c>
      <c r="K701" s="379">
        <v>3072.7</v>
      </c>
      <c r="L701" s="379"/>
      <c r="M701" s="379">
        <v>143.44999999999999</v>
      </c>
      <c r="N701" s="379"/>
      <c r="O701" s="379">
        <v>35857.480000000003</v>
      </c>
      <c r="P701" s="379"/>
      <c r="Q701" s="379">
        <v>702.37</v>
      </c>
      <c r="R701" s="379"/>
      <c r="S701" s="379"/>
      <c r="T701" s="379">
        <v>3914.06</v>
      </c>
      <c r="U701" s="379"/>
      <c r="V701" s="380">
        <v>53991.23</v>
      </c>
      <c r="W701" s="381">
        <v>5.8040000000000003</v>
      </c>
      <c r="X701" s="379"/>
      <c r="Y701" s="379"/>
      <c r="Z701" s="379">
        <v>1401202</v>
      </c>
      <c r="AA701" s="379" t="s">
        <v>2380</v>
      </c>
      <c r="AB701" s="380">
        <f t="shared" si="10"/>
        <v>0.48366666666666669</v>
      </c>
    </row>
    <row r="702" spans="1:28" outlineLevel="2" x14ac:dyDescent="0.3">
      <c r="A702" s="379">
        <v>654</v>
      </c>
      <c r="B702" s="379">
        <v>817800</v>
      </c>
      <c r="C702" s="379" t="s">
        <v>599</v>
      </c>
      <c r="D702" s="379">
        <v>2887548</v>
      </c>
      <c r="E702" s="379" t="s">
        <v>2546</v>
      </c>
      <c r="F702" s="379" t="s">
        <v>2887</v>
      </c>
      <c r="G702" s="383">
        <v>41671</v>
      </c>
      <c r="H702" s="379">
        <v>3163.52</v>
      </c>
      <c r="I702" s="379">
        <v>143.32</v>
      </c>
      <c r="J702" s="379">
        <v>664.25</v>
      </c>
      <c r="K702" s="379">
        <v>237.16</v>
      </c>
      <c r="L702" s="379"/>
      <c r="M702" s="379">
        <v>11.47</v>
      </c>
      <c r="N702" s="379"/>
      <c r="O702" s="379">
        <v>2910.8</v>
      </c>
      <c r="P702" s="379"/>
      <c r="Q702" s="379"/>
      <c r="R702" s="379"/>
      <c r="S702" s="379"/>
      <c r="T702" s="379">
        <v>252.72</v>
      </c>
      <c r="U702" s="379"/>
      <c r="V702" s="380">
        <v>4219.72</v>
      </c>
      <c r="W702" s="381">
        <v>0.46100000000000002</v>
      </c>
      <c r="X702" s="379"/>
      <c r="Y702" s="379"/>
      <c r="Z702" s="379">
        <v>1027</v>
      </c>
      <c r="AA702" s="379" t="s">
        <v>2383</v>
      </c>
      <c r="AB702" s="380">
        <f t="shared" si="10"/>
        <v>3.8416666666666668E-2</v>
      </c>
    </row>
    <row r="703" spans="1:28" outlineLevel="2" x14ac:dyDescent="0.3">
      <c r="A703" s="379">
        <v>654</v>
      </c>
      <c r="B703" s="379">
        <v>817800</v>
      </c>
      <c r="C703" s="379" t="s">
        <v>599</v>
      </c>
      <c r="D703" s="379">
        <v>2888653</v>
      </c>
      <c r="E703" s="379" t="s">
        <v>3038</v>
      </c>
      <c r="F703" s="379" t="s">
        <v>2680</v>
      </c>
      <c r="G703" s="383">
        <v>39692</v>
      </c>
      <c r="H703" s="379">
        <v>11542.2</v>
      </c>
      <c r="I703" s="379">
        <v>426.32</v>
      </c>
      <c r="J703" s="379">
        <v>2410.59</v>
      </c>
      <c r="K703" s="379">
        <v>865.52</v>
      </c>
      <c r="L703" s="379"/>
      <c r="M703" s="379">
        <v>40.86</v>
      </c>
      <c r="N703" s="379"/>
      <c r="O703" s="379">
        <v>10250.94</v>
      </c>
      <c r="P703" s="379"/>
      <c r="Q703" s="379">
        <v>81.66</v>
      </c>
      <c r="R703" s="379"/>
      <c r="S703" s="379"/>
      <c r="T703" s="379">
        <v>1209.5999999999999</v>
      </c>
      <c r="U703" s="379"/>
      <c r="V703" s="380">
        <v>15285.49</v>
      </c>
      <c r="W703" s="381">
        <v>1.68</v>
      </c>
      <c r="X703" s="379"/>
      <c r="Y703" s="379"/>
      <c r="Z703" s="379">
        <v>1401202</v>
      </c>
      <c r="AA703" s="379" t="s">
        <v>2380</v>
      </c>
      <c r="AB703" s="380">
        <f t="shared" si="10"/>
        <v>0.13999999999999999</v>
      </c>
    </row>
    <row r="704" spans="1:28" outlineLevel="2" x14ac:dyDescent="0.3">
      <c r="A704" s="379">
        <v>654</v>
      </c>
      <c r="B704" s="379">
        <v>817800</v>
      </c>
      <c r="C704" s="379" t="s">
        <v>599</v>
      </c>
      <c r="D704" s="379">
        <v>2889007</v>
      </c>
      <c r="E704" s="379" t="s">
        <v>2365</v>
      </c>
      <c r="F704" s="379" t="s">
        <v>2935</v>
      </c>
      <c r="G704" s="383">
        <v>42767</v>
      </c>
      <c r="H704" s="379">
        <v>2433.75</v>
      </c>
      <c r="I704" s="379">
        <v>86.4</v>
      </c>
      <c r="J704" s="379">
        <v>328.57</v>
      </c>
      <c r="K704" s="379">
        <v>182.6</v>
      </c>
      <c r="L704" s="379"/>
      <c r="M704" s="379"/>
      <c r="N704" s="379"/>
      <c r="O704" s="379"/>
      <c r="P704" s="379">
        <v>2433.75</v>
      </c>
      <c r="Q704" s="379"/>
      <c r="R704" s="379"/>
      <c r="S704" s="379"/>
      <c r="T704" s="379"/>
      <c r="U704" s="379"/>
      <c r="V704" s="380">
        <v>3031.32</v>
      </c>
      <c r="W704" s="381"/>
      <c r="X704" s="379"/>
      <c r="Y704" s="379"/>
      <c r="Z704" s="379">
        <v>1401202</v>
      </c>
      <c r="AA704" s="379" t="s">
        <v>2380</v>
      </c>
      <c r="AB704" s="380">
        <f t="shared" si="10"/>
        <v>0</v>
      </c>
    </row>
    <row r="705" spans="1:28" outlineLevel="2" x14ac:dyDescent="0.3">
      <c r="A705" s="379">
        <v>654</v>
      </c>
      <c r="B705" s="379">
        <v>817800</v>
      </c>
      <c r="C705" s="379" t="s">
        <v>599</v>
      </c>
      <c r="D705" s="379">
        <v>3487657</v>
      </c>
      <c r="E705" s="379" t="s">
        <v>2340</v>
      </c>
      <c r="F705" s="379" t="s">
        <v>2821</v>
      </c>
      <c r="G705" s="383">
        <v>42614</v>
      </c>
      <c r="H705" s="379">
        <v>11388.13</v>
      </c>
      <c r="I705" s="379">
        <v>404.04</v>
      </c>
      <c r="J705" s="379">
        <v>2366.12</v>
      </c>
      <c r="K705" s="379">
        <v>853.72</v>
      </c>
      <c r="L705" s="379"/>
      <c r="M705" s="379">
        <v>44.83</v>
      </c>
      <c r="N705" s="379"/>
      <c r="O705" s="379">
        <v>11270.13</v>
      </c>
      <c r="P705" s="379">
        <v>118</v>
      </c>
      <c r="Q705" s="379"/>
      <c r="R705" s="379"/>
      <c r="S705" s="379"/>
      <c r="T705" s="379"/>
      <c r="U705" s="379"/>
      <c r="V705" s="380">
        <v>15056.84</v>
      </c>
      <c r="W705" s="381">
        <v>1.871</v>
      </c>
      <c r="X705" s="379"/>
      <c r="Y705" s="379"/>
      <c r="Z705" s="379">
        <v>5923001</v>
      </c>
      <c r="AA705" s="379" t="s">
        <v>2354</v>
      </c>
      <c r="AB705" s="380">
        <f t="shared" si="10"/>
        <v>0.15591666666666668</v>
      </c>
    </row>
    <row r="706" spans="1:28" outlineLevel="2" x14ac:dyDescent="0.3">
      <c r="A706" s="379">
        <v>654</v>
      </c>
      <c r="B706" s="379">
        <v>817800</v>
      </c>
      <c r="C706" s="379" t="s">
        <v>599</v>
      </c>
      <c r="D706" s="379">
        <v>3584767</v>
      </c>
      <c r="E706" s="379" t="s">
        <v>2697</v>
      </c>
      <c r="F706" s="379" t="s">
        <v>2528</v>
      </c>
      <c r="G706" s="383">
        <v>42675</v>
      </c>
      <c r="H706" s="379">
        <v>646.76</v>
      </c>
      <c r="I706" s="379">
        <v>23.15</v>
      </c>
      <c r="J706" s="379"/>
      <c r="K706" s="379">
        <v>48.68</v>
      </c>
      <c r="L706" s="379"/>
      <c r="M706" s="379"/>
      <c r="N706" s="379"/>
      <c r="O706" s="379"/>
      <c r="P706" s="379">
        <v>646.76</v>
      </c>
      <c r="Q706" s="379"/>
      <c r="R706" s="379"/>
      <c r="S706" s="379"/>
      <c r="T706" s="379"/>
      <c r="U706" s="379"/>
      <c r="V706" s="380">
        <v>718.59</v>
      </c>
      <c r="W706" s="381"/>
      <c r="X706" s="379"/>
      <c r="Y706" s="379"/>
      <c r="Z706" s="379">
        <v>1401202</v>
      </c>
      <c r="AA706" s="379" t="s">
        <v>2380</v>
      </c>
      <c r="AB706" s="380">
        <f t="shared" si="10"/>
        <v>0</v>
      </c>
    </row>
    <row r="707" spans="1:28" outlineLevel="2" x14ac:dyDescent="0.3">
      <c r="A707" s="379">
        <v>654</v>
      </c>
      <c r="B707" s="379">
        <v>817800</v>
      </c>
      <c r="C707" s="379" t="s">
        <v>599</v>
      </c>
      <c r="D707" s="379">
        <v>3764523</v>
      </c>
      <c r="E707" s="379" t="s">
        <v>2841</v>
      </c>
      <c r="F707" s="379" t="s">
        <v>2706</v>
      </c>
      <c r="G707" s="383">
        <v>43709</v>
      </c>
      <c r="H707" s="379">
        <v>1770</v>
      </c>
      <c r="I707" s="379">
        <v>62.83</v>
      </c>
      <c r="J707" s="379"/>
      <c r="K707" s="379">
        <v>132.75</v>
      </c>
      <c r="L707" s="379"/>
      <c r="M707" s="379"/>
      <c r="N707" s="379"/>
      <c r="O707" s="379">
        <v>0</v>
      </c>
      <c r="P707" s="379">
        <v>1770</v>
      </c>
      <c r="Q707" s="379"/>
      <c r="R707" s="379"/>
      <c r="S707" s="379"/>
      <c r="T707" s="379"/>
      <c r="U707" s="379"/>
      <c r="V707" s="380">
        <v>1965.58</v>
      </c>
      <c r="W707" s="381"/>
      <c r="X707" s="379"/>
      <c r="Y707" s="379"/>
      <c r="Z707" s="379">
        <v>1401202</v>
      </c>
      <c r="AA707" s="379" t="s">
        <v>2380</v>
      </c>
      <c r="AB707" s="380">
        <f t="shared" si="10"/>
        <v>0</v>
      </c>
    </row>
    <row r="708" spans="1:28" outlineLevel="2" x14ac:dyDescent="0.3">
      <c r="A708" s="379">
        <v>654</v>
      </c>
      <c r="B708" s="379">
        <v>817800</v>
      </c>
      <c r="C708" s="379" t="s">
        <v>599</v>
      </c>
      <c r="D708" s="379">
        <v>3827854</v>
      </c>
      <c r="E708" s="379" t="s">
        <v>2700</v>
      </c>
      <c r="F708" s="379" t="s">
        <v>2701</v>
      </c>
      <c r="G708" s="383">
        <v>40909</v>
      </c>
      <c r="H708" s="379">
        <v>206.5</v>
      </c>
      <c r="I708" s="379">
        <v>9.5</v>
      </c>
      <c r="J708" s="379">
        <v>10.32</v>
      </c>
      <c r="K708" s="379">
        <v>15.48</v>
      </c>
      <c r="L708" s="379"/>
      <c r="M708" s="379"/>
      <c r="N708" s="379"/>
      <c r="O708" s="379"/>
      <c r="P708" s="379">
        <v>206.5</v>
      </c>
      <c r="Q708" s="379"/>
      <c r="R708" s="379"/>
      <c r="S708" s="379"/>
      <c r="T708" s="379"/>
      <c r="U708" s="379"/>
      <c r="V708" s="380">
        <v>241.8</v>
      </c>
      <c r="W708" s="381"/>
      <c r="X708" s="379"/>
      <c r="Y708" s="379"/>
      <c r="Z708" s="379">
        <v>1401202</v>
      </c>
      <c r="AA708" s="379" t="s">
        <v>2380</v>
      </c>
      <c r="AB708" s="380">
        <f t="shared" si="10"/>
        <v>0</v>
      </c>
    </row>
    <row r="709" spans="1:28" outlineLevel="2" x14ac:dyDescent="0.3">
      <c r="A709" s="379">
        <v>654</v>
      </c>
      <c r="B709" s="379">
        <v>817800</v>
      </c>
      <c r="C709" s="379" t="s">
        <v>599</v>
      </c>
      <c r="D709" s="379">
        <v>5292628</v>
      </c>
      <c r="E709" s="379" t="s">
        <v>2340</v>
      </c>
      <c r="F709" s="379" t="s">
        <v>2303</v>
      </c>
      <c r="G709" s="383">
        <v>40422</v>
      </c>
      <c r="H709" s="379">
        <v>46936.43</v>
      </c>
      <c r="I709" s="379">
        <v>227.7</v>
      </c>
      <c r="J709" s="379">
        <v>10148.93</v>
      </c>
      <c r="K709" s="379">
        <v>3557.4</v>
      </c>
      <c r="L709" s="379"/>
      <c r="M709" s="379">
        <v>169.7</v>
      </c>
      <c r="N709" s="379"/>
      <c r="O709" s="379">
        <v>42422.2</v>
      </c>
      <c r="P709" s="379">
        <v>206.5</v>
      </c>
      <c r="Q709" s="379">
        <v>763.42</v>
      </c>
      <c r="R709" s="379"/>
      <c r="S709" s="379"/>
      <c r="T709" s="379">
        <v>3544.31</v>
      </c>
      <c r="U709" s="379"/>
      <c r="V709" s="380">
        <v>61040.160000000003</v>
      </c>
      <c r="W709" s="381">
        <v>6.6959999999999997</v>
      </c>
      <c r="X709" s="379"/>
      <c r="Y709" s="379"/>
      <c r="Z709" s="379">
        <v>1401202</v>
      </c>
      <c r="AA709" s="379" t="s">
        <v>2380</v>
      </c>
      <c r="AB709" s="380">
        <f t="shared" si="10"/>
        <v>0.55799999999999994</v>
      </c>
    </row>
    <row r="710" spans="1:28" outlineLevel="2" x14ac:dyDescent="0.3">
      <c r="A710" s="379">
        <v>654</v>
      </c>
      <c r="B710" s="379">
        <v>817800</v>
      </c>
      <c r="C710" s="379" t="s">
        <v>599</v>
      </c>
      <c r="D710" s="379">
        <v>5322080</v>
      </c>
      <c r="E710" s="379" t="s">
        <v>2340</v>
      </c>
      <c r="F710" s="379" t="s">
        <v>2654</v>
      </c>
      <c r="G710" s="383">
        <v>40269</v>
      </c>
      <c r="H710" s="379">
        <v>22458.76</v>
      </c>
      <c r="I710" s="379">
        <v>110.14</v>
      </c>
      <c r="J710" s="379">
        <v>5180.58</v>
      </c>
      <c r="K710" s="379">
        <v>1721.54</v>
      </c>
      <c r="L710" s="379"/>
      <c r="M710" s="379"/>
      <c r="N710" s="379"/>
      <c r="O710" s="379">
        <v>20204.66</v>
      </c>
      <c r="P710" s="379"/>
      <c r="Q710" s="379">
        <v>560.55999999999995</v>
      </c>
      <c r="R710" s="379"/>
      <c r="S710" s="379"/>
      <c r="T710" s="379">
        <v>1693.54</v>
      </c>
      <c r="U710" s="379"/>
      <c r="V710" s="380">
        <v>29471.02</v>
      </c>
      <c r="W710" s="381">
        <v>3.74</v>
      </c>
      <c r="X710" s="379"/>
      <c r="Y710" s="379"/>
      <c r="Z710" s="379">
        <v>1401202</v>
      </c>
      <c r="AA710" s="379" t="s">
        <v>2380</v>
      </c>
      <c r="AB710" s="380">
        <f t="shared" si="10"/>
        <v>0.3116666666666667</v>
      </c>
    </row>
    <row r="711" spans="1:28" outlineLevel="2" x14ac:dyDescent="0.3">
      <c r="A711" s="379">
        <v>654</v>
      </c>
      <c r="B711" s="379">
        <v>817800</v>
      </c>
      <c r="C711" s="379" t="s">
        <v>599</v>
      </c>
      <c r="D711" s="379">
        <v>5429071</v>
      </c>
      <c r="E711" s="379" t="s">
        <v>2355</v>
      </c>
      <c r="F711" s="379" t="s">
        <v>2709</v>
      </c>
      <c r="G711" s="383">
        <v>43070</v>
      </c>
      <c r="H711" s="379">
        <v>649</v>
      </c>
      <c r="I711" s="379">
        <v>22.66</v>
      </c>
      <c r="J711" s="379">
        <v>87.59</v>
      </c>
      <c r="K711" s="379">
        <v>48.65</v>
      </c>
      <c r="L711" s="379"/>
      <c r="M711" s="379"/>
      <c r="N711" s="379"/>
      <c r="O711" s="379"/>
      <c r="P711" s="379">
        <v>649</v>
      </c>
      <c r="Q711" s="379"/>
      <c r="R711" s="379"/>
      <c r="S711" s="379"/>
      <c r="T711" s="379"/>
      <c r="U711" s="379"/>
      <c r="V711" s="380">
        <v>807.9</v>
      </c>
      <c r="W711" s="381"/>
      <c r="X711" s="379"/>
      <c r="Y711" s="379"/>
      <c r="Z711" s="379">
        <v>1401202</v>
      </c>
      <c r="AA711" s="379" t="s">
        <v>2380</v>
      </c>
      <c r="AB711" s="380">
        <f t="shared" si="10"/>
        <v>0</v>
      </c>
    </row>
    <row r="712" spans="1:28" outlineLevel="2" x14ac:dyDescent="0.3">
      <c r="A712" s="379">
        <v>654</v>
      </c>
      <c r="B712" s="379">
        <v>817800</v>
      </c>
      <c r="C712" s="379" t="s">
        <v>599</v>
      </c>
      <c r="D712" s="379">
        <v>5618617</v>
      </c>
      <c r="E712" s="379" t="s">
        <v>2927</v>
      </c>
      <c r="F712" s="379" t="s">
        <v>2361</v>
      </c>
      <c r="G712" s="383">
        <v>35370</v>
      </c>
      <c r="H712" s="379">
        <v>185.5</v>
      </c>
      <c r="I712" s="379">
        <v>7.49</v>
      </c>
      <c r="J712" s="379">
        <v>9.27</v>
      </c>
      <c r="K712" s="379">
        <v>13.9</v>
      </c>
      <c r="L712" s="379"/>
      <c r="M712" s="379"/>
      <c r="N712" s="379"/>
      <c r="O712" s="379"/>
      <c r="P712" s="379"/>
      <c r="Q712" s="379">
        <v>185.5</v>
      </c>
      <c r="R712" s="379"/>
      <c r="S712" s="379"/>
      <c r="T712" s="379"/>
      <c r="U712" s="379"/>
      <c r="V712" s="380">
        <v>216.16</v>
      </c>
      <c r="W712" s="381"/>
      <c r="X712" s="379">
        <v>12107</v>
      </c>
      <c r="Y712" s="379" t="s">
        <v>2801</v>
      </c>
      <c r="Z712" s="379">
        <v>5731001</v>
      </c>
      <c r="AA712" s="379" t="s">
        <v>3039</v>
      </c>
      <c r="AB712" s="380">
        <f t="shared" si="10"/>
        <v>0</v>
      </c>
    </row>
    <row r="713" spans="1:28" outlineLevel="2" x14ac:dyDescent="0.3">
      <c r="A713" s="379">
        <v>654</v>
      </c>
      <c r="B713" s="379">
        <v>817800</v>
      </c>
      <c r="C713" s="379" t="s">
        <v>599</v>
      </c>
      <c r="D713" s="379">
        <v>5717237</v>
      </c>
      <c r="E713" s="379" t="s">
        <v>2809</v>
      </c>
      <c r="F713" s="379" t="s">
        <v>2810</v>
      </c>
      <c r="G713" s="383">
        <v>43739</v>
      </c>
      <c r="H713" s="379">
        <v>2874.63</v>
      </c>
      <c r="I713" s="379">
        <v>102.05</v>
      </c>
      <c r="J713" s="379"/>
      <c r="K713" s="379">
        <v>215.6</v>
      </c>
      <c r="L713" s="379"/>
      <c r="M713" s="379">
        <v>11.45</v>
      </c>
      <c r="N713" s="379"/>
      <c r="O713" s="379">
        <v>2856.4</v>
      </c>
      <c r="P713" s="379"/>
      <c r="Q713" s="379">
        <v>18.23</v>
      </c>
      <c r="R713" s="379"/>
      <c r="S713" s="379"/>
      <c r="T713" s="379"/>
      <c r="U713" s="379"/>
      <c r="V713" s="380">
        <v>3203.73</v>
      </c>
      <c r="W713" s="381">
        <v>0.5</v>
      </c>
      <c r="X713" s="379"/>
      <c r="Y713" s="379"/>
      <c r="Z713" s="379">
        <v>1401202</v>
      </c>
      <c r="AA713" s="379" t="s">
        <v>2380</v>
      </c>
      <c r="AB713" s="380">
        <f t="shared" si="10"/>
        <v>4.1666666666666664E-2</v>
      </c>
    </row>
    <row r="714" spans="1:28" outlineLevel="2" x14ac:dyDescent="0.3">
      <c r="A714" s="379">
        <v>654</v>
      </c>
      <c r="B714" s="379">
        <v>817800</v>
      </c>
      <c r="C714" s="379" t="s">
        <v>599</v>
      </c>
      <c r="D714" s="379">
        <v>5730620</v>
      </c>
      <c r="E714" s="379" t="s">
        <v>3040</v>
      </c>
      <c r="F714" s="379" t="s">
        <v>2717</v>
      </c>
      <c r="G714" s="383">
        <v>41518</v>
      </c>
      <c r="H714" s="379">
        <v>26886.74</v>
      </c>
      <c r="I714" s="379">
        <v>972.09</v>
      </c>
      <c r="J714" s="379">
        <v>6022.39</v>
      </c>
      <c r="K714" s="379">
        <v>2053.75</v>
      </c>
      <c r="L714" s="379"/>
      <c r="M714" s="379">
        <v>96.85</v>
      </c>
      <c r="N714" s="379"/>
      <c r="O714" s="379">
        <v>24084.6</v>
      </c>
      <c r="P714" s="379">
        <v>112.98</v>
      </c>
      <c r="Q714" s="379">
        <v>636.24</v>
      </c>
      <c r="R714" s="379"/>
      <c r="S714" s="379"/>
      <c r="T714" s="379">
        <v>2052.92</v>
      </c>
      <c r="U714" s="379"/>
      <c r="V714" s="380">
        <v>36031.82</v>
      </c>
      <c r="W714" s="381">
        <v>4.08</v>
      </c>
      <c r="X714" s="379"/>
      <c r="Y714" s="379"/>
      <c r="Z714" s="379">
        <v>1401202</v>
      </c>
      <c r="AA714" s="379" t="s">
        <v>2380</v>
      </c>
      <c r="AB714" s="380">
        <f t="shared" si="10"/>
        <v>0.34</v>
      </c>
    </row>
    <row r="715" spans="1:28" outlineLevel="2" x14ac:dyDescent="0.3">
      <c r="A715" s="379">
        <v>654</v>
      </c>
      <c r="B715" s="379">
        <v>817800</v>
      </c>
      <c r="C715" s="379" t="s">
        <v>599</v>
      </c>
      <c r="D715" s="379">
        <v>5746004</v>
      </c>
      <c r="E715" s="379" t="s">
        <v>2340</v>
      </c>
      <c r="F715" s="379" t="s">
        <v>2379</v>
      </c>
      <c r="G715" s="383">
        <v>41487</v>
      </c>
      <c r="H715" s="379">
        <v>22051.38</v>
      </c>
      <c r="I715" s="379">
        <v>800.49</v>
      </c>
      <c r="J715" s="379">
        <v>5042.1000000000004</v>
      </c>
      <c r="K715" s="379">
        <v>1691.09</v>
      </c>
      <c r="L715" s="379"/>
      <c r="M715" s="379"/>
      <c r="N715" s="379"/>
      <c r="O715" s="379">
        <v>19691.669999999998</v>
      </c>
      <c r="P715" s="379"/>
      <c r="Q715" s="379">
        <v>530.20000000000005</v>
      </c>
      <c r="R715" s="379"/>
      <c r="S715" s="379"/>
      <c r="T715" s="379">
        <v>1829.51</v>
      </c>
      <c r="U715" s="379"/>
      <c r="V715" s="380">
        <v>29585.06</v>
      </c>
      <c r="W715" s="381">
        <v>3.4</v>
      </c>
      <c r="X715" s="379"/>
      <c r="Y715" s="379"/>
      <c r="Z715" s="379">
        <v>1401202</v>
      </c>
      <c r="AA715" s="379" t="s">
        <v>2380</v>
      </c>
      <c r="AB715" s="380">
        <f t="shared" si="10"/>
        <v>0.28333333333333333</v>
      </c>
    </row>
    <row r="716" spans="1:28" outlineLevel="2" x14ac:dyDescent="0.3">
      <c r="A716" s="379">
        <v>654</v>
      </c>
      <c r="B716" s="379">
        <v>817800</v>
      </c>
      <c r="C716" s="379" t="s">
        <v>599</v>
      </c>
      <c r="D716" s="379">
        <v>5753799</v>
      </c>
      <c r="E716" s="379" t="s">
        <v>2284</v>
      </c>
      <c r="F716" s="379" t="s">
        <v>2856</v>
      </c>
      <c r="G716" s="383">
        <v>43739</v>
      </c>
      <c r="H716" s="379">
        <v>6893.83</v>
      </c>
      <c r="I716" s="379">
        <v>244.74</v>
      </c>
      <c r="J716" s="379">
        <v>702.82</v>
      </c>
      <c r="K716" s="379">
        <v>517.04999999999995</v>
      </c>
      <c r="L716" s="379"/>
      <c r="M716" s="379"/>
      <c r="N716" s="379"/>
      <c r="O716" s="379">
        <v>6850.45</v>
      </c>
      <c r="P716" s="379"/>
      <c r="Q716" s="379">
        <v>43.38</v>
      </c>
      <c r="R716" s="379"/>
      <c r="S716" s="379"/>
      <c r="T716" s="379"/>
      <c r="U716" s="379"/>
      <c r="V716" s="380">
        <v>8358.44</v>
      </c>
      <c r="W716" s="381">
        <v>0.94599999999999995</v>
      </c>
      <c r="X716" s="379"/>
      <c r="Y716" s="379"/>
      <c r="Z716" s="379">
        <v>1401202</v>
      </c>
      <c r="AA716" s="379" t="s">
        <v>2380</v>
      </c>
      <c r="AB716" s="380">
        <f t="shared" si="10"/>
        <v>7.8833333333333325E-2</v>
      </c>
    </row>
    <row r="717" spans="1:28" outlineLevel="2" x14ac:dyDescent="0.3">
      <c r="A717" s="379">
        <v>654</v>
      </c>
      <c r="B717" s="379">
        <v>817800</v>
      </c>
      <c r="C717" s="379" t="s">
        <v>599</v>
      </c>
      <c r="D717" s="379">
        <v>5789805</v>
      </c>
      <c r="E717" s="379" t="s">
        <v>2811</v>
      </c>
      <c r="F717" s="379" t="s">
        <v>2333</v>
      </c>
      <c r="G717" s="383">
        <v>36892</v>
      </c>
      <c r="H717" s="379">
        <v>17862.580000000002</v>
      </c>
      <c r="I717" s="379">
        <v>753.16</v>
      </c>
      <c r="J717" s="379">
        <v>3752.33</v>
      </c>
      <c r="K717" s="379">
        <v>1340.21</v>
      </c>
      <c r="L717" s="379"/>
      <c r="M717" s="379">
        <v>66.27</v>
      </c>
      <c r="N717" s="379"/>
      <c r="O717" s="379">
        <v>16427.189999999999</v>
      </c>
      <c r="P717" s="379"/>
      <c r="Q717" s="379"/>
      <c r="R717" s="379"/>
      <c r="S717" s="379"/>
      <c r="T717" s="379">
        <v>1435.39</v>
      </c>
      <c r="U717" s="379"/>
      <c r="V717" s="380">
        <v>23774.55</v>
      </c>
      <c r="W717" s="381">
        <v>2.75</v>
      </c>
      <c r="X717" s="379"/>
      <c r="Y717" s="379"/>
      <c r="Z717" s="379">
        <v>5921001</v>
      </c>
      <c r="AA717" s="379" t="s">
        <v>2374</v>
      </c>
      <c r="AB717" s="380">
        <f t="shared" si="10"/>
        <v>0.22916666666666666</v>
      </c>
    </row>
    <row r="718" spans="1:28" outlineLevel="2" x14ac:dyDescent="0.3">
      <c r="A718" s="379">
        <v>654</v>
      </c>
      <c r="B718" s="379">
        <v>817800</v>
      </c>
      <c r="C718" s="379" t="s">
        <v>599</v>
      </c>
      <c r="D718" s="379">
        <v>5836771</v>
      </c>
      <c r="E718" s="379" t="s">
        <v>3041</v>
      </c>
      <c r="F718" s="379" t="s">
        <v>2319</v>
      </c>
      <c r="G718" s="383">
        <v>41518</v>
      </c>
      <c r="H718" s="379">
        <v>23643.82</v>
      </c>
      <c r="I718" s="379">
        <v>856.97</v>
      </c>
      <c r="J718" s="379">
        <v>5338.75</v>
      </c>
      <c r="K718" s="379">
        <v>1810.5</v>
      </c>
      <c r="L718" s="379"/>
      <c r="M718" s="379"/>
      <c r="N718" s="379"/>
      <c r="O718" s="379">
        <v>21176.74</v>
      </c>
      <c r="P718" s="379"/>
      <c r="Q718" s="379">
        <v>583.22</v>
      </c>
      <c r="R718" s="379"/>
      <c r="S718" s="379"/>
      <c r="T718" s="379">
        <v>1883.86</v>
      </c>
      <c r="U718" s="379"/>
      <c r="V718" s="380">
        <v>31650.04</v>
      </c>
      <c r="W718" s="381">
        <v>3.74</v>
      </c>
      <c r="X718" s="379">
        <v>17</v>
      </c>
      <c r="Y718" s="379" t="s">
        <v>3036</v>
      </c>
      <c r="Z718" s="379">
        <v>5923001</v>
      </c>
      <c r="AA718" s="379" t="s">
        <v>2354</v>
      </c>
      <c r="AB718" s="380">
        <f t="shared" si="10"/>
        <v>0.3116666666666667</v>
      </c>
    </row>
    <row r="719" spans="1:28" outlineLevel="2" x14ac:dyDescent="0.3">
      <c r="A719" s="379">
        <v>654</v>
      </c>
      <c r="B719" s="379">
        <v>817800</v>
      </c>
      <c r="C719" s="379" t="s">
        <v>599</v>
      </c>
      <c r="D719" s="379">
        <v>5877546</v>
      </c>
      <c r="E719" s="379" t="s">
        <v>2899</v>
      </c>
      <c r="F719" s="379" t="s">
        <v>2322</v>
      </c>
      <c r="G719" s="383">
        <v>40940</v>
      </c>
      <c r="H719" s="379">
        <v>3058.82</v>
      </c>
      <c r="I719" s="379">
        <v>130.18</v>
      </c>
      <c r="J719" s="379">
        <v>641.79999999999995</v>
      </c>
      <c r="K719" s="379">
        <v>229.12</v>
      </c>
      <c r="L719" s="379"/>
      <c r="M719" s="379">
        <v>11.13</v>
      </c>
      <c r="N719" s="379"/>
      <c r="O719" s="379">
        <v>2864.42</v>
      </c>
      <c r="P719" s="379"/>
      <c r="Q719" s="379"/>
      <c r="R719" s="379"/>
      <c r="S719" s="379"/>
      <c r="T719" s="379">
        <v>194.4</v>
      </c>
      <c r="U719" s="379"/>
      <c r="V719" s="380">
        <v>4071.05</v>
      </c>
      <c r="W719" s="381">
        <v>0.45</v>
      </c>
      <c r="X719" s="379"/>
      <c r="Y719" s="379"/>
      <c r="Z719" s="379">
        <v>1401202</v>
      </c>
      <c r="AA719" s="379" t="s">
        <v>2380</v>
      </c>
      <c r="AB719" s="380">
        <f t="shared" si="10"/>
        <v>3.7499999999999999E-2</v>
      </c>
    </row>
    <row r="720" spans="1:28" outlineLevel="2" x14ac:dyDescent="0.3">
      <c r="A720" s="379">
        <v>654</v>
      </c>
      <c r="B720" s="379">
        <v>817800</v>
      </c>
      <c r="C720" s="379" t="s">
        <v>599</v>
      </c>
      <c r="D720" s="379">
        <v>5904611</v>
      </c>
      <c r="E720" s="379" t="s">
        <v>2332</v>
      </c>
      <c r="F720" s="379" t="s">
        <v>2728</v>
      </c>
      <c r="G720" s="383">
        <v>40787</v>
      </c>
      <c r="H720" s="379">
        <v>34195.42</v>
      </c>
      <c r="I720" s="379">
        <v>1230.74</v>
      </c>
      <c r="J720" s="379">
        <v>7391.28</v>
      </c>
      <c r="K720" s="379">
        <v>2601.86</v>
      </c>
      <c r="L720" s="379"/>
      <c r="M720" s="379">
        <v>120.25</v>
      </c>
      <c r="N720" s="379"/>
      <c r="O720" s="379">
        <v>30074.080000000002</v>
      </c>
      <c r="P720" s="379"/>
      <c r="Q720" s="379">
        <v>1360.86</v>
      </c>
      <c r="R720" s="379"/>
      <c r="S720" s="379"/>
      <c r="T720" s="379">
        <v>2760.48</v>
      </c>
      <c r="U720" s="379"/>
      <c r="V720" s="380">
        <v>45539.55</v>
      </c>
      <c r="W720" s="381">
        <v>5.0999999999999996</v>
      </c>
      <c r="X720" s="379"/>
      <c r="Y720" s="379"/>
      <c r="Z720" s="379">
        <v>1401202</v>
      </c>
      <c r="AA720" s="379" t="s">
        <v>2380</v>
      </c>
      <c r="AB720" s="380">
        <f t="shared" si="10"/>
        <v>0.42499999999999999</v>
      </c>
    </row>
    <row r="721" spans="1:28" outlineLevel="2" x14ac:dyDescent="0.3">
      <c r="A721" s="379">
        <v>654</v>
      </c>
      <c r="B721" s="379">
        <v>817800</v>
      </c>
      <c r="C721" s="379" t="s">
        <v>599</v>
      </c>
      <c r="D721" s="379">
        <v>6212773</v>
      </c>
      <c r="E721" s="379" t="s">
        <v>3042</v>
      </c>
      <c r="F721" s="379" t="s">
        <v>3043</v>
      </c>
      <c r="G721" s="383">
        <v>41883</v>
      </c>
      <c r="H721" s="379">
        <v>2463.25</v>
      </c>
      <c r="I721" s="379">
        <v>11.82</v>
      </c>
      <c r="J721" s="379"/>
      <c r="K721" s="379">
        <v>184.75</v>
      </c>
      <c r="L721" s="379"/>
      <c r="M721" s="379"/>
      <c r="N721" s="379"/>
      <c r="O721" s="379"/>
      <c r="P721" s="379">
        <v>2463.25</v>
      </c>
      <c r="Q721" s="379"/>
      <c r="R721" s="379"/>
      <c r="S721" s="379"/>
      <c r="T721" s="379"/>
      <c r="U721" s="379"/>
      <c r="V721" s="380">
        <v>2659.82</v>
      </c>
      <c r="W721" s="381"/>
      <c r="X721" s="379">
        <v>1</v>
      </c>
      <c r="Y721" s="379" t="s">
        <v>2353</v>
      </c>
      <c r="Z721" s="379">
        <v>5821001</v>
      </c>
      <c r="AA721" s="379" t="s">
        <v>2427</v>
      </c>
      <c r="AB721" s="380">
        <f t="shared" si="10"/>
        <v>0</v>
      </c>
    </row>
    <row r="722" spans="1:28" outlineLevel="2" x14ac:dyDescent="0.3">
      <c r="A722" s="379">
        <v>654</v>
      </c>
      <c r="B722" s="379">
        <v>817800</v>
      </c>
      <c r="C722" s="379" t="s">
        <v>599</v>
      </c>
      <c r="D722" s="379">
        <v>6246088</v>
      </c>
      <c r="E722" s="379" t="s">
        <v>2323</v>
      </c>
      <c r="F722" s="379" t="s">
        <v>3044</v>
      </c>
      <c r="G722" s="383">
        <v>40057</v>
      </c>
      <c r="H722" s="379">
        <v>93709.84</v>
      </c>
      <c r="I722" s="379">
        <v>814.03</v>
      </c>
      <c r="J722" s="379">
        <v>17504.87</v>
      </c>
      <c r="K722" s="379">
        <v>7065.55</v>
      </c>
      <c r="L722" s="379"/>
      <c r="M722" s="379">
        <v>308</v>
      </c>
      <c r="N722" s="379"/>
      <c r="O722" s="379">
        <v>65961.789999999994</v>
      </c>
      <c r="P722" s="379">
        <v>11052.75</v>
      </c>
      <c r="Q722" s="379">
        <v>1021.2</v>
      </c>
      <c r="R722" s="379"/>
      <c r="S722" s="379"/>
      <c r="T722" s="379">
        <v>6038</v>
      </c>
      <c r="U722" s="379">
        <v>9636.1</v>
      </c>
      <c r="V722" s="380">
        <v>119402.29</v>
      </c>
      <c r="W722" s="381">
        <v>12</v>
      </c>
      <c r="X722" s="379"/>
      <c r="Y722" s="379"/>
      <c r="Z722" s="379">
        <v>1401202</v>
      </c>
      <c r="AA722" s="379" t="s">
        <v>2380</v>
      </c>
      <c r="AB722" s="380">
        <f t="shared" si="10"/>
        <v>1</v>
      </c>
    </row>
    <row r="723" spans="1:28" outlineLevel="2" x14ac:dyDescent="0.3">
      <c r="A723" s="379">
        <v>654</v>
      </c>
      <c r="B723" s="379">
        <v>817800</v>
      </c>
      <c r="C723" s="379" t="s">
        <v>599</v>
      </c>
      <c r="D723" s="379">
        <v>6737625</v>
      </c>
      <c r="E723" s="379" t="s">
        <v>2398</v>
      </c>
      <c r="F723" s="379" t="s">
        <v>3045</v>
      </c>
      <c r="G723" s="383">
        <v>41183</v>
      </c>
      <c r="H723" s="379">
        <v>120565.53</v>
      </c>
      <c r="I723" s="379">
        <v>6201.64</v>
      </c>
      <c r="J723" s="379">
        <v>20993.19</v>
      </c>
      <c r="K723" s="379">
        <v>9079.6</v>
      </c>
      <c r="L723" s="379"/>
      <c r="M723" s="379">
        <v>392.8</v>
      </c>
      <c r="N723" s="379"/>
      <c r="O723" s="379">
        <v>70771.28</v>
      </c>
      <c r="P723" s="379">
        <v>24056.25</v>
      </c>
      <c r="Q723" s="379">
        <v>4381.2</v>
      </c>
      <c r="R723" s="379"/>
      <c r="S723" s="379"/>
      <c r="T723" s="379">
        <v>7766</v>
      </c>
      <c r="U723" s="379">
        <v>13590.8</v>
      </c>
      <c r="V723" s="380">
        <v>157232.76</v>
      </c>
      <c r="W723" s="381">
        <v>12</v>
      </c>
      <c r="X723" s="379">
        <v>17</v>
      </c>
      <c r="Y723" s="379" t="s">
        <v>3036</v>
      </c>
      <c r="Z723" s="379">
        <v>1401202</v>
      </c>
      <c r="AA723" s="379" t="s">
        <v>2380</v>
      </c>
      <c r="AB723" s="380">
        <f t="shared" si="10"/>
        <v>1</v>
      </c>
    </row>
    <row r="724" spans="1:28" outlineLevel="2" x14ac:dyDescent="0.3">
      <c r="A724" s="379">
        <v>654</v>
      </c>
      <c r="B724" s="379">
        <v>817800</v>
      </c>
      <c r="C724" s="379" t="s">
        <v>599</v>
      </c>
      <c r="D724" s="379">
        <v>6756912</v>
      </c>
      <c r="E724" s="379" t="s">
        <v>2384</v>
      </c>
      <c r="F724" s="379" t="s">
        <v>3046</v>
      </c>
      <c r="G724" s="383">
        <v>43344</v>
      </c>
      <c r="H724" s="379">
        <v>24484.95</v>
      </c>
      <c r="I724" s="379">
        <v>886.82</v>
      </c>
      <c r="J724" s="379">
        <v>3729.62</v>
      </c>
      <c r="K724" s="379">
        <v>1873.55</v>
      </c>
      <c r="L724" s="379"/>
      <c r="M724" s="379"/>
      <c r="N724" s="379"/>
      <c r="O724" s="379">
        <v>23330.720000000001</v>
      </c>
      <c r="P724" s="379"/>
      <c r="Q724" s="379">
        <v>532.15</v>
      </c>
      <c r="R724" s="379"/>
      <c r="S724" s="379"/>
      <c r="T724" s="379">
        <v>622.08000000000004</v>
      </c>
      <c r="U724" s="379"/>
      <c r="V724" s="380">
        <v>30974.94</v>
      </c>
      <c r="W724" s="381">
        <v>4.3490000000000002</v>
      </c>
      <c r="X724" s="379"/>
      <c r="Y724" s="379"/>
      <c r="Z724" s="379">
        <v>1401202</v>
      </c>
      <c r="AA724" s="379" t="s">
        <v>2380</v>
      </c>
      <c r="AB724" s="380">
        <f t="shared" si="10"/>
        <v>0.36241666666666666</v>
      </c>
    </row>
    <row r="725" spans="1:28" outlineLevel="2" x14ac:dyDescent="0.3">
      <c r="A725" s="379">
        <v>654</v>
      </c>
      <c r="B725" s="379">
        <v>817800</v>
      </c>
      <c r="C725" s="379" t="s">
        <v>599</v>
      </c>
      <c r="D725" s="379">
        <v>20584666</v>
      </c>
      <c r="E725" s="379" t="s">
        <v>2340</v>
      </c>
      <c r="F725" s="379" t="s">
        <v>3047</v>
      </c>
      <c r="G725" s="383">
        <v>42736</v>
      </c>
      <c r="H725" s="379">
        <v>472</v>
      </c>
      <c r="I725" s="379">
        <v>16.760000000000002</v>
      </c>
      <c r="J725" s="379">
        <v>63.72</v>
      </c>
      <c r="K725" s="379">
        <v>35.4</v>
      </c>
      <c r="L725" s="379"/>
      <c r="M725" s="379"/>
      <c r="N725" s="379"/>
      <c r="O725" s="379"/>
      <c r="P725" s="379">
        <v>472</v>
      </c>
      <c r="Q725" s="379"/>
      <c r="R725" s="379"/>
      <c r="S725" s="379"/>
      <c r="T725" s="379"/>
      <c r="U725" s="379"/>
      <c r="V725" s="380">
        <v>587.88</v>
      </c>
      <c r="W725" s="381"/>
      <c r="X725" s="379"/>
      <c r="Y725" s="379"/>
      <c r="Z725" s="379">
        <v>1401202</v>
      </c>
      <c r="AA725" s="379" t="s">
        <v>2380</v>
      </c>
      <c r="AB725" s="380">
        <f t="shared" si="10"/>
        <v>0</v>
      </c>
    </row>
    <row r="726" spans="1:28" outlineLevel="2" x14ac:dyDescent="0.3">
      <c r="A726" s="379">
        <v>654</v>
      </c>
      <c r="B726" s="379">
        <v>817800</v>
      </c>
      <c r="C726" s="379" t="s">
        <v>599</v>
      </c>
      <c r="D726" s="379">
        <v>30185612</v>
      </c>
      <c r="E726" s="379" t="s">
        <v>2907</v>
      </c>
      <c r="F726" s="379" t="s">
        <v>2600</v>
      </c>
      <c r="G726" s="383">
        <v>40664</v>
      </c>
      <c r="H726" s="379">
        <v>8419.19</v>
      </c>
      <c r="I726" s="379">
        <v>298.52</v>
      </c>
      <c r="J726" s="379">
        <v>2015.41</v>
      </c>
      <c r="K726" s="379">
        <v>631.13</v>
      </c>
      <c r="L726" s="379"/>
      <c r="M726" s="379">
        <v>27.28</v>
      </c>
      <c r="N726" s="379"/>
      <c r="O726" s="379">
        <v>6168.97</v>
      </c>
      <c r="P726" s="379"/>
      <c r="Q726" s="379">
        <v>1679.98</v>
      </c>
      <c r="R726" s="379"/>
      <c r="S726" s="379"/>
      <c r="T726" s="379"/>
      <c r="U726" s="379">
        <v>570.24</v>
      </c>
      <c r="V726" s="380">
        <v>11391.53</v>
      </c>
      <c r="W726" s="381">
        <v>1.08</v>
      </c>
      <c r="X726" s="379"/>
      <c r="Y726" s="379"/>
      <c r="Z726" s="379">
        <v>5821001</v>
      </c>
      <c r="AA726" s="379" t="s">
        <v>2427</v>
      </c>
      <c r="AB726" s="380">
        <f t="shared" si="10"/>
        <v>9.0000000000000011E-2</v>
      </c>
    </row>
    <row r="727" spans="1:28" outlineLevel="2" x14ac:dyDescent="0.3">
      <c r="A727" s="379">
        <v>654</v>
      </c>
      <c r="B727" s="379">
        <v>817800</v>
      </c>
      <c r="C727" s="379" t="s">
        <v>599</v>
      </c>
      <c r="D727" s="379">
        <v>30202324</v>
      </c>
      <c r="E727" s="379" t="s">
        <v>3048</v>
      </c>
      <c r="F727" s="379" t="s">
        <v>3049</v>
      </c>
      <c r="G727" s="383">
        <v>40179</v>
      </c>
      <c r="H727" s="379">
        <v>23279.17</v>
      </c>
      <c r="I727" s="379">
        <v>844.03</v>
      </c>
      <c r="J727" s="379">
        <v>5288.58</v>
      </c>
      <c r="K727" s="379">
        <v>1783.2</v>
      </c>
      <c r="L727" s="379"/>
      <c r="M727" s="379">
        <v>66.75</v>
      </c>
      <c r="N727" s="379"/>
      <c r="O727" s="379">
        <v>21126.880000000001</v>
      </c>
      <c r="P727" s="379"/>
      <c r="Q727" s="379">
        <v>600.52</v>
      </c>
      <c r="R727" s="379"/>
      <c r="S727" s="379"/>
      <c r="T727" s="379">
        <v>1551.77</v>
      </c>
      <c r="U727" s="379"/>
      <c r="V727" s="380">
        <v>31261.73</v>
      </c>
      <c r="W727" s="381">
        <v>3.3439999999999999</v>
      </c>
      <c r="X727" s="379">
        <v>17</v>
      </c>
      <c r="Y727" s="379" t="s">
        <v>3036</v>
      </c>
      <c r="Z727" s="379">
        <v>5821001</v>
      </c>
      <c r="AA727" s="379" t="s">
        <v>2427</v>
      </c>
      <c r="AB727" s="380">
        <f t="shared" si="10"/>
        <v>0.27866666666666667</v>
      </c>
    </row>
    <row r="728" spans="1:28" outlineLevel="2" x14ac:dyDescent="0.3">
      <c r="A728" s="379">
        <v>654</v>
      </c>
      <c r="B728" s="379">
        <v>817800</v>
      </c>
      <c r="C728" s="379" t="s">
        <v>599</v>
      </c>
      <c r="D728" s="379">
        <v>31127334</v>
      </c>
      <c r="E728" s="379" t="s">
        <v>3050</v>
      </c>
      <c r="F728" s="379" t="s">
        <v>2366</v>
      </c>
      <c r="G728" s="383">
        <v>40817</v>
      </c>
      <c r="H728" s="379">
        <v>2569.6</v>
      </c>
      <c r="I728" s="379">
        <v>91.22</v>
      </c>
      <c r="J728" s="379">
        <v>286.74</v>
      </c>
      <c r="K728" s="379">
        <v>192.75</v>
      </c>
      <c r="L728" s="379"/>
      <c r="M728" s="379"/>
      <c r="N728" s="379"/>
      <c r="O728" s="379"/>
      <c r="P728" s="379">
        <v>2124</v>
      </c>
      <c r="Q728" s="379"/>
      <c r="R728" s="379"/>
      <c r="S728" s="379"/>
      <c r="T728" s="379"/>
      <c r="U728" s="379">
        <v>445.6</v>
      </c>
      <c r="V728" s="380">
        <v>3140.31</v>
      </c>
      <c r="W728" s="381"/>
      <c r="X728" s="379"/>
      <c r="Y728" s="379"/>
      <c r="Z728" s="379">
        <v>1401202</v>
      </c>
      <c r="AA728" s="379" t="s">
        <v>2380</v>
      </c>
      <c r="AB728" s="380">
        <f t="shared" si="10"/>
        <v>0</v>
      </c>
    </row>
    <row r="729" spans="1:28" outlineLevel="2" x14ac:dyDescent="0.3">
      <c r="A729" s="379">
        <v>654</v>
      </c>
      <c r="B729" s="379">
        <v>817800</v>
      </c>
      <c r="C729" s="379" t="s">
        <v>599</v>
      </c>
      <c r="D729" s="379">
        <v>32151948</v>
      </c>
      <c r="E729" s="379" t="s">
        <v>2825</v>
      </c>
      <c r="F729" s="379" t="s">
        <v>3051</v>
      </c>
      <c r="G729" s="383">
        <v>43497</v>
      </c>
      <c r="H729" s="379">
        <v>12061.74</v>
      </c>
      <c r="I729" s="379">
        <v>428.18</v>
      </c>
      <c r="J729" s="379">
        <v>1613.45</v>
      </c>
      <c r="K729" s="379">
        <v>904.6</v>
      </c>
      <c r="L729" s="379"/>
      <c r="M729" s="379"/>
      <c r="N729" s="379"/>
      <c r="O729" s="379">
        <v>8326.52</v>
      </c>
      <c r="P729" s="379">
        <v>3625</v>
      </c>
      <c r="Q729" s="379">
        <v>54.52</v>
      </c>
      <c r="R729" s="379"/>
      <c r="S729" s="379"/>
      <c r="T729" s="379"/>
      <c r="U729" s="379">
        <v>55.7</v>
      </c>
      <c r="V729" s="380">
        <v>15007.97</v>
      </c>
      <c r="W729" s="381">
        <v>1.496</v>
      </c>
      <c r="X729" s="379"/>
      <c r="Y729" s="379"/>
      <c r="Z729" s="379">
        <v>1401202</v>
      </c>
      <c r="AA729" s="379" t="s">
        <v>2380</v>
      </c>
      <c r="AB729" s="380">
        <f t="shared" si="10"/>
        <v>0.12466666666666666</v>
      </c>
    </row>
    <row r="730" spans="1:28" outlineLevel="2" x14ac:dyDescent="0.3">
      <c r="A730" s="379">
        <v>654</v>
      </c>
      <c r="B730" s="379">
        <v>817800</v>
      </c>
      <c r="C730" s="379" t="s">
        <v>599</v>
      </c>
      <c r="D730" s="379">
        <v>32151949</v>
      </c>
      <c r="E730" s="379" t="s">
        <v>2825</v>
      </c>
      <c r="F730" s="379" t="s">
        <v>3052</v>
      </c>
      <c r="G730" s="383">
        <v>43405</v>
      </c>
      <c r="H730" s="379">
        <v>916.85</v>
      </c>
      <c r="I730" s="379">
        <v>32.549999999999997</v>
      </c>
      <c r="J730" s="379">
        <v>93.59</v>
      </c>
      <c r="K730" s="379">
        <v>68.75</v>
      </c>
      <c r="L730" s="379"/>
      <c r="M730" s="379"/>
      <c r="N730" s="379"/>
      <c r="O730" s="379"/>
      <c r="P730" s="379">
        <v>878.25</v>
      </c>
      <c r="Q730" s="379"/>
      <c r="R730" s="379"/>
      <c r="S730" s="379"/>
      <c r="T730" s="379"/>
      <c r="U730" s="379">
        <v>38.6</v>
      </c>
      <c r="V730" s="380">
        <v>1111.74</v>
      </c>
      <c r="W730" s="381"/>
      <c r="X730" s="379"/>
      <c r="Y730" s="379"/>
      <c r="Z730" s="379">
        <v>5931001</v>
      </c>
      <c r="AA730" s="379" t="s">
        <v>2320</v>
      </c>
      <c r="AB730" s="380">
        <f t="shared" si="10"/>
        <v>0</v>
      </c>
    </row>
    <row r="731" spans="1:28" outlineLevel="2" x14ac:dyDescent="0.3">
      <c r="A731" s="379">
        <v>654</v>
      </c>
      <c r="B731" s="379">
        <v>817800</v>
      </c>
      <c r="C731" s="379" t="s">
        <v>599</v>
      </c>
      <c r="D731" s="379">
        <v>32154885</v>
      </c>
      <c r="E731" s="379" t="s">
        <v>3053</v>
      </c>
      <c r="F731" s="379" t="s">
        <v>2861</v>
      </c>
      <c r="G731" s="383">
        <v>43525</v>
      </c>
      <c r="H731" s="379">
        <v>11683.42</v>
      </c>
      <c r="I731" s="379">
        <v>414.75</v>
      </c>
      <c r="J731" s="379">
        <v>1570.59</v>
      </c>
      <c r="K731" s="379">
        <v>876.25</v>
      </c>
      <c r="L731" s="379"/>
      <c r="M731" s="379"/>
      <c r="N731" s="379"/>
      <c r="O731" s="379">
        <v>7769.36</v>
      </c>
      <c r="P731" s="379">
        <v>3864.5</v>
      </c>
      <c r="Q731" s="379">
        <v>49.56</v>
      </c>
      <c r="R731" s="379"/>
      <c r="S731" s="379"/>
      <c r="T731" s="379"/>
      <c r="U731" s="379"/>
      <c r="V731" s="380">
        <v>14545.01</v>
      </c>
      <c r="W731" s="381">
        <v>1.36</v>
      </c>
      <c r="X731" s="379"/>
      <c r="Y731" s="379"/>
      <c r="Z731" s="379">
        <v>1401202</v>
      </c>
      <c r="AA731" s="379" t="s">
        <v>2380</v>
      </c>
      <c r="AB731" s="380">
        <f t="shared" si="10"/>
        <v>0.11333333333333334</v>
      </c>
    </row>
    <row r="732" spans="1:28" outlineLevel="2" x14ac:dyDescent="0.3">
      <c r="A732" s="379">
        <v>654</v>
      </c>
      <c r="B732" s="379">
        <v>817800</v>
      </c>
      <c r="C732" s="379" t="s">
        <v>599</v>
      </c>
      <c r="D732" s="379">
        <v>32155218</v>
      </c>
      <c r="E732" s="379" t="s">
        <v>3054</v>
      </c>
      <c r="F732" s="379" t="s">
        <v>3055</v>
      </c>
      <c r="G732" s="383">
        <v>41122</v>
      </c>
      <c r="H732" s="379">
        <v>1188</v>
      </c>
      <c r="I732" s="379">
        <v>42.17</v>
      </c>
      <c r="J732" s="379">
        <v>243.38</v>
      </c>
      <c r="K732" s="379">
        <v>89.1</v>
      </c>
      <c r="L732" s="379"/>
      <c r="M732" s="379"/>
      <c r="N732" s="379"/>
      <c r="O732" s="379">
        <v>1158.93</v>
      </c>
      <c r="P732" s="379"/>
      <c r="Q732" s="379">
        <v>29.07</v>
      </c>
      <c r="R732" s="379"/>
      <c r="S732" s="379"/>
      <c r="T732" s="379"/>
      <c r="U732" s="379"/>
      <c r="V732" s="380">
        <v>1562.65</v>
      </c>
      <c r="W732" s="381">
        <v>0.186</v>
      </c>
      <c r="X732" s="379">
        <v>17</v>
      </c>
      <c r="Y732" s="379" t="s">
        <v>3036</v>
      </c>
      <c r="Z732" s="379">
        <v>1401202</v>
      </c>
      <c r="AA732" s="379" t="s">
        <v>2380</v>
      </c>
      <c r="AB732" s="380">
        <f t="shared" si="10"/>
        <v>1.55E-2</v>
      </c>
    </row>
    <row r="733" spans="1:28" outlineLevel="1" x14ac:dyDescent="0.3">
      <c r="A733" s="379"/>
      <c r="B733" s="384" t="s">
        <v>3056</v>
      </c>
      <c r="C733" s="379"/>
      <c r="D733" s="379"/>
      <c r="E733" s="379"/>
      <c r="F733" s="379"/>
      <c r="G733" s="383"/>
      <c r="H733" s="379"/>
      <c r="I733" s="379"/>
      <c r="J733" s="379"/>
      <c r="K733" s="379"/>
      <c r="L733" s="379"/>
      <c r="M733" s="379"/>
      <c r="N733" s="379"/>
      <c r="O733" s="379"/>
      <c r="P733" s="379"/>
      <c r="Q733" s="379"/>
      <c r="R733" s="379"/>
      <c r="S733" s="379"/>
      <c r="T733" s="379"/>
      <c r="U733" s="379"/>
      <c r="V733" s="380">
        <f>SUBTOTAL(9,V692:V732)</f>
        <v>1122737.56</v>
      </c>
      <c r="W733" s="381">
        <f>SUBTOTAL(9,W692:W732)</f>
        <v>114.45099999999999</v>
      </c>
      <c r="X733" s="379"/>
      <c r="Y733" s="379"/>
      <c r="Z733" s="379"/>
      <c r="AA733" s="379"/>
      <c r="AB733" s="380">
        <f>SUBTOTAL(9,AB692:AB732)</f>
        <v>9.5375833333333322</v>
      </c>
    </row>
    <row r="734" spans="1:28" outlineLevel="2" x14ac:dyDescent="0.3">
      <c r="A734" s="379">
        <v>431</v>
      </c>
      <c r="B734" s="379">
        <v>817810</v>
      </c>
      <c r="C734" s="379" t="s">
        <v>127</v>
      </c>
      <c r="D734" s="379">
        <v>2887562</v>
      </c>
      <c r="E734" s="379" t="s">
        <v>3057</v>
      </c>
      <c r="F734" s="379" t="s">
        <v>2725</v>
      </c>
      <c r="G734" s="383">
        <v>41609</v>
      </c>
      <c r="H734" s="379">
        <v>825.52</v>
      </c>
      <c r="I734" s="379">
        <v>29.21</v>
      </c>
      <c r="J734" s="379">
        <v>111.37</v>
      </c>
      <c r="K734" s="379">
        <v>61.83</v>
      </c>
      <c r="L734" s="379"/>
      <c r="M734" s="379">
        <v>3.22</v>
      </c>
      <c r="N734" s="379"/>
      <c r="O734" s="379">
        <v>825.52</v>
      </c>
      <c r="P734" s="379"/>
      <c r="Q734" s="379"/>
      <c r="R734" s="379"/>
      <c r="S734" s="379"/>
      <c r="T734" s="379"/>
      <c r="U734" s="379"/>
      <c r="V734" s="380">
        <v>1031.1500000000001</v>
      </c>
      <c r="W734" s="381">
        <v>0.14399999999999999</v>
      </c>
      <c r="X734" s="379"/>
      <c r="Y734" s="379"/>
      <c r="Z734" s="379">
        <v>5821001</v>
      </c>
      <c r="AA734" s="379" t="s">
        <v>2427</v>
      </c>
      <c r="AB734" s="380">
        <f t="shared" si="10"/>
        <v>1.1999999999999999E-2</v>
      </c>
    </row>
    <row r="735" spans="1:28" outlineLevel="2" x14ac:dyDescent="0.3">
      <c r="A735" s="379">
        <v>654</v>
      </c>
      <c r="B735" s="379">
        <v>817810</v>
      </c>
      <c r="C735" s="379" t="s">
        <v>1390</v>
      </c>
      <c r="D735" s="379">
        <v>2154879</v>
      </c>
      <c r="E735" s="379" t="s">
        <v>2655</v>
      </c>
      <c r="F735" s="379" t="s">
        <v>2656</v>
      </c>
      <c r="G735" s="383">
        <v>43405</v>
      </c>
      <c r="H735" s="379">
        <v>25262.51</v>
      </c>
      <c r="I735" s="379">
        <v>925.14</v>
      </c>
      <c r="J735" s="379">
        <v>3765.18</v>
      </c>
      <c r="K735" s="379">
        <v>1931.91</v>
      </c>
      <c r="L735" s="379"/>
      <c r="M735" s="379">
        <v>96.84</v>
      </c>
      <c r="N735" s="379"/>
      <c r="O735" s="379">
        <v>24216.18</v>
      </c>
      <c r="P735" s="379"/>
      <c r="Q735" s="379">
        <v>1046.33</v>
      </c>
      <c r="R735" s="379"/>
      <c r="S735" s="379"/>
      <c r="T735" s="379"/>
      <c r="U735" s="379"/>
      <c r="V735" s="380">
        <v>31981.58</v>
      </c>
      <c r="W735" s="381">
        <v>4.1790000000000003</v>
      </c>
      <c r="X735" s="379"/>
      <c r="Y735" s="379"/>
      <c r="Z735" s="379">
        <v>1401202</v>
      </c>
      <c r="AA735" s="379" t="s">
        <v>2380</v>
      </c>
      <c r="AB735" s="380">
        <f t="shared" si="10"/>
        <v>0.34825</v>
      </c>
    </row>
    <row r="736" spans="1:28" outlineLevel="2" x14ac:dyDescent="0.3">
      <c r="A736" s="379">
        <v>654</v>
      </c>
      <c r="B736" s="379">
        <v>817810</v>
      </c>
      <c r="C736" s="379" t="s">
        <v>1390</v>
      </c>
      <c r="D736" s="379">
        <v>2200415</v>
      </c>
      <c r="E736" s="379" t="s">
        <v>2716</v>
      </c>
      <c r="F736" s="379" t="s">
        <v>2368</v>
      </c>
      <c r="G736" s="383">
        <v>40238</v>
      </c>
      <c r="H736" s="379">
        <v>10862.08</v>
      </c>
      <c r="I736" s="379">
        <v>385.4</v>
      </c>
      <c r="J736" s="379">
        <v>2263.58</v>
      </c>
      <c r="K736" s="379">
        <v>814.44</v>
      </c>
      <c r="L736" s="379"/>
      <c r="M736" s="379">
        <v>42.97</v>
      </c>
      <c r="N736" s="379"/>
      <c r="O736" s="379">
        <v>10780.44</v>
      </c>
      <c r="P736" s="379"/>
      <c r="Q736" s="379">
        <v>81.64</v>
      </c>
      <c r="R736" s="379"/>
      <c r="S736" s="379"/>
      <c r="T736" s="379"/>
      <c r="U736" s="379"/>
      <c r="V736" s="380">
        <v>14368.47</v>
      </c>
      <c r="W736" s="381">
        <v>1.68</v>
      </c>
      <c r="X736" s="379"/>
      <c r="Y736" s="379"/>
      <c r="Z736" s="379">
        <v>1401202</v>
      </c>
      <c r="AA736" s="379" t="s">
        <v>2380</v>
      </c>
      <c r="AB736" s="380">
        <f t="shared" si="10"/>
        <v>0.13999999999999999</v>
      </c>
    </row>
    <row r="737" spans="1:28" outlineLevel="2" x14ac:dyDescent="0.3">
      <c r="A737" s="379">
        <v>654</v>
      </c>
      <c r="B737" s="379">
        <v>817810</v>
      </c>
      <c r="C737" s="379" t="s">
        <v>1390</v>
      </c>
      <c r="D737" s="379">
        <v>2273751</v>
      </c>
      <c r="E737" s="379" t="s">
        <v>2524</v>
      </c>
      <c r="F737" s="379" t="s">
        <v>2450</v>
      </c>
      <c r="G737" s="383">
        <v>41944</v>
      </c>
      <c r="H737" s="379">
        <v>35017.19</v>
      </c>
      <c r="I737" s="379">
        <v>1268.49</v>
      </c>
      <c r="J737" s="379">
        <v>7466.78</v>
      </c>
      <c r="K737" s="379">
        <v>2663.4</v>
      </c>
      <c r="L737" s="379"/>
      <c r="M737" s="379">
        <v>116.2</v>
      </c>
      <c r="N737" s="379"/>
      <c r="O737" s="379">
        <v>28240.38</v>
      </c>
      <c r="P737" s="379">
        <v>821.11</v>
      </c>
      <c r="Q737" s="379">
        <v>1529.85</v>
      </c>
      <c r="R737" s="379"/>
      <c r="S737" s="379"/>
      <c r="T737" s="379">
        <v>4425.8500000000004</v>
      </c>
      <c r="U737" s="379"/>
      <c r="V737" s="380">
        <v>46532.06</v>
      </c>
      <c r="W737" s="381">
        <v>4.76</v>
      </c>
      <c r="X737" s="379">
        <v>12107</v>
      </c>
      <c r="Y737" s="379" t="s">
        <v>2801</v>
      </c>
      <c r="Z737" s="379">
        <v>1027</v>
      </c>
      <c r="AA737" s="379" t="s">
        <v>2383</v>
      </c>
      <c r="AB737" s="380">
        <f t="shared" si="10"/>
        <v>0.39666666666666667</v>
      </c>
    </row>
    <row r="738" spans="1:28" outlineLevel="2" x14ac:dyDescent="0.3">
      <c r="A738" s="379">
        <v>654</v>
      </c>
      <c r="B738" s="379">
        <v>817810</v>
      </c>
      <c r="C738" s="379" t="s">
        <v>1390</v>
      </c>
      <c r="D738" s="379">
        <v>2391375</v>
      </c>
      <c r="E738" s="379" t="s">
        <v>2802</v>
      </c>
      <c r="F738" s="379" t="s">
        <v>2478</v>
      </c>
      <c r="G738" s="383">
        <v>41883</v>
      </c>
      <c r="H738" s="379">
        <v>3665.88</v>
      </c>
      <c r="I738" s="379">
        <v>130.69999999999999</v>
      </c>
      <c r="J738" s="379">
        <v>619.75</v>
      </c>
      <c r="K738" s="379">
        <v>274.91000000000003</v>
      </c>
      <c r="L738" s="379"/>
      <c r="M738" s="379">
        <v>14</v>
      </c>
      <c r="N738" s="379"/>
      <c r="O738" s="379">
        <v>2727.97</v>
      </c>
      <c r="P738" s="379">
        <v>767.65</v>
      </c>
      <c r="Q738" s="379">
        <v>170.26</v>
      </c>
      <c r="R738" s="379"/>
      <c r="S738" s="379"/>
      <c r="T738" s="379"/>
      <c r="U738" s="379"/>
      <c r="V738" s="380">
        <v>4705.24</v>
      </c>
      <c r="W738" s="381">
        <v>0.437</v>
      </c>
      <c r="X738" s="379"/>
      <c r="Y738" s="379"/>
      <c r="Z738" s="379">
        <v>5302002</v>
      </c>
      <c r="AA738" s="379" t="s">
        <v>2467</v>
      </c>
      <c r="AB738" s="380">
        <f t="shared" si="10"/>
        <v>3.6416666666666667E-2</v>
      </c>
    </row>
    <row r="739" spans="1:28" outlineLevel="2" x14ac:dyDescent="0.3">
      <c r="A739" s="379">
        <v>654</v>
      </c>
      <c r="B739" s="379">
        <v>817810</v>
      </c>
      <c r="C739" s="379" t="s">
        <v>1390</v>
      </c>
      <c r="D739" s="379">
        <v>2393447</v>
      </c>
      <c r="E739" s="379" t="s">
        <v>2803</v>
      </c>
      <c r="F739" s="379" t="s">
        <v>2644</v>
      </c>
      <c r="G739" s="383">
        <v>40787</v>
      </c>
      <c r="H739" s="379">
        <v>41872.239999999998</v>
      </c>
      <c r="I739" s="379">
        <v>1719.71</v>
      </c>
      <c r="J739" s="379">
        <v>9069.07</v>
      </c>
      <c r="K739" s="379">
        <v>3177.7</v>
      </c>
      <c r="L739" s="379"/>
      <c r="M739" s="379">
        <v>138.6</v>
      </c>
      <c r="N739" s="379"/>
      <c r="O739" s="379">
        <v>34658.050000000003</v>
      </c>
      <c r="P739" s="379"/>
      <c r="Q739" s="379">
        <v>1375.44</v>
      </c>
      <c r="R739" s="379"/>
      <c r="S739" s="379"/>
      <c r="T739" s="379">
        <v>5838.75</v>
      </c>
      <c r="U739" s="379"/>
      <c r="V739" s="380">
        <v>55977.32</v>
      </c>
      <c r="W739" s="381">
        <v>5.4</v>
      </c>
      <c r="X739" s="379">
        <v>9</v>
      </c>
      <c r="Y739" s="379" t="s">
        <v>2804</v>
      </c>
      <c r="Z739" s="379">
        <v>1401202</v>
      </c>
      <c r="AA739" s="379" t="s">
        <v>2380</v>
      </c>
      <c r="AB739" s="380">
        <f t="shared" si="10"/>
        <v>0.45</v>
      </c>
    </row>
    <row r="740" spans="1:28" outlineLevel="2" x14ac:dyDescent="0.3">
      <c r="A740" s="379">
        <v>654</v>
      </c>
      <c r="B740" s="379">
        <v>817810</v>
      </c>
      <c r="C740" s="379" t="s">
        <v>1390</v>
      </c>
      <c r="D740" s="379">
        <v>2416438</v>
      </c>
      <c r="E740" s="379" t="s">
        <v>2805</v>
      </c>
      <c r="F740" s="379" t="s">
        <v>2664</v>
      </c>
      <c r="G740" s="383">
        <v>43070</v>
      </c>
      <c r="H740" s="379">
        <v>16518.23</v>
      </c>
      <c r="I740" s="379">
        <v>586.38</v>
      </c>
      <c r="J740" s="379">
        <v>3122.22</v>
      </c>
      <c r="K740" s="379">
        <v>1238.8499999999999</v>
      </c>
      <c r="L740" s="379"/>
      <c r="M740" s="379">
        <v>52.4</v>
      </c>
      <c r="N740" s="379"/>
      <c r="O740" s="379">
        <v>13113.28</v>
      </c>
      <c r="P740" s="379">
        <v>2728.75</v>
      </c>
      <c r="Q740" s="379">
        <v>676.2</v>
      </c>
      <c r="R740" s="379"/>
      <c r="S740" s="379"/>
      <c r="T740" s="379"/>
      <c r="U740" s="379"/>
      <c r="V740" s="380">
        <v>21518.080000000002</v>
      </c>
      <c r="W740" s="381">
        <v>2.2000000000000002</v>
      </c>
      <c r="X740" s="379">
        <v>12107</v>
      </c>
      <c r="Y740" s="379" t="s">
        <v>2801</v>
      </c>
      <c r="Z740" s="379">
        <v>1422001</v>
      </c>
      <c r="AA740" s="379" t="s">
        <v>2648</v>
      </c>
      <c r="AB740" s="380">
        <f t="shared" si="10"/>
        <v>0.18333333333333335</v>
      </c>
    </row>
    <row r="741" spans="1:28" outlineLevel="2" x14ac:dyDescent="0.3">
      <c r="A741" s="379">
        <v>654</v>
      </c>
      <c r="B741" s="379">
        <v>817810</v>
      </c>
      <c r="C741" s="379" t="s">
        <v>1390</v>
      </c>
      <c r="D741" s="379">
        <v>2418754</v>
      </c>
      <c r="E741" s="379" t="s">
        <v>2540</v>
      </c>
      <c r="F741" s="379" t="s">
        <v>3009</v>
      </c>
      <c r="G741" s="383">
        <v>39692</v>
      </c>
      <c r="H741" s="379">
        <v>60690.44</v>
      </c>
      <c r="I741" s="379">
        <v>2174.41</v>
      </c>
      <c r="J741" s="379">
        <v>12821.42</v>
      </c>
      <c r="K741" s="379">
        <v>4589.1000000000004</v>
      </c>
      <c r="L741" s="379"/>
      <c r="M741" s="379">
        <v>212.9</v>
      </c>
      <c r="N741" s="379"/>
      <c r="O741" s="379">
        <v>53021.75</v>
      </c>
      <c r="P741" s="379">
        <v>195.74</v>
      </c>
      <c r="Q741" s="379">
        <v>2555.75</v>
      </c>
      <c r="R741" s="379"/>
      <c r="S741" s="379"/>
      <c r="T741" s="379">
        <v>4917.2</v>
      </c>
      <c r="U741" s="379"/>
      <c r="V741" s="380">
        <v>80488.27</v>
      </c>
      <c r="W741" s="381">
        <v>8.3840000000000003</v>
      </c>
      <c r="X741" s="379"/>
      <c r="Y741" s="379"/>
      <c r="Z741" s="379">
        <v>1401202</v>
      </c>
      <c r="AA741" s="379" t="s">
        <v>2380</v>
      </c>
      <c r="AB741" s="380">
        <f t="shared" si="10"/>
        <v>0.69866666666666666</v>
      </c>
    </row>
    <row r="742" spans="1:28" outlineLevel="2" x14ac:dyDescent="0.3">
      <c r="A742" s="379">
        <v>654</v>
      </c>
      <c r="B742" s="379">
        <v>817810</v>
      </c>
      <c r="C742" s="379" t="s">
        <v>1390</v>
      </c>
      <c r="D742" s="379">
        <v>2458074</v>
      </c>
      <c r="E742" s="379" t="s">
        <v>2675</v>
      </c>
      <c r="F742" s="379" t="s">
        <v>2673</v>
      </c>
      <c r="G742" s="383">
        <v>42401</v>
      </c>
      <c r="H742" s="379">
        <v>8370.75</v>
      </c>
      <c r="I742" s="379">
        <v>303.45</v>
      </c>
      <c r="J742" s="379">
        <v>1085.6400000000001</v>
      </c>
      <c r="K742" s="379">
        <v>627.84</v>
      </c>
      <c r="L742" s="379"/>
      <c r="M742" s="379"/>
      <c r="N742" s="379"/>
      <c r="O742" s="379"/>
      <c r="P742" s="379">
        <v>7566.75</v>
      </c>
      <c r="Q742" s="379">
        <v>329</v>
      </c>
      <c r="R742" s="379"/>
      <c r="S742" s="379"/>
      <c r="T742" s="379">
        <v>475</v>
      </c>
      <c r="U742" s="379"/>
      <c r="V742" s="380">
        <v>10387.68</v>
      </c>
      <c r="W742" s="381"/>
      <c r="X742" s="379"/>
      <c r="Y742" s="379"/>
      <c r="Z742" s="379">
        <v>5821001</v>
      </c>
      <c r="AA742" s="379" t="s">
        <v>2427</v>
      </c>
      <c r="AB742" s="380">
        <f t="shared" si="10"/>
        <v>0</v>
      </c>
    </row>
    <row r="743" spans="1:28" outlineLevel="2" x14ac:dyDescent="0.3">
      <c r="A743" s="379">
        <v>654</v>
      </c>
      <c r="B743" s="379">
        <v>817810</v>
      </c>
      <c r="C743" s="379" t="s">
        <v>1390</v>
      </c>
      <c r="D743" s="379">
        <v>2572252</v>
      </c>
      <c r="E743" s="379" t="s">
        <v>2360</v>
      </c>
      <c r="F743" s="379" t="s">
        <v>3058</v>
      </c>
      <c r="G743" s="383">
        <v>42614</v>
      </c>
      <c r="H743" s="379">
        <v>30041.27</v>
      </c>
      <c r="I743" s="379">
        <v>1084.08</v>
      </c>
      <c r="J743" s="379">
        <v>6511.67</v>
      </c>
      <c r="K743" s="379">
        <v>2290.3000000000002</v>
      </c>
      <c r="L743" s="379"/>
      <c r="M743" s="379">
        <v>100.75</v>
      </c>
      <c r="N743" s="379"/>
      <c r="O743" s="379">
        <v>24572.23</v>
      </c>
      <c r="P743" s="379">
        <v>600</v>
      </c>
      <c r="Q743" s="379">
        <v>1395.12</v>
      </c>
      <c r="R743" s="379"/>
      <c r="S743" s="379"/>
      <c r="T743" s="379">
        <v>3473.92</v>
      </c>
      <c r="U743" s="379"/>
      <c r="V743" s="380">
        <v>40028.07</v>
      </c>
      <c r="W743" s="381">
        <v>4.54</v>
      </c>
      <c r="X743" s="379"/>
      <c r="Y743" s="379"/>
      <c r="Z743" s="379">
        <v>1401202</v>
      </c>
      <c r="AA743" s="379" t="s">
        <v>2380</v>
      </c>
      <c r="AB743" s="380">
        <f t="shared" si="10"/>
        <v>0.37833333333333335</v>
      </c>
    </row>
    <row r="744" spans="1:28" outlineLevel="2" x14ac:dyDescent="0.3">
      <c r="A744" s="379">
        <v>654</v>
      </c>
      <c r="B744" s="379">
        <v>817810</v>
      </c>
      <c r="C744" s="379" t="s">
        <v>1390</v>
      </c>
      <c r="D744" s="379">
        <v>2733084</v>
      </c>
      <c r="E744" s="379" t="s">
        <v>3059</v>
      </c>
      <c r="F744" s="379" t="s">
        <v>2673</v>
      </c>
      <c r="G744" s="383">
        <v>40787</v>
      </c>
      <c r="H744" s="379">
        <v>57864.18</v>
      </c>
      <c r="I744" s="379">
        <v>2435.7199999999998</v>
      </c>
      <c r="J744" s="379">
        <v>12365.81</v>
      </c>
      <c r="K744" s="379">
        <v>4376.95</v>
      </c>
      <c r="L744" s="379"/>
      <c r="M744" s="379">
        <v>200.25</v>
      </c>
      <c r="N744" s="379"/>
      <c r="O744" s="379">
        <v>48901.9</v>
      </c>
      <c r="P744" s="379">
        <v>1163.48</v>
      </c>
      <c r="Q744" s="379">
        <v>1760.8</v>
      </c>
      <c r="R744" s="379"/>
      <c r="S744" s="379"/>
      <c r="T744" s="379">
        <v>6038</v>
      </c>
      <c r="U744" s="379"/>
      <c r="V744" s="380">
        <v>77242.91</v>
      </c>
      <c r="W744" s="381">
        <v>8</v>
      </c>
      <c r="X744" s="379"/>
      <c r="Y744" s="379"/>
      <c r="Z744" s="379">
        <v>1422001</v>
      </c>
      <c r="AA744" s="379" t="s">
        <v>2648</v>
      </c>
      <c r="AB744" s="380">
        <f t="shared" si="10"/>
        <v>0.66666666666666663</v>
      </c>
    </row>
    <row r="745" spans="1:28" outlineLevel="2" x14ac:dyDescent="0.3">
      <c r="A745" s="379">
        <v>654</v>
      </c>
      <c r="B745" s="379">
        <v>817810</v>
      </c>
      <c r="C745" s="379" t="s">
        <v>1390</v>
      </c>
      <c r="D745" s="379">
        <v>2733964</v>
      </c>
      <c r="E745" s="379" t="s">
        <v>2688</v>
      </c>
      <c r="F745" s="379" t="s">
        <v>2396</v>
      </c>
      <c r="G745" s="383">
        <v>42309</v>
      </c>
      <c r="H745" s="379">
        <v>8693.42</v>
      </c>
      <c r="I745" s="379">
        <v>439.33</v>
      </c>
      <c r="J745" s="379">
        <v>1582.12</v>
      </c>
      <c r="K745" s="379">
        <v>652.01</v>
      </c>
      <c r="L745" s="379"/>
      <c r="M745" s="379">
        <v>31.1</v>
      </c>
      <c r="N745" s="379"/>
      <c r="O745" s="379">
        <v>7277.44</v>
      </c>
      <c r="P745" s="379">
        <v>1298.8800000000001</v>
      </c>
      <c r="Q745" s="379">
        <v>234.1</v>
      </c>
      <c r="R745" s="379"/>
      <c r="S745" s="379"/>
      <c r="T745" s="379"/>
      <c r="U745" s="379">
        <v>-117</v>
      </c>
      <c r="V745" s="380">
        <v>11397.98</v>
      </c>
      <c r="W745" s="381">
        <v>1</v>
      </c>
      <c r="X745" s="379">
        <v>501</v>
      </c>
      <c r="Y745" s="379" t="s">
        <v>2689</v>
      </c>
      <c r="Z745" s="379">
        <v>1422001</v>
      </c>
      <c r="AA745" s="379" t="s">
        <v>2648</v>
      </c>
      <c r="AB745" s="380">
        <f t="shared" si="10"/>
        <v>8.3333333333333329E-2</v>
      </c>
    </row>
    <row r="746" spans="1:28" outlineLevel="2" x14ac:dyDescent="0.3">
      <c r="A746" s="379">
        <v>654</v>
      </c>
      <c r="B746" s="379">
        <v>817810</v>
      </c>
      <c r="C746" s="379" t="s">
        <v>1390</v>
      </c>
      <c r="D746" s="379">
        <v>2887901</v>
      </c>
      <c r="E746" s="379" t="s">
        <v>2457</v>
      </c>
      <c r="F746" s="379" t="s">
        <v>3058</v>
      </c>
      <c r="G746" s="383">
        <v>43070</v>
      </c>
      <c r="H746" s="379">
        <v>41399.96</v>
      </c>
      <c r="I746" s="379">
        <v>1485.3</v>
      </c>
      <c r="J746" s="379">
        <v>8894</v>
      </c>
      <c r="K746" s="379">
        <v>3142.2</v>
      </c>
      <c r="L746" s="379"/>
      <c r="M746" s="379">
        <v>141.4</v>
      </c>
      <c r="N746" s="379"/>
      <c r="O746" s="379">
        <v>34970.76</v>
      </c>
      <c r="P746" s="379">
        <v>411.83</v>
      </c>
      <c r="Q746" s="379">
        <v>1262.45</v>
      </c>
      <c r="R746" s="379"/>
      <c r="S746" s="379"/>
      <c r="T746" s="379">
        <v>4754.92</v>
      </c>
      <c r="U746" s="379"/>
      <c r="V746" s="380">
        <v>55062.86</v>
      </c>
      <c r="W746" s="381">
        <v>6.02</v>
      </c>
      <c r="X746" s="379"/>
      <c r="Y746" s="379"/>
      <c r="Z746" s="379">
        <v>1401202</v>
      </c>
      <c r="AA746" s="379" t="s">
        <v>2380</v>
      </c>
      <c r="AB746" s="380">
        <f t="shared" si="10"/>
        <v>0.50166666666666659</v>
      </c>
    </row>
    <row r="747" spans="1:28" outlineLevel="2" x14ac:dyDescent="0.3">
      <c r="A747" s="379">
        <v>654</v>
      </c>
      <c r="B747" s="379">
        <v>817810</v>
      </c>
      <c r="C747" s="379" t="s">
        <v>1390</v>
      </c>
      <c r="D747" s="379">
        <v>2888652</v>
      </c>
      <c r="E747" s="379" t="s">
        <v>2691</v>
      </c>
      <c r="F747" s="379" t="s">
        <v>2631</v>
      </c>
      <c r="G747" s="383">
        <v>42614</v>
      </c>
      <c r="H747" s="379">
        <v>354</v>
      </c>
      <c r="I747" s="379">
        <v>12.56</v>
      </c>
      <c r="J747" s="379">
        <v>47.79</v>
      </c>
      <c r="K747" s="379">
        <v>26.54</v>
      </c>
      <c r="L747" s="379"/>
      <c r="M747" s="379"/>
      <c r="N747" s="379"/>
      <c r="O747" s="379"/>
      <c r="P747" s="379">
        <v>354</v>
      </c>
      <c r="Q747" s="379"/>
      <c r="R747" s="379"/>
      <c r="S747" s="379"/>
      <c r="T747" s="379"/>
      <c r="U747" s="379"/>
      <c r="V747" s="380">
        <v>440.89</v>
      </c>
      <c r="W747" s="381"/>
      <c r="X747" s="379"/>
      <c r="Y747" s="379"/>
      <c r="Z747" s="379">
        <v>5821001</v>
      </c>
      <c r="AA747" s="379" t="s">
        <v>2427</v>
      </c>
      <c r="AB747" s="380">
        <f t="shared" si="10"/>
        <v>0</v>
      </c>
    </row>
    <row r="748" spans="1:28" outlineLevel="2" x14ac:dyDescent="0.3">
      <c r="A748" s="379">
        <v>654</v>
      </c>
      <c r="B748" s="379">
        <v>817810</v>
      </c>
      <c r="C748" s="379" t="s">
        <v>1390</v>
      </c>
      <c r="D748" s="379">
        <v>2888653</v>
      </c>
      <c r="E748" s="379" t="s">
        <v>3038</v>
      </c>
      <c r="F748" s="379" t="s">
        <v>2680</v>
      </c>
      <c r="G748" s="383">
        <v>39692</v>
      </c>
      <c r="H748" s="379">
        <v>57303.65</v>
      </c>
      <c r="I748" s="379">
        <v>2126.41</v>
      </c>
      <c r="J748" s="379">
        <v>12113.84</v>
      </c>
      <c r="K748" s="379">
        <v>4335.08</v>
      </c>
      <c r="L748" s="379"/>
      <c r="M748" s="379">
        <v>201.84</v>
      </c>
      <c r="N748" s="379"/>
      <c r="O748" s="379">
        <v>48630.32</v>
      </c>
      <c r="P748" s="379">
        <v>1782.65</v>
      </c>
      <c r="Q748" s="379">
        <v>2600.7800000000002</v>
      </c>
      <c r="R748" s="379"/>
      <c r="S748" s="379"/>
      <c r="T748" s="379">
        <v>4289.8999999999996</v>
      </c>
      <c r="U748" s="379"/>
      <c r="V748" s="380">
        <v>76080.820000000007</v>
      </c>
      <c r="W748" s="381">
        <v>7.7119999999999997</v>
      </c>
      <c r="X748" s="379"/>
      <c r="Y748" s="379"/>
      <c r="Z748" s="379">
        <v>1401202</v>
      </c>
      <c r="AA748" s="379" t="s">
        <v>2380</v>
      </c>
      <c r="AB748" s="380">
        <f t="shared" si="10"/>
        <v>0.64266666666666661</v>
      </c>
    </row>
    <row r="749" spans="1:28" outlineLevel="2" x14ac:dyDescent="0.3">
      <c r="A749" s="379">
        <v>654</v>
      </c>
      <c r="B749" s="379">
        <v>817810</v>
      </c>
      <c r="C749" s="379" t="s">
        <v>1390</v>
      </c>
      <c r="D749" s="379">
        <v>2889012</v>
      </c>
      <c r="E749" s="379" t="s">
        <v>3060</v>
      </c>
      <c r="F749" s="379" t="s">
        <v>2633</v>
      </c>
      <c r="G749" s="383">
        <v>41426</v>
      </c>
      <c r="H749" s="379">
        <v>53048.74</v>
      </c>
      <c r="I749" s="379">
        <v>2047.42</v>
      </c>
      <c r="J749" s="379">
        <v>11256.99</v>
      </c>
      <c r="K749" s="379">
        <v>4015.85</v>
      </c>
      <c r="L749" s="379"/>
      <c r="M749" s="379">
        <v>188.15</v>
      </c>
      <c r="N749" s="379"/>
      <c r="O749" s="379">
        <v>46586.17</v>
      </c>
      <c r="P749" s="379">
        <v>456.57</v>
      </c>
      <c r="Q749" s="379">
        <v>1663.6</v>
      </c>
      <c r="R749" s="379"/>
      <c r="S749" s="379"/>
      <c r="T749" s="379">
        <v>4342.3999999999996</v>
      </c>
      <c r="U749" s="379"/>
      <c r="V749" s="380">
        <v>70557.149999999994</v>
      </c>
      <c r="W749" s="381">
        <v>8</v>
      </c>
      <c r="X749" s="379"/>
      <c r="Y749" s="379"/>
      <c r="Z749" s="379">
        <v>1027</v>
      </c>
      <c r="AA749" s="379" t="s">
        <v>2383</v>
      </c>
      <c r="AB749" s="380">
        <f t="shared" si="10"/>
        <v>0.66666666666666663</v>
      </c>
    </row>
    <row r="750" spans="1:28" outlineLevel="2" x14ac:dyDescent="0.3">
      <c r="A750" s="379">
        <v>654</v>
      </c>
      <c r="B750" s="379">
        <v>817810</v>
      </c>
      <c r="C750" s="379" t="s">
        <v>1390</v>
      </c>
      <c r="D750" s="379">
        <v>2932885</v>
      </c>
      <c r="E750" s="379" t="s">
        <v>2351</v>
      </c>
      <c r="F750" s="379" t="s">
        <v>2919</v>
      </c>
      <c r="G750" s="383">
        <v>41030</v>
      </c>
      <c r="H750" s="379">
        <v>52207.56</v>
      </c>
      <c r="I750" s="379">
        <v>1894.51</v>
      </c>
      <c r="J750" s="379">
        <v>11044.21</v>
      </c>
      <c r="K750" s="379">
        <v>3952.85</v>
      </c>
      <c r="L750" s="379"/>
      <c r="M750" s="379">
        <v>187.2</v>
      </c>
      <c r="N750" s="379"/>
      <c r="O750" s="379">
        <v>46791.45</v>
      </c>
      <c r="P750" s="379"/>
      <c r="Q750" s="379">
        <v>2596.36</v>
      </c>
      <c r="R750" s="379"/>
      <c r="S750" s="379"/>
      <c r="T750" s="379">
        <v>2819.75</v>
      </c>
      <c r="U750" s="379"/>
      <c r="V750" s="380">
        <v>69286.33</v>
      </c>
      <c r="W750" s="381">
        <v>7.62</v>
      </c>
      <c r="X750" s="379"/>
      <c r="Y750" s="379"/>
      <c r="Z750" s="379">
        <v>1422001</v>
      </c>
      <c r="AA750" s="379" t="s">
        <v>2648</v>
      </c>
      <c r="AB750" s="380">
        <f t="shared" si="10"/>
        <v>0.63500000000000001</v>
      </c>
    </row>
    <row r="751" spans="1:28" outlineLevel="2" x14ac:dyDescent="0.3">
      <c r="A751" s="379">
        <v>654</v>
      </c>
      <c r="B751" s="379">
        <v>817810</v>
      </c>
      <c r="C751" s="379" t="s">
        <v>1390</v>
      </c>
      <c r="D751" s="379">
        <v>3330903</v>
      </c>
      <c r="E751" s="379" t="s">
        <v>2726</v>
      </c>
      <c r="F751" s="379" t="s">
        <v>2821</v>
      </c>
      <c r="G751" s="383">
        <v>40695</v>
      </c>
      <c r="H751" s="379">
        <v>56556.69</v>
      </c>
      <c r="I751" s="379">
        <v>2359.4299999999998</v>
      </c>
      <c r="J751" s="379">
        <v>12073.34</v>
      </c>
      <c r="K751" s="379">
        <v>4278.95</v>
      </c>
      <c r="L751" s="379"/>
      <c r="M751" s="379">
        <v>197.92</v>
      </c>
      <c r="N751" s="379"/>
      <c r="O751" s="379">
        <v>49479.13</v>
      </c>
      <c r="P751" s="379"/>
      <c r="Q751" s="379">
        <v>1872.8</v>
      </c>
      <c r="R751" s="379"/>
      <c r="S751" s="379"/>
      <c r="T751" s="379">
        <v>5204.76</v>
      </c>
      <c r="U751" s="379"/>
      <c r="V751" s="380">
        <v>75466.33</v>
      </c>
      <c r="W751" s="381">
        <v>8</v>
      </c>
      <c r="X751" s="379"/>
      <c r="Y751" s="379"/>
      <c r="Z751" s="379">
        <v>1401202</v>
      </c>
      <c r="AA751" s="379" t="s">
        <v>2380</v>
      </c>
      <c r="AB751" s="380">
        <f t="shared" si="10"/>
        <v>0.66666666666666663</v>
      </c>
    </row>
    <row r="752" spans="1:28" outlineLevel="2" x14ac:dyDescent="0.3">
      <c r="A752" s="379">
        <v>654</v>
      </c>
      <c r="B752" s="379">
        <v>817810</v>
      </c>
      <c r="C752" s="379" t="s">
        <v>1390</v>
      </c>
      <c r="D752" s="379">
        <v>3369325</v>
      </c>
      <c r="E752" s="379" t="s">
        <v>2682</v>
      </c>
      <c r="F752" s="379" t="s">
        <v>2766</v>
      </c>
      <c r="G752" s="383">
        <v>42278</v>
      </c>
      <c r="H752" s="379">
        <v>34638.15</v>
      </c>
      <c r="I752" s="379">
        <v>1245.98</v>
      </c>
      <c r="J752" s="379">
        <v>7336.58</v>
      </c>
      <c r="K752" s="379">
        <v>2635</v>
      </c>
      <c r="L752" s="379"/>
      <c r="M752" s="379">
        <v>112.7</v>
      </c>
      <c r="N752" s="379"/>
      <c r="O752" s="379">
        <v>28086.33</v>
      </c>
      <c r="P752" s="379"/>
      <c r="Q752" s="379">
        <v>1113</v>
      </c>
      <c r="R752" s="379"/>
      <c r="S752" s="379"/>
      <c r="T752" s="379">
        <v>3843.02</v>
      </c>
      <c r="U752" s="379">
        <v>1595.8</v>
      </c>
      <c r="V752" s="380">
        <v>45968.41</v>
      </c>
      <c r="W752" s="381">
        <v>5.0659999999999998</v>
      </c>
      <c r="X752" s="379"/>
      <c r="Y752" s="379"/>
      <c r="Z752" s="379">
        <v>1422001</v>
      </c>
      <c r="AA752" s="379" t="s">
        <v>2648</v>
      </c>
      <c r="AB752" s="380">
        <f t="shared" si="10"/>
        <v>0.42216666666666663</v>
      </c>
    </row>
    <row r="753" spans="1:28" outlineLevel="2" x14ac:dyDescent="0.3">
      <c r="A753" s="379">
        <v>654</v>
      </c>
      <c r="B753" s="379">
        <v>817810</v>
      </c>
      <c r="C753" s="379" t="s">
        <v>1390</v>
      </c>
      <c r="D753" s="379">
        <v>3615504</v>
      </c>
      <c r="E753" s="379" t="s">
        <v>2332</v>
      </c>
      <c r="F753" s="379" t="s">
        <v>2687</v>
      </c>
      <c r="G753" s="383">
        <v>43709</v>
      </c>
      <c r="H753" s="379">
        <v>16073.4</v>
      </c>
      <c r="I753" s="379">
        <v>570.6</v>
      </c>
      <c r="J753" s="379">
        <v>1971.08</v>
      </c>
      <c r="K753" s="379">
        <v>1205.5999999999999</v>
      </c>
      <c r="L753" s="379"/>
      <c r="M753" s="379">
        <v>58.4</v>
      </c>
      <c r="N753" s="379"/>
      <c r="O753" s="379">
        <v>14600.72</v>
      </c>
      <c r="P753" s="379"/>
      <c r="Q753" s="379">
        <v>700.28</v>
      </c>
      <c r="R753" s="379"/>
      <c r="S753" s="379"/>
      <c r="T753" s="379"/>
      <c r="U753" s="379">
        <v>772.4</v>
      </c>
      <c r="V753" s="380">
        <v>19879.080000000002</v>
      </c>
      <c r="W753" s="381">
        <v>2.452</v>
      </c>
      <c r="X753" s="379"/>
      <c r="Y753" s="379"/>
      <c r="Z753" s="379">
        <v>1401202</v>
      </c>
      <c r="AA753" s="379" t="s">
        <v>2380</v>
      </c>
      <c r="AB753" s="380">
        <f t="shared" si="10"/>
        <v>0.20433333333333334</v>
      </c>
    </row>
    <row r="754" spans="1:28" outlineLevel="2" x14ac:dyDescent="0.3">
      <c r="A754" s="379">
        <v>654</v>
      </c>
      <c r="B754" s="379">
        <v>817810</v>
      </c>
      <c r="C754" s="379" t="s">
        <v>1390</v>
      </c>
      <c r="D754" s="379">
        <v>3655494</v>
      </c>
      <c r="E754" s="379" t="s">
        <v>2792</v>
      </c>
      <c r="F754" s="379" t="s">
        <v>2793</v>
      </c>
      <c r="G754" s="383">
        <v>42826</v>
      </c>
      <c r="H754" s="379">
        <v>4932</v>
      </c>
      <c r="I754" s="379">
        <v>175.08</v>
      </c>
      <c r="J754" s="379">
        <v>637.22</v>
      </c>
      <c r="K754" s="379">
        <v>369.89</v>
      </c>
      <c r="L754" s="379"/>
      <c r="M754" s="379"/>
      <c r="N754" s="379"/>
      <c r="O754" s="379"/>
      <c r="P754" s="379">
        <v>4720</v>
      </c>
      <c r="Q754" s="379">
        <v>212</v>
      </c>
      <c r="R754" s="379"/>
      <c r="S754" s="379"/>
      <c r="T754" s="379"/>
      <c r="U754" s="379"/>
      <c r="V754" s="380">
        <v>6114.19</v>
      </c>
      <c r="W754" s="381"/>
      <c r="X754" s="379"/>
      <c r="Y754" s="379"/>
      <c r="Z754" s="379">
        <v>1027</v>
      </c>
      <c r="AA754" s="379" t="s">
        <v>2383</v>
      </c>
      <c r="AB754" s="380">
        <f t="shared" si="10"/>
        <v>0</v>
      </c>
    </row>
    <row r="755" spans="1:28" outlineLevel="2" x14ac:dyDescent="0.3">
      <c r="A755" s="379">
        <v>654</v>
      </c>
      <c r="B755" s="379">
        <v>817810</v>
      </c>
      <c r="C755" s="379" t="s">
        <v>1390</v>
      </c>
      <c r="D755" s="379">
        <v>3822957</v>
      </c>
      <c r="E755" s="379" t="s">
        <v>2516</v>
      </c>
      <c r="F755" s="379" t="s">
        <v>2376</v>
      </c>
      <c r="G755" s="383">
        <v>41091</v>
      </c>
      <c r="H755" s="379">
        <v>47426.17</v>
      </c>
      <c r="I755" s="379">
        <v>1717.59</v>
      </c>
      <c r="J755" s="379">
        <v>10196.469999999999</v>
      </c>
      <c r="K755" s="379">
        <v>3594.15</v>
      </c>
      <c r="L755" s="379"/>
      <c r="M755" s="379">
        <v>160.69999999999999</v>
      </c>
      <c r="N755" s="379"/>
      <c r="O755" s="379">
        <v>39740.239999999998</v>
      </c>
      <c r="P755" s="379">
        <v>433.44</v>
      </c>
      <c r="Q755" s="379">
        <v>1619.04</v>
      </c>
      <c r="R755" s="379"/>
      <c r="S755" s="379"/>
      <c r="T755" s="379">
        <v>5633.45</v>
      </c>
      <c r="U755" s="379"/>
      <c r="V755" s="380">
        <v>63095.08</v>
      </c>
      <c r="W755" s="381">
        <v>6.4</v>
      </c>
      <c r="X755" s="379">
        <v>12107</v>
      </c>
      <c r="Y755" s="379" t="s">
        <v>2801</v>
      </c>
      <c r="Z755" s="379">
        <v>1422001</v>
      </c>
      <c r="AA755" s="379" t="s">
        <v>2648</v>
      </c>
      <c r="AB755" s="380">
        <f t="shared" si="10"/>
        <v>0.53333333333333333</v>
      </c>
    </row>
    <row r="756" spans="1:28" outlineLevel="2" x14ac:dyDescent="0.3">
      <c r="A756" s="379">
        <v>654</v>
      </c>
      <c r="B756" s="379">
        <v>817810</v>
      </c>
      <c r="C756" s="379" t="s">
        <v>1390</v>
      </c>
      <c r="D756" s="379">
        <v>3826193</v>
      </c>
      <c r="E756" s="379" t="s">
        <v>2777</v>
      </c>
      <c r="F756" s="379" t="s">
        <v>3061</v>
      </c>
      <c r="G756" s="383">
        <v>40422</v>
      </c>
      <c r="H756" s="379">
        <v>52367.49</v>
      </c>
      <c r="I756" s="379">
        <v>2027.27</v>
      </c>
      <c r="J756" s="379">
        <v>11201</v>
      </c>
      <c r="K756" s="379">
        <v>3964.75</v>
      </c>
      <c r="L756" s="379"/>
      <c r="M756" s="379">
        <v>175.05</v>
      </c>
      <c r="N756" s="379"/>
      <c r="O756" s="379">
        <v>43756.66</v>
      </c>
      <c r="P756" s="379"/>
      <c r="Q756" s="379">
        <v>1826.16</v>
      </c>
      <c r="R756" s="379"/>
      <c r="S756" s="379"/>
      <c r="T756" s="379">
        <v>6784.67</v>
      </c>
      <c r="U756" s="379"/>
      <c r="V756" s="380">
        <v>69735.56</v>
      </c>
      <c r="W756" s="381">
        <v>7.04</v>
      </c>
      <c r="X756" s="379"/>
      <c r="Y756" s="379"/>
      <c r="Z756" s="379">
        <v>1401202</v>
      </c>
      <c r="AA756" s="379" t="s">
        <v>2380</v>
      </c>
      <c r="AB756" s="380">
        <f t="shared" si="10"/>
        <v>0.58666666666666667</v>
      </c>
    </row>
    <row r="757" spans="1:28" outlineLevel="2" x14ac:dyDescent="0.3">
      <c r="A757" s="379">
        <v>654</v>
      </c>
      <c r="B757" s="379">
        <v>817810</v>
      </c>
      <c r="C757" s="379" t="s">
        <v>1390</v>
      </c>
      <c r="D757" s="379">
        <v>3827807</v>
      </c>
      <c r="E757" s="379" t="s">
        <v>2838</v>
      </c>
      <c r="F757" s="379" t="s">
        <v>2866</v>
      </c>
      <c r="G757" s="383">
        <v>41518</v>
      </c>
      <c r="H757" s="379">
        <v>5610.29</v>
      </c>
      <c r="I757" s="379">
        <v>199.18</v>
      </c>
      <c r="J757" s="379">
        <v>696.13</v>
      </c>
      <c r="K757" s="379">
        <v>420.75</v>
      </c>
      <c r="L757" s="379"/>
      <c r="M757" s="379"/>
      <c r="N757" s="379"/>
      <c r="O757" s="379">
        <v>5156.6400000000003</v>
      </c>
      <c r="P757" s="379"/>
      <c r="Q757" s="379">
        <v>453.65</v>
      </c>
      <c r="R757" s="379"/>
      <c r="S757" s="379"/>
      <c r="T757" s="379"/>
      <c r="U757" s="379"/>
      <c r="V757" s="380">
        <v>6926.35</v>
      </c>
      <c r="W757" s="381">
        <v>0.85799999999999998</v>
      </c>
      <c r="X757" s="379"/>
      <c r="Y757" s="379"/>
      <c r="Z757" s="379">
        <v>1401202</v>
      </c>
      <c r="AA757" s="379" t="s">
        <v>2380</v>
      </c>
      <c r="AB757" s="380">
        <f t="shared" si="10"/>
        <v>7.1499999999999994E-2</v>
      </c>
    </row>
    <row r="758" spans="1:28" outlineLevel="2" x14ac:dyDescent="0.3">
      <c r="A758" s="379">
        <v>654</v>
      </c>
      <c r="B758" s="379">
        <v>817810</v>
      </c>
      <c r="C758" s="379" t="s">
        <v>1390</v>
      </c>
      <c r="D758" s="379">
        <v>3951777</v>
      </c>
      <c r="E758" s="379" t="s">
        <v>2318</v>
      </c>
      <c r="F758" s="379" t="s">
        <v>2424</v>
      </c>
      <c r="G758" s="383">
        <v>43525</v>
      </c>
      <c r="H758" s="379">
        <v>563</v>
      </c>
      <c r="I758" s="379">
        <v>19.98</v>
      </c>
      <c r="J758" s="379">
        <v>71.69</v>
      </c>
      <c r="K758" s="379">
        <v>42.22</v>
      </c>
      <c r="L758" s="379"/>
      <c r="M758" s="379"/>
      <c r="N758" s="379"/>
      <c r="O758" s="379"/>
      <c r="P758" s="379">
        <v>531</v>
      </c>
      <c r="Q758" s="379">
        <v>32</v>
      </c>
      <c r="R758" s="379"/>
      <c r="S758" s="379"/>
      <c r="T758" s="379"/>
      <c r="U758" s="379"/>
      <c r="V758" s="380">
        <v>696.89</v>
      </c>
      <c r="W758" s="381"/>
      <c r="X758" s="379"/>
      <c r="Y758" s="379"/>
      <c r="Z758" s="379">
        <v>5821001</v>
      </c>
      <c r="AA758" s="379" t="s">
        <v>2427</v>
      </c>
      <c r="AB758" s="380">
        <f t="shared" si="10"/>
        <v>0</v>
      </c>
    </row>
    <row r="759" spans="1:28" outlineLevel="2" x14ac:dyDescent="0.3">
      <c r="A759" s="379">
        <v>654</v>
      </c>
      <c r="B759" s="379">
        <v>817810</v>
      </c>
      <c r="C759" s="379" t="s">
        <v>1390</v>
      </c>
      <c r="D759" s="379">
        <v>4004867</v>
      </c>
      <c r="E759" s="379" t="s">
        <v>2726</v>
      </c>
      <c r="F759" s="379" t="s">
        <v>2699</v>
      </c>
      <c r="G759" s="383">
        <v>42278</v>
      </c>
      <c r="H759" s="379">
        <v>1241.5</v>
      </c>
      <c r="I759" s="379">
        <v>44.08</v>
      </c>
      <c r="J759" s="379">
        <v>258.83</v>
      </c>
      <c r="K759" s="379">
        <v>93.11</v>
      </c>
      <c r="L759" s="379"/>
      <c r="M759" s="379">
        <v>4.9400000000000004</v>
      </c>
      <c r="N759" s="379"/>
      <c r="O759" s="379">
        <v>1232.5</v>
      </c>
      <c r="P759" s="379"/>
      <c r="Q759" s="379">
        <v>9</v>
      </c>
      <c r="R759" s="379"/>
      <c r="S759" s="379"/>
      <c r="T759" s="379"/>
      <c r="U759" s="379"/>
      <c r="V759" s="380">
        <v>1642.46</v>
      </c>
      <c r="W759" s="381">
        <v>0.21199999999999999</v>
      </c>
      <c r="X759" s="379">
        <v>12107</v>
      </c>
      <c r="Y759" s="379" t="s">
        <v>2801</v>
      </c>
      <c r="Z759" s="379">
        <v>1027</v>
      </c>
      <c r="AA759" s="379" t="s">
        <v>2383</v>
      </c>
      <c r="AB759" s="380">
        <f t="shared" si="10"/>
        <v>1.7666666666666667E-2</v>
      </c>
    </row>
    <row r="760" spans="1:28" outlineLevel="2" x14ac:dyDescent="0.3">
      <c r="A760" s="379">
        <v>654</v>
      </c>
      <c r="B760" s="379">
        <v>817810</v>
      </c>
      <c r="C760" s="379" t="s">
        <v>1390</v>
      </c>
      <c r="D760" s="379">
        <v>4004867</v>
      </c>
      <c r="E760" s="379" t="s">
        <v>2726</v>
      </c>
      <c r="F760" s="379" t="s">
        <v>2699</v>
      </c>
      <c r="G760" s="383">
        <v>42278</v>
      </c>
      <c r="H760" s="379">
        <v>46054.38</v>
      </c>
      <c r="I760" s="379">
        <v>1652.54</v>
      </c>
      <c r="J760" s="379">
        <v>10100.89</v>
      </c>
      <c r="K760" s="379">
        <v>3491.25</v>
      </c>
      <c r="L760" s="379"/>
      <c r="M760" s="379">
        <v>109.25</v>
      </c>
      <c r="N760" s="379"/>
      <c r="O760" s="379">
        <v>42492.78</v>
      </c>
      <c r="P760" s="379">
        <v>41.08</v>
      </c>
      <c r="Q760" s="379">
        <v>302.27</v>
      </c>
      <c r="R760" s="379"/>
      <c r="S760" s="379"/>
      <c r="T760" s="379">
        <v>3218.25</v>
      </c>
      <c r="U760" s="379"/>
      <c r="V760" s="380">
        <v>61408.31</v>
      </c>
      <c r="W760" s="381">
        <v>6.9580000000000002</v>
      </c>
      <c r="X760" s="379">
        <v>12107</v>
      </c>
      <c r="Y760" s="379" t="s">
        <v>2801</v>
      </c>
      <c r="Z760" s="379">
        <v>1422001</v>
      </c>
      <c r="AA760" s="379" t="s">
        <v>2648</v>
      </c>
      <c r="AB760" s="380">
        <f t="shared" si="10"/>
        <v>0.57983333333333331</v>
      </c>
    </row>
    <row r="761" spans="1:28" outlineLevel="2" x14ac:dyDescent="0.3">
      <c r="A761" s="379">
        <v>654</v>
      </c>
      <c r="B761" s="379">
        <v>817810</v>
      </c>
      <c r="C761" s="379" t="s">
        <v>1390</v>
      </c>
      <c r="D761" s="379">
        <v>4010632</v>
      </c>
      <c r="E761" s="379" t="s">
        <v>3062</v>
      </c>
      <c r="F761" s="379" t="s">
        <v>2687</v>
      </c>
      <c r="G761" s="383">
        <v>42064</v>
      </c>
      <c r="H761" s="379">
        <v>56585.54</v>
      </c>
      <c r="I761" s="379">
        <v>2026.39</v>
      </c>
      <c r="J761" s="379">
        <v>11819.34</v>
      </c>
      <c r="K761" s="379">
        <v>4281.1499999999996</v>
      </c>
      <c r="L761" s="379"/>
      <c r="M761" s="379">
        <v>204.75</v>
      </c>
      <c r="N761" s="379"/>
      <c r="O761" s="379">
        <v>50714</v>
      </c>
      <c r="P761" s="379">
        <v>454.57</v>
      </c>
      <c r="Q761" s="379">
        <v>2664.97</v>
      </c>
      <c r="R761" s="379"/>
      <c r="S761" s="379"/>
      <c r="T761" s="379">
        <v>2752</v>
      </c>
      <c r="U761" s="379"/>
      <c r="V761" s="380">
        <v>74917.17</v>
      </c>
      <c r="W761" s="381">
        <v>9.032</v>
      </c>
      <c r="X761" s="379"/>
      <c r="Y761" s="379"/>
      <c r="Z761" s="379">
        <v>1401202</v>
      </c>
      <c r="AA761" s="379" t="s">
        <v>2380</v>
      </c>
      <c r="AB761" s="380">
        <f t="shared" si="10"/>
        <v>0.75266666666666671</v>
      </c>
    </row>
    <row r="762" spans="1:28" outlineLevel="2" x14ac:dyDescent="0.3">
      <c r="A762" s="379">
        <v>654</v>
      </c>
      <c r="B762" s="379">
        <v>817810</v>
      </c>
      <c r="C762" s="379" t="s">
        <v>1390</v>
      </c>
      <c r="D762" s="379">
        <v>4060829</v>
      </c>
      <c r="E762" s="379" t="s">
        <v>3063</v>
      </c>
      <c r="F762" s="379" t="s">
        <v>2706</v>
      </c>
      <c r="G762" s="383">
        <v>41487</v>
      </c>
      <c r="H762" s="379">
        <v>41395.49</v>
      </c>
      <c r="I762" s="379">
        <v>1621.63</v>
      </c>
      <c r="J762" s="379">
        <v>8687.0400000000009</v>
      </c>
      <c r="K762" s="379">
        <v>3141.11</v>
      </c>
      <c r="L762" s="379"/>
      <c r="M762" s="379">
        <v>144.56</v>
      </c>
      <c r="N762" s="379"/>
      <c r="O762" s="379">
        <v>36256.410000000003</v>
      </c>
      <c r="P762" s="379"/>
      <c r="Q762" s="379">
        <v>2385.7600000000002</v>
      </c>
      <c r="R762" s="379"/>
      <c r="S762" s="379"/>
      <c r="T762" s="379">
        <v>2753.32</v>
      </c>
      <c r="U762" s="379"/>
      <c r="V762" s="380">
        <v>54989.83</v>
      </c>
      <c r="W762" s="381">
        <v>5.8730000000000002</v>
      </c>
      <c r="X762" s="379"/>
      <c r="Y762" s="379"/>
      <c r="Z762" s="379">
        <v>1027</v>
      </c>
      <c r="AA762" s="379" t="s">
        <v>2383</v>
      </c>
      <c r="AB762" s="380">
        <f t="shared" si="10"/>
        <v>0.48941666666666667</v>
      </c>
    </row>
    <row r="763" spans="1:28" outlineLevel="2" x14ac:dyDescent="0.3">
      <c r="A763" s="379">
        <v>654</v>
      </c>
      <c r="B763" s="379">
        <v>817810</v>
      </c>
      <c r="C763" s="379" t="s">
        <v>1390</v>
      </c>
      <c r="D763" s="379">
        <v>4324687</v>
      </c>
      <c r="E763" s="379" t="s">
        <v>2457</v>
      </c>
      <c r="F763" s="379" t="s">
        <v>2872</v>
      </c>
      <c r="G763" s="383">
        <v>42614</v>
      </c>
      <c r="H763" s="379">
        <v>39938.75</v>
      </c>
      <c r="I763" s="379">
        <v>1435.44</v>
      </c>
      <c r="J763" s="379">
        <v>8541.0499999999993</v>
      </c>
      <c r="K763" s="379">
        <v>3032.6</v>
      </c>
      <c r="L763" s="379"/>
      <c r="M763" s="379">
        <v>144.85</v>
      </c>
      <c r="N763" s="379"/>
      <c r="O763" s="379">
        <v>34520.19</v>
      </c>
      <c r="P763" s="379"/>
      <c r="Q763" s="379">
        <v>3334.2</v>
      </c>
      <c r="R763" s="379"/>
      <c r="S763" s="379"/>
      <c r="T763" s="379">
        <v>2084.36</v>
      </c>
      <c r="U763" s="379"/>
      <c r="V763" s="380">
        <v>53092.69</v>
      </c>
      <c r="W763" s="381">
        <v>5.9450000000000003</v>
      </c>
      <c r="X763" s="379"/>
      <c r="Y763" s="379"/>
      <c r="Z763" s="379">
        <v>1422001</v>
      </c>
      <c r="AA763" s="379" t="s">
        <v>2648</v>
      </c>
      <c r="AB763" s="380">
        <f t="shared" si="10"/>
        <v>0.49541666666666667</v>
      </c>
    </row>
    <row r="764" spans="1:28" outlineLevel="2" x14ac:dyDescent="0.3">
      <c r="A764" s="379">
        <v>654</v>
      </c>
      <c r="B764" s="379">
        <v>817810</v>
      </c>
      <c r="C764" s="379" t="s">
        <v>1390</v>
      </c>
      <c r="D764" s="379">
        <v>5146453</v>
      </c>
      <c r="E764" s="379" t="s">
        <v>3064</v>
      </c>
      <c r="F764" s="379" t="s">
        <v>2382</v>
      </c>
      <c r="G764" s="383">
        <v>43709</v>
      </c>
      <c r="H764" s="379">
        <v>10763.98</v>
      </c>
      <c r="I764" s="379">
        <v>51.65</v>
      </c>
      <c r="J764" s="379"/>
      <c r="K764" s="379">
        <v>807.25</v>
      </c>
      <c r="L764" s="379"/>
      <c r="M764" s="379"/>
      <c r="N764" s="379"/>
      <c r="O764" s="379">
        <v>9999.99</v>
      </c>
      <c r="P764" s="379"/>
      <c r="Q764" s="379">
        <v>763.99</v>
      </c>
      <c r="R764" s="379"/>
      <c r="S764" s="379"/>
      <c r="T764" s="379"/>
      <c r="U764" s="379"/>
      <c r="V764" s="380">
        <v>11622.88</v>
      </c>
      <c r="W764" s="381">
        <v>1.679</v>
      </c>
      <c r="X764" s="379"/>
      <c r="Y764" s="379"/>
      <c r="Z764" s="379">
        <v>1401202</v>
      </c>
      <c r="AA764" s="379" t="s">
        <v>2380</v>
      </c>
      <c r="AB764" s="380">
        <f t="shared" ref="AB764:AB829" si="11">W764/12</f>
        <v>0.13991666666666666</v>
      </c>
    </row>
    <row r="765" spans="1:28" outlineLevel="2" x14ac:dyDescent="0.3">
      <c r="A765" s="379">
        <v>654</v>
      </c>
      <c r="B765" s="379">
        <v>817810</v>
      </c>
      <c r="C765" s="379" t="s">
        <v>1390</v>
      </c>
      <c r="D765" s="379">
        <v>5267943</v>
      </c>
      <c r="E765" s="379" t="s">
        <v>2340</v>
      </c>
      <c r="F765" s="379" t="s">
        <v>2707</v>
      </c>
      <c r="G765" s="383">
        <v>41487</v>
      </c>
      <c r="H765" s="379">
        <v>64584.58</v>
      </c>
      <c r="I765" s="379">
        <v>2308.46</v>
      </c>
      <c r="J765" s="379">
        <v>13496.12</v>
      </c>
      <c r="K765" s="379">
        <v>4881.1000000000004</v>
      </c>
      <c r="L765" s="379"/>
      <c r="M765" s="379">
        <v>229.35</v>
      </c>
      <c r="N765" s="379"/>
      <c r="O765" s="379">
        <v>57316.7</v>
      </c>
      <c r="P765" s="379"/>
      <c r="Q765" s="379">
        <v>2679</v>
      </c>
      <c r="R765" s="379"/>
      <c r="S765" s="379"/>
      <c r="T765" s="379">
        <v>4588.88</v>
      </c>
      <c r="U765" s="379"/>
      <c r="V765" s="380">
        <v>85499.61</v>
      </c>
      <c r="W765" s="381">
        <v>9.2780000000000005</v>
      </c>
      <c r="X765" s="379"/>
      <c r="Y765" s="379"/>
      <c r="Z765" s="379">
        <v>5821001</v>
      </c>
      <c r="AA765" s="379" t="s">
        <v>2427</v>
      </c>
      <c r="AB765" s="380">
        <f t="shared" si="11"/>
        <v>0.77316666666666667</v>
      </c>
    </row>
    <row r="766" spans="1:28" outlineLevel="2" x14ac:dyDescent="0.3">
      <c r="A766" s="379">
        <v>654</v>
      </c>
      <c r="B766" s="379">
        <v>817810</v>
      </c>
      <c r="C766" s="379" t="s">
        <v>1390</v>
      </c>
      <c r="D766" s="379">
        <v>5268120</v>
      </c>
      <c r="E766" s="379" t="s">
        <v>2623</v>
      </c>
      <c r="F766" s="379" t="s">
        <v>2624</v>
      </c>
      <c r="G766" s="383">
        <v>42248</v>
      </c>
      <c r="H766" s="379">
        <v>5867.96</v>
      </c>
      <c r="I766" s="379">
        <v>208.31</v>
      </c>
      <c r="J766" s="379">
        <v>1150.23</v>
      </c>
      <c r="K766" s="379">
        <v>440.1</v>
      </c>
      <c r="L766" s="379"/>
      <c r="M766" s="379">
        <v>21.4</v>
      </c>
      <c r="N766" s="379"/>
      <c r="O766" s="379">
        <v>5355.22</v>
      </c>
      <c r="P766" s="379"/>
      <c r="Q766" s="379">
        <v>229.24</v>
      </c>
      <c r="R766" s="379"/>
      <c r="S766" s="379"/>
      <c r="T766" s="379"/>
      <c r="U766" s="379">
        <v>283.5</v>
      </c>
      <c r="V766" s="380">
        <v>7688</v>
      </c>
      <c r="W766" s="381">
        <v>0.9</v>
      </c>
      <c r="X766" s="379"/>
      <c r="Y766" s="379"/>
      <c r="Z766" s="379">
        <v>5821001</v>
      </c>
      <c r="AA766" s="379" t="s">
        <v>2427</v>
      </c>
      <c r="AB766" s="380">
        <f t="shared" si="11"/>
        <v>7.4999999999999997E-2</v>
      </c>
    </row>
    <row r="767" spans="1:28" outlineLevel="2" x14ac:dyDescent="0.3">
      <c r="A767" s="379">
        <v>654</v>
      </c>
      <c r="B767" s="379">
        <v>817810</v>
      </c>
      <c r="C767" s="379" t="s">
        <v>1390</v>
      </c>
      <c r="D767" s="379">
        <v>5429071</v>
      </c>
      <c r="E767" s="379" t="s">
        <v>2355</v>
      </c>
      <c r="F767" s="379" t="s">
        <v>2709</v>
      </c>
      <c r="G767" s="383">
        <v>43070</v>
      </c>
      <c r="H767" s="379">
        <v>250.75</v>
      </c>
      <c r="I767" s="379">
        <v>8.14</v>
      </c>
      <c r="J767" s="379">
        <v>33.85</v>
      </c>
      <c r="K767" s="379">
        <v>18.8</v>
      </c>
      <c r="L767" s="379"/>
      <c r="M767" s="379"/>
      <c r="N767" s="379"/>
      <c r="O767" s="379"/>
      <c r="P767" s="379">
        <v>250.75</v>
      </c>
      <c r="Q767" s="379"/>
      <c r="R767" s="379"/>
      <c r="S767" s="379"/>
      <c r="T767" s="379"/>
      <c r="U767" s="379"/>
      <c r="V767" s="380">
        <v>311.54000000000002</v>
      </c>
      <c r="W767" s="381"/>
      <c r="X767" s="379"/>
      <c r="Y767" s="379"/>
      <c r="Z767" s="379">
        <v>1401202</v>
      </c>
      <c r="AA767" s="379" t="s">
        <v>2380</v>
      </c>
      <c r="AB767" s="380">
        <f t="shared" si="11"/>
        <v>0</v>
      </c>
    </row>
    <row r="768" spans="1:28" outlineLevel="2" x14ac:dyDescent="0.3">
      <c r="A768" s="379">
        <v>654</v>
      </c>
      <c r="B768" s="379">
        <v>817810</v>
      </c>
      <c r="C768" s="379" t="s">
        <v>1390</v>
      </c>
      <c r="D768" s="379">
        <v>5471978</v>
      </c>
      <c r="E768" s="379" t="s">
        <v>3065</v>
      </c>
      <c r="F768" s="379" t="s">
        <v>2366</v>
      </c>
      <c r="G768" s="383">
        <v>43647</v>
      </c>
      <c r="H768" s="379">
        <v>1209.75</v>
      </c>
      <c r="I768" s="379">
        <v>39.32</v>
      </c>
      <c r="J768" s="379"/>
      <c r="K768" s="379">
        <v>90.75</v>
      </c>
      <c r="L768" s="379"/>
      <c r="M768" s="379"/>
      <c r="N768" s="379"/>
      <c r="O768" s="379"/>
      <c r="P768" s="379">
        <v>1135.75</v>
      </c>
      <c r="Q768" s="379">
        <v>74</v>
      </c>
      <c r="R768" s="379"/>
      <c r="S768" s="379"/>
      <c r="T768" s="379"/>
      <c r="U768" s="379"/>
      <c r="V768" s="380">
        <v>1339.82</v>
      </c>
      <c r="W768" s="381"/>
      <c r="X768" s="379"/>
      <c r="Y768" s="379"/>
      <c r="Z768" s="379">
        <v>1401202</v>
      </c>
      <c r="AA768" s="379" t="s">
        <v>2380</v>
      </c>
      <c r="AB768" s="380">
        <f t="shared" si="11"/>
        <v>0</v>
      </c>
    </row>
    <row r="769" spans="1:28" outlineLevel="2" x14ac:dyDescent="0.3">
      <c r="A769" s="379">
        <v>654</v>
      </c>
      <c r="B769" s="379">
        <v>817810</v>
      </c>
      <c r="C769" s="379" t="s">
        <v>1390</v>
      </c>
      <c r="D769" s="379">
        <v>5618617</v>
      </c>
      <c r="E769" s="379" t="s">
        <v>2927</v>
      </c>
      <c r="F769" s="379" t="s">
        <v>2361</v>
      </c>
      <c r="G769" s="383">
        <v>35370</v>
      </c>
      <c r="H769" s="379">
        <v>6834.23</v>
      </c>
      <c r="I769" s="379">
        <v>276.37</v>
      </c>
      <c r="J769" s="379">
        <v>1427.42</v>
      </c>
      <c r="K769" s="379">
        <v>512.6</v>
      </c>
      <c r="L769" s="379"/>
      <c r="M769" s="379">
        <v>27.15</v>
      </c>
      <c r="N769" s="379"/>
      <c r="O769" s="379">
        <v>6785.63</v>
      </c>
      <c r="P769" s="379"/>
      <c r="Q769" s="379">
        <v>48.6</v>
      </c>
      <c r="R769" s="379"/>
      <c r="S769" s="379"/>
      <c r="T769" s="379"/>
      <c r="U769" s="379"/>
      <c r="V769" s="380">
        <v>9077.77</v>
      </c>
      <c r="W769" s="381">
        <v>1</v>
      </c>
      <c r="X769" s="379">
        <v>12107</v>
      </c>
      <c r="Y769" s="379" t="s">
        <v>2801</v>
      </c>
      <c r="Z769" s="379">
        <v>5731001</v>
      </c>
      <c r="AA769" s="379" t="s">
        <v>3039</v>
      </c>
      <c r="AB769" s="380">
        <f t="shared" si="11"/>
        <v>8.3333333333333329E-2</v>
      </c>
    </row>
    <row r="770" spans="1:28" outlineLevel="2" x14ac:dyDescent="0.3">
      <c r="A770" s="379">
        <v>654</v>
      </c>
      <c r="B770" s="379">
        <v>817810</v>
      </c>
      <c r="C770" s="379" t="s">
        <v>1390</v>
      </c>
      <c r="D770" s="379">
        <v>5618617</v>
      </c>
      <c r="E770" s="379" t="s">
        <v>2927</v>
      </c>
      <c r="F770" s="379" t="s">
        <v>2361</v>
      </c>
      <c r="G770" s="383">
        <v>35370</v>
      </c>
      <c r="H770" s="379">
        <v>77370.16</v>
      </c>
      <c r="I770" s="379">
        <v>3316.79</v>
      </c>
      <c r="J770" s="379">
        <v>16284.76</v>
      </c>
      <c r="K770" s="379">
        <v>5839.99</v>
      </c>
      <c r="L770" s="379"/>
      <c r="M770" s="379">
        <v>270.07</v>
      </c>
      <c r="N770" s="379"/>
      <c r="O770" s="379">
        <v>67496.52</v>
      </c>
      <c r="P770" s="379"/>
      <c r="Q770" s="379">
        <v>2539.64</v>
      </c>
      <c r="R770" s="379"/>
      <c r="S770" s="379"/>
      <c r="T770" s="379">
        <v>7334</v>
      </c>
      <c r="U770" s="379"/>
      <c r="V770" s="380">
        <v>103081.77</v>
      </c>
      <c r="W770" s="381">
        <v>10.42</v>
      </c>
      <c r="X770" s="379">
        <v>12107</v>
      </c>
      <c r="Y770" s="379" t="s">
        <v>2801</v>
      </c>
      <c r="Z770" s="379">
        <v>1422001</v>
      </c>
      <c r="AA770" s="379" t="s">
        <v>2648</v>
      </c>
      <c r="AB770" s="380">
        <f t="shared" si="11"/>
        <v>0.86833333333333329</v>
      </c>
    </row>
    <row r="771" spans="1:28" outlineLevel="2" x14ac:dyDescent="0.3">
      <c r="A771" s="379">
        <v>654</v>
      </c>
      <c r="B771" s="379">
        <v>817810</v>
      </c>
      <c r="C771" s="379" t="s">
        <v>1390</v>
      </c>
      <c r="D771" s="379">
        <v>5646436</v>
      </c>
      <c r="E771" s="379" t="s">
        <v>2716</v>
      </c>
      <c r="F771" s="379" t="s">
        <v>2717</v>
      </c>
      <c r="G771" s="383">
        <v>43009</v>
      </c>
      <c r="H771" s="379">
        <v>2448.5</v>
      </c>
      <c r="I771" s="379">
        <v>86.91</v>
      </c>
      <c r="J771" s="379">
        <v>330.54</v>
      </c>
      <c r="K771" s="379">
        <v>183.63</v>
      </c>
      <c r="L771" s="379"/>
      <c r="M771" s="379"/>
      <c r="N771" s="379"/>
      <c r="O771" s="379"/>
      <c r="P771" s="379">
        <v>2448.5</v>
      </c>
      <c r="Q771" s="379"/>
      <c r="R771" s="379"/>
      <c r="S771" s="379"/>
      <c r="T771" s="379"/>
      <c r="U771" s="379"/>
      <c r="V771" s="380">
        <v>3049.58</v>
      </c>
      <c r="W771" s="381"/>
      <c r="X771" s="379"/>
      <c r="Y771" s="379"/>
      <c r="Z771" s="379">
        <v>5821001</v>
      </c>
      <c r="AA771" s="379" t="s">
        <v>2427</v>
      </c>
      <c r="AB771" s="380">
        <f t="shared" si="11"/>
        <v>0</v>
      </c>
    </row>
    <row r="772" spans="1:28" outlineLevel="2" x14ac:dyDescent="0.3">
      <c r="A772" s="379">
        <v>654</v>
      </c>
      <c r="B772" s="379">
        <v>817810</v>
      </c>
      <c r="C772" s="379" t="s">
        <v>1390</v>
      </c>
      <c r="D772" s="379">
        <v>5753910</v>
      </c>
      <c r="E772" s="379" t="s">
        <v>2519</v>
      </c>
      <c r="F772" s="379" t="s">
        <v>2376</v>
      </c>
      <c r="G772" s="383">
        <v>43709</v>
      </c>
      <c r="H772" s="379">
        <v>13529.95</v>
      </c>
      <c r="I772" s="379">
        <v>480.32</v>
      </c>
      <c r="J772" s="379"/>
      <c r="K772" s="379">
        <v>1014.75</v>
      </c>
      <c r="L772" s="379"/>
      <c r="M772" s="379">
        <v>51.55</v>
      </c>
      <c r="N772" s="379"/>
      <c r="O772" s="379">
        <v>12884.58</v>
      </c>
      <c r="P772" s="379"/>
      <c r="Q772" s="379">
        <v>645.37</v>
      </c>
      <c r="R772" s="379"/>
      <c r="S772" s="379"/>
      <c r="T772" s="379"/>
      <c r="U772" s="379"/>
      <c r="V772" s="380">
        <v>15076.57</v>
      </c>
      <c r="W772" s="381">
        <v>2.3079999999999998</v>
      </c>
      <c r="X772" s="379"/>
      <c r="Y772" s="379"/>
      <c r="Z772" s="379">
        <v>1422001</v>
      </c>
      <c r="AA772" s="379" t="s">
        <v>2648</v>
      </c>
      <c r="AB772" s="380">
        <f t="shared" si="11"/>
        <v>0.19233333333333333</v>
      </c>
    </row>
    <row r="773" spans="1:28" outlineLevel="2" x14ac:dyDescent="0.3">
      <c r="A773" s="379">
        <v>654</v>
      </c>
      <c r="B773" s="379">
        <v>817810</v>
      </c>
      <c r="C773" s="379" t="s">
        <v>1390</v>
      </c>
      <c r="D773" s="379">
        <v>5789992</v>
      </c>
      <c r="E773" s="379" t="s">
        <v>3045</v>
      </c>
      <c r="F773" s="379" t="s">
        <v>2547</v>
      </c>
      <c r="G773" s="383">
        <v>43160</v>
      </c>
      <c r="H773" s="379">
        <v>58307.360000000001</v>
      </c>
      <c r="I773" s="379">
        <v>2160.94</v>
      </c>
      <c r="J773" s="379">
        <v>12314.28</v>
      </c>
      <c r="K773" s="379">
        <v>4410.25</v>
      </c>
      <c r="L773" s="379"/>
      <c r="M773" s="379">
        <v>70.7</v>
      </c>
      <c r="N773" s="379"/>
      <c r="O773" s="379">
        <v>52401.72</v>
      </c>
      <c r="P773" s="379">
        <v>2154.9699999999998</v>
      </c>
      <c r="Q773" s="379">
        <v>2029.99</v>
      </c>
      <c r="R773" s="379"/>
      <c r="S773" s="379"/>
      <c r="T773" s="379">
        <v>1720.68</v>
      </c>
      <c r="U773" s="379"/>
      <c r="V773" s="380">
        <v>77263.53</v>
      </c>
      <c r="W773" s="381">
        <v>9.4789999999999992</v>
      </c>
      <c r="X773" s="379"/>
      <c r="Y773" s="379"/>
      <c r="Z773" s="379">
        <v>5821001</v>
      </c>
      <c r="AA773" s="379" t="s">
        <v>2427</v>
      </c>
      <c r="AB773" s="380">
        <f t="shared" si="11"/>
        <v>0.7899166666666666</v>
      </c>
    </row>
    <row r="774" spans="1:28" outlineLevel="2" x14ac:dyDescent="0.3">
      <c r="A774" s="379">
        <v>654</v>
      </c>
      <c r="B774" s="379">
        <v>817810</v>
      </c>
      <c r="C774" s="379" t="s">
        <v>1390</v>
      </c>
      <c r="D774" s="379">
        <v>5904611</v>
      </c>
      <c r="E774" s="379" t="s">
        <v>2332</v>
      </c>
      <c r="F774" s="379" t="s">
        <v>2728</v>
      </c>
      <c r="G774" s="383">
        <v>40787</v>
      </c>
      <c r="H774" s="379">
        <v>9529.75</v>
      </c>
      <c r="I774" s="379">
        <v>339.88</v>
      </c>
      <c r="J774" s="379">
        <v>1946.34</v>
      </c>
      <c r="K774" s="379">
        <v>714.79</v>
      </c>
      <c r="L774" s="379"/>
      <c r="M774" s="379">
        <v>37.15</v>
      </c>
      <c r="N774" s="379"/>
      <c r="O774" s="379">
        <v>9267.9599999999991</v>
      </c>
      <c r="P774" s="379"/>
      <c r="Q774" s="379">
        <v>261.79000000000002</v>
      </c>
      <c r="R774" s="379"/>
      <c r="S774" s="379"/>
      <c r="T774" s="379"/>
      <c r="U774" s="379"/>
      <c r="V774" s="380">
        <v>12567.91</v>
      </c>
      <c r="W774" s="381">
        <v>1.57</v>
      </c>
      <c r="X774" s="379"/>
      <c r="Y774" s="379"/>
      <c r="Z774" s="379">
        <v>1401202</v>
      </c>
      <c r="AA774" s="379" t="s">
        <v>2380</v>
      </c>
      <c r="AB774" s="380">
        <f t="shared" si="11"/>
        <v>0.13083333333333333</v>
      </c>
    </row>
    <row r="775" spans="1:28" outlineLevel="2" x14ac:dyDescent="0.3">
      <c r="A775" s="379">
        <v>654</v>
      </c>
      <c r="B775" s="379">
        <v>817810</v>
      </c>
      <c r="C775" s="379" t="s">
        <v>1390</v>
      </c>
      <c r="D775" s="379">
        <v>5905876</v>
      </c>
      <c r="E775" s="379" t="s">
        <v>2340</v>
      </c>
      <c r="F775" s="379" t="s">
        <v>2843</v>
      </c>
      <c r="G775" s="383">
        <v>35004</v>
      </c>
      <c r="H775" s="379">
        <v>69356.94</v>
      </c>
      <c r="I775" s="379">
        <v>3308.58</v>
      </c>
      <c r="J775" s="379">
        <v>6770.4</v>
      </c>
      <c r="K775" s="379">
        <v>5238.8999999999996</v>
      </c>
      <c r="L775" s="379"/>
      <c r="M775" s="379">
        <v>240.6</v>
      </c>
      <c r="N775" s="379"/>
      <c r="O775" s="379">
        <v>56597.58</v>
      </c>
      <c r="P775" s="379">
        <v>1312.56</v>
      </c>
      <c r="Q775" s="379">
        <v>4112.8</v>
      </c>
      <c r="R775" s="379"/>
      <c r="S775" s="379"/>
      <c r="T775" s="379">
        <v>7334</v>
      </c>
      <c r="U775" s="379"/>
      <c r="V775" s="380">
        <v>84915.42</v>
      </c>
      <c r="W775" s="381">
        <v>8</v>
      </c>
      <c r="X775" s="379">
        <v>8</v>
      </c>
      <c r="Y775" s="379" t="s">
        <v>2383</v>
      </c>
      <c r="Z775" s="379">
        <v>1027</v>
      </c>
      <c r="AA775" s="379" t="s">
        <v>2383</v>
      </c>
      <c r="AB775" s="380">
        <f t="shared" si="11"/>
        <v>0.66666666666666663</v>
      </c>
    </row>
    <row r="776" spans="1:28" outlineLevel="2" x14ac:dyDescent="0.3">
      <c r="A776" s="379">
        <v>654</v>
      </c>
      <c r="B776" s="379">
        <v>817810</v>
      </c>
      <c r="C776" s="379" t="s">
        <v>1390</v>
      </c>
      <c r="D776" s="379">
        <v>5970659</v>
      </c>
      <c r="E776" s="379" t="s">
        <v>2590</v>
      </c>
      <c r="F776" s="379" t="s">
        <v>2361</v>
      </c>
      <c r="G776" s="383">
        <v>43405</v>
      </c>
      <c r="H776" s="379">
        <v>2370.5</v>
      </c>
      <c r="I776" s="379">
        <v>84.16</v>
      </c>
      <c r="J776" s="379">
        <v>298.69</v>
      </c>
      <c r="K776" s="379">
        <v>177.8</v>
      </c>
      <c r="L776" s="379"/>
      <c r="M776" s="379"/>
      <c r="N776" s="379"/>
      <c r="O776" s="379"/>
      <c r="P776" s="379">
        <v>2212.5</v>
      </c>
      <c r="Q776" s="379">
        <v>158</v>
      </c>
      <c r="R776" s="379"/>
      <c r="S776" s="379"/>
      <c r="T776" s="379"/>
      <c r="U776" s="379"/>
      <c r="V776" s="380">
        <v>2931.15</v>
      </c>
      <c r="W776" s="381"/>
      <c r="X776" s="379"/>
      <c r="Y776" s="379"/>
      <c r="Z776" s="379">
        <v>1422001</v>
      </c>
      <c r="AA776" s="379" t="s">
        <v>2648</v>
      </c>
      <c r="AB776" s="380">
        <f t="shared" si="11"/>
        <v>0</v>
      </c>
    </row>
    <row r="777" spans="1:28" outlineLevel="2" x14ac:dyDescent="0.3">
      <c r="A777" s="379">
        <v>654</v>
      </c>
      <c r="B777" s="379">
        <v>817810</v>
      </c>
      <c r="C777" s="379" t="s">
        <v>1390</v>
      </c>
      <c r="D777" s="379">
        <v>6608366</v>
      </c>
      <c r="E777" s="379" t="s">
        <v>2732</v>
      </c>
      <c r="F777" s="379" t="s">
        <v>2733</v>
      </c>
      <c r="G777" s="383">
        <v>42401</v>
      </c>
      <c r="H777" s="379">
        <v>27115.919999999998</v>
      </c>
      <c r="I777" s="379">
        <v>980.22</v>
      </c>
      <c r="J777" s="379">
        <v>5599.8</v>
      </c>
      <c r="K777" s="379">
        <v>2070.85</v>
      </c>
      <c r="L777" s="379"/>
      <c r="M777" s="379">
        <v>87.3</v>
      </c>
      <c r="N777" s="379"/>
      <c r="O777" s="379">
        <v>21459.13</v>
      </c>
      <c r="P777" s="379">
        <v>356.27</v>
      </c>
      <c r="Q777" s="379">
        <v>1057.32</v>
      </c>
      <c r="R777" s="379"/>
      <c r="S777" s="379"/>
      <c r="T777" s="379">
        <v>2488.3200000000002</v>
      </c>
      <c r="U777" s="379">
        <v>1754.88</v>
      </c>
      <c r="V777" s="380">
        <v>35854.089999999997</v>
      </c>
      <c r="W777" s="381">
        <v>3.84</v>
      </c>
      <c r="X777" s="379"/>
      <c r="Y777" s="379"/>
      <c r="Z777" s="379">
        <v>1422001</v>
      </c>
      <c r="AA777" s="379" t="s">
        <v>2648</v>
      </c>
      <c r="AB777" s="380">
        <f t="shared" si="11"/>
        <v>0.32</v>
      </c>
    </row>
    <row r="778" spans="1:28" outlineLevel="2" x14ac:dyDescent="0.3">
      <c r="A778" s="379">
        <v>654</v>
      </c>
      <c r="B778" s="379">
        <v>817810</v>
      </c>
      <c r="C778" s="379" t="s">
        <v>1390</v>
      </c>
      <c r="D778" s="379">
        <v>6778560</v>
      </c>
      <c r="E778" s="379" t="s">
        <v>3066</v>
      </c>
      <c r="F778" s="379" t="s">
        <v>2349</v>
      </c>
      <c r="G778" s="383">
        <v>40057</v>
      </c>
      <c r="H778" s="379">
        <v>54587.9</v>
      </c>
      <c r="I778" s="379">
        <v>2194.09</v>
      </c>
      <c r="J778" s="379">
        <v>11659.84</v>
      </c>
      <c r="K778" s="379">
        <v>4131.25</v>
      </c>
      <c r="L778" s="379"/>
      <c r="M778" s="379">
        <v>186.8</v>
      </c>
      <c r="N778" s="379"/>
      <c r="O778" s="379">
        <v>40867.17</v>
      </c>
      <c r="P778" s="379">
        <v>5809.93</v>
      </c>
      <c r="Q778" s="379">
        <v>1872.8</v>
      </c>
      <c r="R778" s="379"/>
      <c r="S778" s="379"/>
      <c r="T778" s="379">
        <v>6038</v>
      </c>
      <c r="U778" s="379"/>
      <c r="V778" s="380">
        <v>72759.88</v>
      </c>
      <c r="W778" s="381">
        <v>8</v>
      </c>
      <c r="X778" s="379"/>
      <c r="Y778" s="379"/>
      <c r="Z778" s="379">
        <v>5821001</v>
      </c>
      <c r="AA778" s="379" t="s">
        <v>2427</v>
      </c>
      <c r="AB778" s="380">
        <f t="shared" si="11"/>
        <v>0.66666666666666663</v>
      </c>
    </row>
    <row r="779" spans="1:28" outlineLevel="2" x14ac:dyDescent="0.3">
      <c r="A779" s="379">
        <v>654</v>
      </c>
      <c r="B779" s="379">
        <v>817810</v>
      </c>
      <c r="C779" s="379" t="s">
        <v>1390</v>
      </c>
      <c r="D779" s="379">
        <v>20348273</v>
      </c>
      <c r="E779" s="379" t="s">
        <v>3067</v>
      </c>
      <c r="F779" s="379" t="s">
        <v>2596</v>
      </c>
      <c r="G779" s="383">
        <v>42614</v>
      </c>
      <c r="H779" s="379">
        <v>0</v>
      </c>
      <c r="I779" s="379"/>
      <c r="J779" s="379"/>
      <c r="K779" s="379"/>
      <c r="L779" s="379"/>
      <c r="M779" s="379"/>
      <c r="N779" s="379"/>
      <c r="O779" s="379">
        <v>0</v>
      </c>
      <c r="P779" s="379"/>
      <c r="Q779" s="379"/>
      <c r="R779" s="379"/>
      <c r="S779" s="379"/>
      <c r="T779" s="379"/>
      <c r="U779" s="379"/>
      <c r="V779" s="380">
        <v>0</v>
      </c>
      <c r="W779" s="381"/>
      <c r="X779" s="379"/>
      <c r="Y779" s="379"/>
      <c r="Z779" s="379">
        <v>953001</v>
      </c>
      <c r="AA779" s="379" t="s">
        <v>2902</v>
      </c>
      <c r="AB779" s="380">
        <f t="shared" si="11"/>
        <v>0</v>
      </c>
    </row>
    <row r="780" spans="1:28" outlineLevel="2" x14ac:dyDescent="0.3">
      <c r="A780" s="379">
        <v>654</v>
      </c>
      <c r="B780" s="379">
        <v>817810</v>
      </c>
      <c r="C780" s="379" t="s">
        <v>1390</v>
      </c>
      <c r="D780" s="379">
        <v>20349761</v>
      </c>
      <c r="E780" s="379" t="s">
        <v>2952</v>
      </c>
      <c r="F780" s="379" t="s">
        <v>3068</v>
      </c>
      <c r="G780" s="383">
        <v>42736</v>
      </c>
      <c r="H780" s="379">
        <v>8308.2999999999993</v>
      </c>
      <c r="I780" s="379">
        <v>294.94</v>
      </c>
      <c r="J780" s="379">
        <v>1732.47</v>
      </c>
      <c r="K780" s="379">
        <v>623.15</v>
      </c>
      <c r="L780" s="379"/>
      <c r="M780" s="379"/>
      <c r="N780" s="379"/>
      <c r="O780" s="379">
        <v>7145.98</v>
      </c>
      <c r="P780" s="379"/>
      <c r="Q780" s="379">
        <v>58.32</v>
      </c>
      <c r="R780" s="379"/>
      <c r="S780" s="379"/>
      <c r="T780" s="379">
        <v>1104</v>
      </c>
      <c r="U780" s="379"/>
      <c r="V780" s="380">
        <v>10958.86</v>
      </c>
      <c r="W780" s="381">
        <v>1.2</v>
      </c>
      <c r="X780" s="379"/>
      <c r="Y780" s="379"/>
      <c r="Z780" s="379">
        <v>1021001</v>
      </c>
      <c r="AA780" s="379" t="s">
        <v>3018</v>
      </c>
      <c r="AB780" s="380">
        <f t="shared" si="11"/>
        <v>9.9999999999999992E-2</v>
      </c>
    </row>
    <row r="781" spans="1:28" outlineLevel="2" x14ac:dyDescent="0.3">
      <c r="A781" s="379">
        <v>654</v>
      </c>
      <c r="B781" s="379">
        <v>817810</v>
      </c>
      <c r="C781" s="379" t="s">
        <v>1390</v>
      </c>
      <c r="D781" s="379">
        <v>20900302</v>
      </c>
      <c r="E781" s="379" t="s">
        <v>2816</v>
      </c>
      <c r="F781" s="379" t="s">
        <v>2817</v>
      </c>
      <c r="G781" s="383">
        <v>43525</v>
      </c>
      <c r="H781" s="379">
        <v>864.5</v>
      </c>
      <c r="I781" s="379">
        <v>30.69</v>
      </c>
      <c r="J781" s="379">
        <v>99.56</v>
      </c>
      <c r="K781" s="379">
        <v>64.849999999999994</v>
      </c>
      <c r="L781" s="379"/>
      <c r="M781" s="379"/>
      <c r="N781" s="379"/>
      <c r="O781" s="379"/>
      <c r="P781" s="379">
        <v>737.5</v>
      </c>
      <c r="Q781" s="379">
        <v>127</v>
      </c>
      <c r="R781" s="379"/>
      <c r="S781" s="379"/>
      <c r="T781" s="379"/>
      <c r="U781" s="379"/>
      <c r="V781" s="380">
        <v>1059.5999999999999</v>
      </c>
      <c r="W781" s="381"/>
      <c r="X781" s="379"/>
      <c r="Y781" s="379"/>
      <c r="Z781" s="379">
        <v>1422001</v>
      </c>
      <c r="AA781" s="379" t="s">
        <v>2648</v>
      </c>
      <c r="AB781" s="380">
        <f t="shared" si="11"/>
        <v>0</v>
      </c>
    </row>
    <row r="782" spans="1:28" outlineLevel="2" x14ac:dyDescent="0.3">
      <c r="A782" s="379">
        <v>654</v>
      </c>
      <c r="B782" s="379">
        <v>817810</v>
      </c>
      <c r="C782" s="379" t="s">
        <v>1390</v>
      </c>
      <c r="D782" s="379">
        <v>30071136</v>
      </c>
      <c r="E782" s="379" t="s">
        <v>2580</v>
      </c>
      <c r="F782" s="379" t="s">
        <v>3069</v>
      </c>
      <c r="G782" s="383">
        <v>43617</v>
      </c>
      <c r="H782" s="379">
        <v>2242</v>
      </c>
      <c r="I782" s="379">
        <v>79.59</v>
      </c>
      <c r="J782" s="379"/>
      <c r="K782" s="379">
        <v>168.15</v>
      </c>
      <c r="L782" s="379"/>
      <c r="M782" s="379"/>
      <c r="N782" s="379"/>
      <c r="O782" s="379"/>
      <c r="P782" s="379">
        <v>2242</v>
      </c>
      <c r="Q782" s="379"/>
      <c r="R782" s="379"/>
      <c r="S782" s="379"/>
      <c r="T782" s="379"/>
      <c r="U782" s="379"/>
      <c r="V782" s="380">
        <v>2489.7399999999998</v>
      </c>
      <c r="W782" s="381"/>
      <c r="X782" s="379"/>
      <c r="Y782" s="379"/>
      <c r="Z782" s="379">
        <v>1401202</v>
      </c>
      <c r="AA782" s="379" t="s">
        <v>2380</v>
      </c>
      <c r="AB782" s="380">
        <f t="shared" si="11"/>
        <v>0</v>
      </c>
    </row>
    <row r="783" spans="1:28" outlineLevel="2" x14ac:dyDescent="0.3">
      <c r="A783" s="379">
        <v>654</v>
      </c>
      <c r="B783" s="379">
        <v>817810</v>
      </c>
      <c r="C783" s="379" t="s">
        <v>1390</v>
      </c>
      <c r="D783" s="379">
        <v>30309152</v>
      </c>
      <c r="E783" s="379" t="s">
        <v>2663</v>
      </c>
      <c r="F783" s="379" t="s">
        <v>3070</v>
      </c>
      <c r="G783" s="383">
        <v>42614</v>
      </c>
      <c r="H783" s="379">
        <v>41922.83</v>
      </c>
      <c r="I783" s="379">
        <v>1685.43</v>
      </c>
      <c r="J783" s="379">
        <v>9075.0300000000007</v>
      </c>
      <c r="K783" s="379">
        <v>3181.45</v>
      </c>
      <c r="L783" s="379"/>
      <c r="M783" s="379">
        <v>140.44999999999999</v>
      </c>
      <c r="N783" s="379"/>
      <c r="O783" s="379">
        <v>35090.230000000003</v>
      </c>
      <c r="P783" s="379"/>
      <c r="Q783" s="379">
        <v>1404.6</v>
      </c>
      <c r="R783" s="379"/>
      <c r="S783" s="379"/>
      <c r="T783" s="379">
        <v>5428</v>
      </c>
      <c r="U783" s="379"/>
      <c r="V783" s="380">
        <v>56005.19</v>
      </c>
      <c r="W783" s="381">
        <v>6</v>
      </c>
      <c r="X783" s="379"/>
      <c r="Y783" s="379"/>
      <c r="Z783" s="379">
        <v>953001</v>
      </c>
      <c r="AA783" s="379" t="s">
        <v>2902</v>
      </c>
      <c r="AB783" s="380">
        <f t="shared" si="11"/>
        <v>0.5</v>
      </c>
    </row>
    <row r="784" spans="1:28" outlineLevel="2" x14ac:dyDescent="0.3">
      <c r="A784" s="379">
        <v>654</v>
      </c>
      <c r="B784" s="379">
        <v>817810</v>
      </c>
      <c r="C784" s="379" t="s">
        <v>1390</v>
      </c>
      <c r="D784" s="379">
        <v>30509461</v>
      </c>
      <c r="E784" s="379" t="s">
        <v>3071</v>
      </c>
      <c r="F784" s="379" t="s">
        <v>2998</v>
      </c>
      <c r="G784" s="383">
        <v>43800</v>
      </c>
      <c r="H784" s="379">
        <v>2395.36</v>
      </c>
      <c r="I784" s="379">
        <v>85.04</v>
      </c>
      <c r="J784" s="379">
        <v>308.57</v>
      </c>
      <c r="K784" s="379">
        <v>179.65</v>
      </c>
      <c r="L784" s="379"/>
      <c r="M784" s="379">
        <v>9.15</v>
      </c>
      <c r="N784" s="379"/>
      <c r="O784" s="379">
        <v>2285.7199999999998</v>
      </c>
      <c r="P784" s="379"/>
      <c r="Q784" s="379">
        <v>109.64</v>
      </c>
      <c r="R784" s="379"/>
      <c r="S784" s="379"/>
      <c r="T784" s="379"/>
      <c r="U784" s="379"/>
      <c r="V784" s="380">
        <v>2977.77</v>
      </c>
      <c r="W784" s="381">
        <v>0.38100000000000001</v>
      </c>
      <c r="X784" s="379"/>
      <c r="Y784" s="379"/>
      <c r="Z784" s="379">
        <v>1401202</v>
      </c>
      <c r="AA784" s="379" t="s">
        <v>2380</v>
      </c>
      <c r="AB784" s="380">
        <f t="shared" si="11"/>
        <v>3.175E-2</v>
      </c>
    </row>
    <row r="785" spans="1:28" outlineLevel="2" x14ac:dyDescent="0.3">
      <c r="A785" s="379">
        <v>654</v>
      </c>
      <c r="B785" s="379">
        <v>817810</v>
      </c>
      <c r="C785" s="379" t="s">
        <v>1390</v>
      </c>
      <c r="D785" s="379">
        <v>30548827</v>
      </c>
      <c r="E785" s="379" t="s">
        <v>2858</v>
      </c>
      <c r="F785" s="379" t="s">
        <v>2859</v>
      </c>
      <c r="G785" s="383">
        <v>42979</v>
      </c>
      <c r="H785" s="379">
        <v>17374.669999999998</v>
      </c>
      <c r="I785" s="379">
        <v>634.35</v>
      </c>
      <c r="J785" s="379">
        <v>2824.64</v>
      </c>
      <c r="K785" s="379">
        <v>1340.32</v>
      </c>
      <c r="L785" s="379"/>
      <c r="M785" s="379"/>
      <c r="N785" s="379"/>
      <c r="O785" s="379">
        <v>15551.57</v>
      </c>
      <c r="P785" s="379"/>
      <c r="Q785" s="379">
        <v>1601.48</v>
      </c>
      <c r="R785" s="379"/>
      <c r="S785" s="379"/>
      <c r="T785" s="379">
        <v>221.62</v>
      </c>
      <c r="U785" s="379"/>
      <c r="V785" s="380">
        <v>22173.98</v>
      </c>
      <c r="W785" s="381">
        <v>3.294</v>
      </c>
      <c r="X785" s="379"/>
      <c r="Y785" s="379"/>
      <c r="Z785" s="379">
        <v>1401202</v>
      </c>
      <c r="AA785" s="379" t="s">
        <v>2380</v>
      </c>
      <c r="AB785" s="380">
        <f t="shared" si="11"/>
        <v>0.27450000000000002</v>
      </c>
    </row>
    <row r="786" spans="1:28" outlineLevel="2" x14ac:dyDescent="0.3">
      <c r="A786" s="379">
        <v>654</v>
      </c>
      <c r="B786" s="379">
        <v>817810</v>
      </c>
      <c r="C786" s="379" t="s">
        <v>1390</v>
      </c>
      <c r="D786" s="379">
        <v>30549007</v>
      </c>
      <c r="E786" s="379" t="s">
        <v>2597</v>
      </c>
      <c r="F786" s="379" t="s">
        <v>2424</v>
      </c>
      <c r="G786" s="383">
        <v>42614</v>
      </c>
      <c r="H786" s="379">
        <v>1.4</v>
      </c>
      <c r="I786" s="379">
        <v>0.06</v>
      </c>
      <c r="J786" s="379">
        <v>0.24</v>
      </c>
      <c r="K786" s="379">
        <v>0.1</v>
      </c>
      <c r="L786" s="379"/>
      <c r="M786" s="379">
        <v>0</v>
      </c>
      <c r="N786" s="379"/>
      <c r="O786" s="379">
        <v>1.4</v>
      </c>
      <c r="P786" s="379"/>
      <c r="Q786" s="379"/>
      <c r="R786" s="379"/>
      <c r="S786" s="379"/>
      <c r="T786" s="379"/>
      <c r="U786" s="379"/>
      <c r="V786" s="380">
        <v>1.8</v>
      </c>
      <c r="W786" s="381"/>
      <c r="X786" s="379"/>
      <c r="Y786" s="379"/>
      <c r="Z786" s="379">
        <v>1422001</v>
      </c>
      <c r="AA786" s="379" t="s">
        <v>2648</v>
      </c>
      <c r="AB786" s="380">
        <f t="shared" si="11"/>
        <v>0</v>
      </c>
    </row>
    <row r="787" spans="1:28" outlineLevel="2" x14ac:dyDescent="0.3">
      <c r="A787" s="379">
        <v>654</v>
      </c>
      <c r="B787" s="379">
        <v>817810</v>
      </c>
      <c r="C787" s="379" t="s">
        <v>1390</v>
      </c>
      <c r="D787" s="379">
        <v>30560571</v>
      </c>
      <c r="E787" s="379" t="s">
        <v>2747</v>
      </c>
      <c r="F787" s="379" t="s">
        <v>2588</v>
      </c>
      <c r="G787" s="383">
        <v>42705</v>
      </c>
      <c r="H787" s="379">
        <v>290.16000000000003</v>
      </c>
      <c r="I787" s="379">
        <v>11.44</v>
      </c>
      <c r="J787" s="379">
        <v>39.18</v>
      </c>
      <c r="K787" s="379">
        <v>21.87</v>
      </c>
      <c r="L787" s="379"/>
      <c r="M787" s="379"/>
      <c r="N787" s="379"/>
      <c r="O787" s="379"/>
      <c r="P787" s="379">
        <v>290.16000000000003</v>
      </c>
      <c r="Q787" s="379"/>
      <c r="R787" s="379"/>
      <c r="S787" s="379"/>
      <c r="T787" s="379"/>
      <c r="U787" s="379"/>
      <c r="V787" s="380">
        <v>362.65</v>
      </c>
      <c r="W787" s="381"/>
      <c r="X787" s="379"/>
      <c r="Y787" s="379"/>
      <c r="Z787" s="379">
        <v>5821001</v>
      </c>
      <c r="AA787" s="379" t="s">
        <v>2427</v>
      </c>
      <c r="AB787" s="380">
        <f t="shared" si="11"/>
        <v>0</v>
      </c>
    </row>
    <row r="788" spans="1:28" outlineLevel="2" x14ac:dyDescent="0.3">
      <c r="A788" s="379">
        <v>654</v>
      </c>
      <c r="B788" s="379">
        <v>817810</v>
      </c>
      <c r="C788" s="379" t="s">
        <v>1390</v>
      </c>
      <c r="D788" s="379">
        <v>30571765</v>
      </c>
      <c r="E788" s="379" t="s">
        <v>2574</v>
      </c>
      <c r="F788" s="379" t="s">
        <v>2748</v>
      </c>
      <c r="G788" s="383">
        <v>43435</v>
      </c>
      <c r="H788" s="379">
        <v>23821.84</v>
      </c>
      <c r="I788" s="379">
        <v>883.14</v>
      </c>
      <c r="J788" s="379">
        <v>2853.55</v>
      </c>
      <c r="K788" s="379">
        <v>1786.64</v>
      </c>
      <c r="L788" s="379"/>
      <c r="M788" s="379">
        <v>84.55</v>
      </c>
      <c r="N788" s="379"/>
      <c r="O788" s="379">
        <v>21137.37</v>
      </c>
      <c r="P788" s="379"/>
      <c r="Q788" s="379">
        <v>730.87</v>
      </c>
      <c r="R788" s="379"/>
      <c r="S788" s="379"/>
      <c r="T788" s="379"/>
      <c r="U788" s="379">
        <v>1953.6</v>
      </c>
      <c r="V788" s="380">
        <v>29429.72</v>
      </c>
      <c r="W788" s="381">
        <v>3.7</v>
      </c>
      <c r="X788" s="379"/>
      <c r="Y788" s="379"/>
      <c r="Z788" s="379">
        <v>1401202</v>
      </c>
      <c r="AA788" s="379" t="s">
        <v>2380</v>
      </c>
      <c r="AB788" s="380">
        <f t="shared" si="11"/>
        <v>0.30833333333333335</v>
      </c>
    </row>
    <row r="789" spans="1:28" outlineLevel="2" x14ac:dyDescent="0.3">
      <c r="A789" s="379">
        <v>654</v>
      </c>
      <c r="B789" s="379">
        <v>817810</v>
      </c>
      <c r="C789" s="379" t="s">
        <v>1390</v>
      </c>
      <c r="D789" s="379">
        <v>32055616</v>
      </c>
      <c r="E789" s="379" t="s">
        <v>3027</v>
      </c>
      <c r="F789" s="379" t="s">
        <v>3028</v>
      </c>
      <c r="G789" s="383">
        <v>43709</v>
      </c>
      <c r="H789" s="379">
        <v>22975.05</v>
      </c>
      <c r="I789" s="379">
        <v>877.55</v>
      </c>
      <c r="J789" s="379"/>
      <c r="K789" s="379">
        <v>1723.15</v>
      </c>
      <c r="L789" s="379"/>
      <c r="M789" s="379">
        <v>81.709999999999994</v>
      </c>
      <c r="N789" s="379"/>
      <c r="O789" s="379">
        <v>20418.349999999999</v>
      </c>
      <c r="P789" s="379"/>
      <c r="Q789" s="379">
        <v>700.78</v>
      </c>
      <c r="R789" s="379"/>
      <c r="S789" s="379"/>
      <c r="T789" s="379"/>
      <c r="U789" s="379">
        <v>1855.92</v>
      </c>
      <c r="V789" s="380">
        <v>25657.46</v>
      </c>
      <c r="W789" s="381">
        <v>3.5150000000000001</v>
      </c>
      <c r="X789" s="379"/>
      <c r="Y789" s="379"/>
      <c r="Z789" s="379">
        <v>1401202</v>
      </c>
      <c r="AA789" s="379" t="s">
        <v>2380</v>
      </c>
      <c r="AB789" s="380">
        <f t="shared" si="11"/>
        <v>0.29291666666666666</v>
      </c>
    </row>
    <row r="790" spans="1:28" outlineLevel="2" x14ac:dyDescent="0.3">
      <c r="A790" s="379">
        <v>654</v>
      </c>
      <c r="B790" s="379">
        <v>817810</v>
      </c>
      <c r="C790" s="379" t="s">
        <v>1390</v>
      </c>
      <c r="D790" s="379">
        <v>32292684</v>
      </c>
      <c r="E790" s="379" t="s">
        <v>3072</v>
      </c>
      <c r="F790" s="379" t="s">
        <v>3073</v>
      </c>
      <c r="G790" s="383">
        <v>43617</v>
      </c>
      <c r="H790" s="379">
        <v>1123.75</v>
      </c>
      <c r="I790" s="379">
        <v>39.89</v>
      </c>
      <c r="J790" s="379"/>
      <c r="K790" s="379">
        <v>84.3</v>
      </c>
      <c r="L790" s="379"/>
      <c r="M790" s="379"/>
      <c r="N790" s="379"/>
      <c r="O790" s="379"/>
      <c r="P790" s="379">
        <v>1017.75</v>
      </c>
      <c r="Q790" s="379">
        <v>106</v>
      </c>
      <c r="R790" s="379"/>
      <c r="S790" s="379"/>
      <c r="T790" s="379"/>
      <c r="U790" s="379"/>
      <c r="V790" s="380">
        <v>1247.94</v>
      </c>
      <c r="W790" s="381"/>
      <c r="X790" s="379"/>
      <c r="Y790" s="379"/>
      <c r="Z790" s="379">
        <v>1401202</v>
      </c>
      <c r="AA790" s="379" t="s">
        <v>2380</v>
      </c>
      <c r="AB790" s="380">
        <f t="shared" si="11"/>
        <v>0</v>
      </c>
    </row>
    <row r="791" spans="1:28" outlineLevel="1" x14ac:dyDescent="0.3">
      <c r="A791" s="379"/>
      <c r="B791" s="384" t="s">
        <v>3074</v>
      </c>
      <c r="C791" s="379"/>
      <c r="D791" s="379"/>
      <c r="E791" s="379"/>
      <c r="F791" s="379"/>
      <c r="G791" s="383"/>
      <c r="H791" s="379"/>
      <c r="I791" s="379"/>
      <c r="J791" s="379"/>
      <c r="K791" s="379"/>
      <c r="L791" s="379"/>
      <c r="M791" s="379"/>
      <c r="N791" s="379"/>
      <c r="O791" s="379"/>
      <c r="P791" s="379"/>
      <c r="Q791" s="379"/>
      <c r="R791" s="379"/>
      <c r="S791" s="379"/>
      <c r="T791" s="379"/>
      <c r="U791" s="379"/>
      <c r="V791" s="380">
        <f>SUBTOTAL(9,V734:V790)</f>
        <v>1876423.44</v>
      </c>
      <c r="W791" s="381">
        <f>SUBTOTAL(9,W734:W790)</f>
        <v>202.47599999999997</v>
      </c>
      <c r="X791" s="379"/>
      <c r="Y791" s="379"/>
      <c r="Z791" s="379"/>
      <c r="AA791" s="379"/>
      <c r="AB791" s="380">
        <f>SUBTOTAL(9,AB734:AB790)</f>
        <v>16.873000000000001</v>
      </c>
    </row>
    <row r="792" spans="1:28" outlineLevel="2" x14ac:dyDescent="0.3">
      <c r="A792" s="379">
        <v>654</v>
      </c>
      <c r="B792" s="379">
        <v>817820</v>
      </c>
      <c r="C792" s="379" t="s">
        <v>505</v>
      </c>
      <c r="D792" s="379">
        <v>2273751</v>
      </c>
      <c r="E792" s="379" t="s">
        <v>2524</v>
      </c>
      <c r="F792" s="379" t="s">
        <v>2450</v>
      </c>
      <c r="G792" s="383">
        <v>41944</v>
      </c>
      <c r="H792" s="379">
        <v>22430.7</v>
      </c>
      <c r="I792" s="379">
        <v>796.2</v>
      </c>
      <c r="J792" s="379">
        <v>4518.71</v>
      </c>
      <c r="K792" s="379">
        <v>1682.21</v>
      </c>
      <c r="L792" s="379"/>
      <c r="M792" s="379">
        <v>86.1</v>
      </c>
      <c r="N792" s="379"/>
      <c r="O792" s="379">
        <v>21517.62</v>
      </c>
      <c r="P792" s="379"/>
      <c r="Q792" s="379">
        <v>913.08</v>
      </c>
      <c r="R792" s="379"/>
      <c r="S792" s="379"/>
      <c r="T792" s="379"/>
      <c r="U792" s="379"/>
      <c r="V792" s="380">
        <v>29513.919999999998</v>
      </c>
      <c r="W792" s="381">
        <v>3.52</v>
      </c>
      <c r="X792" s="379">
        <v>12107</v>
      </c>
      <c r="Y792" s="379" t="s">
        <v>2801</v>
      </c>
      <c r="Z792" s="379">
        <v>1422001</v>
      </c>
      <c r="AA792" s="379" t="s">
        <v>2648</v>
      </c>
      <c r="AB792" s="380">
        <f t="shared" si="11"/>
        <v>0.29333333333333333</v>
      </c>
    </row>
    <row r="793" spans="1:28" outlineLevel="2" x14ac:dyDescent="0.3">
      <c r="A793" s="379">
        <v>654</v>
      </c>
      <c r="B793" s="379">
        <v>817820</v>
      </c>
      <c r="C793" s="379" t="s">
        <v>505</v>
      </c>
      <c r="D793" s="379">
        <v>2393447</v>
      </c>
      <c r="E793" s="379" t="s">
        <v>2803</v>
      </c>
      <c r="F793" s="379" t="s">
        <v>2644</v>
      </c>
      <c r="G793" s="383">
        <v>40787</v>
      </c>
      <c r="H793" s="379">
        <v>24615.52</v>
      </c>
      <c r="I793" s="379">
        <v>-1577.35</v>
      </c>
      <c r="J793" s="379">
        <v>5121.32</v>
      </c>
      <c r="K793" s="379">
        <v>1846.15</v>
      </c>
      <c r="L793" s="379"/>
      <c r="M793" s="379">
        <v>97.2</v>
      </c>
      <c r="N793" s="379"/>
      <c r="O793" s="379">
        <v>24294.560000000001</v>
      </c>
      <c r="P793" s="379"/>
      <c r="Q793" s="379">
        <v>320.95999999999998</v>
      </c>
      <c r="R793" s="379"/>
      <c r="S793" s="379"/>
      <c r="T793" s="379"/>
      <c r="U793" s="379"/>
      <c r="V793" s="380">
        <v>30102.84</v>
      </c>
      <c r="W793" s="381">
        <v>3.6</v>
      </c>
      <c r="X793" s="379">
        <v>9</v>
      </c>
      <c r="Y793" s="379" t="s">
        <v>2804</v>
      </c>
      <c r="Z793" s="379">
        <v>1401202</v>
      </c>
      <c r="AA793" s="379" t="s">
        <v>2380</v>
      </c>
      <c r="AB793" s="380">
        <f t="shared" si="11"/>
        <v>0.3</v>
      </c>
    </row>
    <row r="794" spans="1:28" outlineLevel="2" x14ac:dyDescent="0.3">
      <c r="A794" s="379">
        <v>654</v>
      </c>
      <c r="B794" s="379">
        <v>817820</v>
      </c>
      <c r="C794" s="379" t="s">
        <v>505</v>
      </c>
      <c r="D794" s="379">
        <v>2458074</v>
      </c>
      <c r="E794" s="379" t="s">
        <v>2675</v>
      </c>
      <c r="F794" s="379" t="s">
        <v>2673</v>
      </c>
      <c r="G794" s="383">
        <v>42401</v>
      </c>
      <c r="H794" s="379">
        <v>29919.27</v>
      </c>
      <c r="I794" s="379">
        <v>1284.6300000000001</v>
      </c>
      <c r="J794" s="379">
        <v>3915.54</v>
      </c>
      <c r="K794" s="379">
        <v>2243.9</v>
      </c>
      <c r="L794" s="379"/>
      <c r="M794" s="379">
        <v>116</v>
      </c>
      <c r="N794" s="379"/>
      <c r="O794" s="379">
        <v>23812.15</v>
      </c>
      <c r="P794" s="379">
        <v>5192</v>
      </c>
      <c r="Q794" s="379">
        <v>915.12</v>
      </c>
      <c r="R794" s="379"/>
      <c r="S794" s="379"/>
      <c r="T794" s="379"/>
      <c r="U794" s="379">
        <v>0</v>
      </c>
      <c r="V794" s="380">
        <v>37479.339999999997</v>
      </c>
      <c r="W794" s="381">
        <v>4</v>
      </c>
      <c r="X794" s="379"/>
      <c r="Y794" s="379"/>
      <c r="Z794" s="379">
        <v>1422001</v>
      </c>
      <c r="AA794" s="379" t="s">
        <v>2648</v>
      </c>
      <c r="AB794" s="380">
        <f t="shared" si="11"/>
        <v>0.33333333333333331</v>
      </c>
    </row>
    <row r="795" spans="1:28" outlineLevel="2" x14ac:dyDescent="0.3">
      <c r="A795" s="379">
        <v>654</v>
      </c>
      <c r="B795" s="379">
        <v>817820</v>
      </c>
      <c r="C795" s="379" t="s">
        <v>505</v>
      </c>
      <c r="D795" s="379">
        <v>2572252</v>
      </c>
      <c r="E795" s="379" t="s">
        <v>2360</v>
      </c>
      <c r="F795" s="379" t="s">
        <v>3058</v>
      </c>
      <c r="G795" s="383">
        <v>42614</v>
      </c>
      <c r="H795" s="379">
        <v>16631.88</v>
      </c>
      <c r="I795" s="379">
        <v>590.44000000000005</v>
      </c>
      <c r="J795" s="379">
        <v>3313.5</v>
      </c>
      <c r="K795" s="379">
        <v>1247.4000000000001</v>
      </c>
      <c r="L795" s="379"/>
      <c r="M795" s="379">
        <v>63.2</v>
      </c>
      <c r="N795" s="379"/>
      <c r="O795" s="379">
        <v>15778.48</v>
      </c>
      <c r="P795" s="379"/>
      <c r="Q795" s="379">
        <v>853.4</v>
      </c>
      <c r="R795" s="379"/>
      <c r="S795" s="379"/>
      <c r="T795" s="379"/>
      <c r="U795" s="379"/>
      <c r="V795" s="380">
        <v>21846.42</v>
      </c>
      <c r="W795" s="381">
        <v>2.62</v>
      </c>
      <c r="X795" s="379"/>
      <c r="Y795" s="379"/>
      <c r="Z795" s="379">
        <v>1401202</v>
      </c>
      <c r="AA795" s="379" t="s">
        <v>2380</v>
      </c>
      <c r="AB795" s="380">
        <f t="shared" si="11"/>
        <v>0.21833333333333335</v>
      </c>
    </row>
    <row r="796" spans="1:28" outlineLevel="2" x14ac:dyDescent="0.3">
      <c r="A796" s="379">
        <v>654</v>
      </c>
      <c r="B796" s="379">
        <v>817820</v>
      </c>
      <c r="C796" s="379" t="s">
        <v>505</v>
      </c>
      <c r="D796" s="379">
        <v>2733084</v>
      </c>
      <c r="E796" s="379" t="s">
        <v>3059</v>
      </c>
      <c r="F796" s="379" t="s">
        <v>2673</v>
      </c>
      <c r="G796" s="383">
        <v>40787</v>
      </c>
      <c r="H796" s="379">
        <v>25556.33</v>
      </c>
      <c r="I796" s="379">
        <v>957</v>
      </c>
      <c r="J796" s="379">
        <v>5225.96</v>
      </c>
      <c r="K796" s="379">
        <v>1916.75</v>
      </c>
      <c r="L796" s="379"/>
      <c r="M796" s="379">
        <v>98.7</v>
      </c>
      <c r="N796" s="379"/>
      <c r="O796" s="379">
        <v>24675.93</v>
      </c>
      <c r="P796" s="379"/>
      <c r="Q796" s="379">
        <v>880.4</v>
      </c>
      <c r="R796" s="379"/>
      <c r="S796" s="379"/>
      <c r="T796" s="379"/>
      <c r="U796" s="379"/>
      <c r="V796" s="380">
        <v>33754.74</v>
      </c>
      <c r="W796" s="381">
        <v>4</v>
      </c>
      <c r="X796" s="379"/>
      <c r="Y796" s="379"/>
      <c r="Z796" s="379">
        <v>1422001</v>
      </c>
      <c r="AA796" s="379" t="s">
        <v>2648</v>
      </c>
      <c r="AB796" s="380">
        <f t="shared" si="11"/>
        <v>0.33333333333333331</v>
      </c>
    </row>
    <row r="797" spans="1:28" outlineLevel="2" x14ac:dyDescent="0.3">
      <c r="A797" s="379">
        <v>654</v>
      </c>
      <c r="B797" s="379">
        <v>817820</v>
      </c>
      <c r="C797" s="379" t="s">
        <v>505</v>
      </c>
      <c r="D797" s="379">
        <v>2887901</v>
      </c>
      <c r="E797" s="379" t="s">
        <v>2457</v>
      </c>
      <c r="F797" s="379" t="s">
        <v>3058</v>
      </c>
      <c r="G797" s="383">
        <v>43070</v>
      </c>
      <c r="H797" s="379">
        <v>15284.09</v>
      </c>
      <c r="I797" s="379">
        <v>542.59</v>
      </c>
      <c r="J797" s="379">
        <v>3061.85</v>
      </c>
      <c r="K797" s="379">
        <v>1146.3</v>
      </c>
      <c r="L797" s="379"/>
      <c r="M797" s="379">
        <v>58.3</v>
      </c>
      <c r="N797" s="379"/>
      <c r="O797" s="379">
        <v>14580.33</v>
      </c>
      <c r="P797" s="379"/>
      <c r="Q797" s="379">
        <v>703.76</v>
      </c>
      <c r="R797" s="379"/>
      <c r="S797" s="379"/>
      <c r="T797" s="379"/>
      <c r="U797" s="379"/>
      <c r="V797" s="380">
        <v>20093.13</v>
      </c>
      <c r="W797" s="381">
        <v>2.956</v>
      </c>
      <c r="X797" s="379"/>
      <c r="Y797" s="379"/>
      <c r="Z797" s="379">
        <v>1401202</v>
      </c>
      <c r="AA797" s="379" t="s">
        <v>2380</v>
      </c>
      <c r="AB797" s="380">
        <f t="shared" si="11"/>
        <v>0.24633333333333332</v>
      </c>
    </row>
    <row r="798" spans="1:28" outlineLevel="2" x14ac:dyDescent="0.3">
      <c r="A798" s="379">
        <v>654</v>
      </c>
      <c r="B798" s="379">
        <v>817820</v>
      </c>
      <c r="C798" s="379" t="s">
        <v>505</v>
      </c>
      <c r="D798" s="379">
        <v>2889012</v>
      </c>
      <c r="E798" s="379" t="s">
        <v>3060</v>
      </c>
      <c r="F798" s="379" t="s">
        <v>2633</v>
      </c>
      <c r="G798" s="383">
        <v>41426</v>
      </c>
      <c r="H798" s="379">
        <v>22183.4</v>
      </c>
      <c r="I798" s="379">
        <v>787.52</v>
      </c>
      <c r="J798" s="379">
        <v>4474.5200000000004</v>
      </c>
      <c r="K798" s="379">
        <v>1663.8</v>
      </c>
      <c r="L798" s="379"/>
      <c r="M798" s="379">
        <v>85.25</v>
      </c>
      <c r="N798" s="379"/>
      <c r="O798" s="379">
        <v>21024.34</v>
      </c>
      <c r="P798" s="379">
        <v>282.94</v>
      </c>
      <c r="Q798" s="379">
        <v>876.12</v>
      </c>
      <c r="R798" s="379"/>
      <c r="S798" s="379"/>
      <c r="T798" s="379"/>
      <c r="U798" s="379"/>
      <c r="V798" s="380">
        <v>29194.49</v>
      </c>
      <c r="W798" s="381">
        <v>3.68</v>
      </c>
      <c r="X798" s="379"/>
      <c r="Y798" s="379"/>
      <c r="Z798" s="379">
        <v>1422001</v>
      </c>
      <c r="AA798" s="379" t="s">
        <v>2648</v>
      </c>
      <c r="AB798" s="380">
        <f t="shared" si="11"/>
        <v>0.3066666666666667</v>
      </c>
    </row>
    <row r="799" spans="1:28" outlineLevel="2" x14ac:dyDescent="0.3">
      <c r="A799" s="379">
        <v>654</v>
      </c>
      <c r="B799" s="379">
        <v>817820</v>
      </c>
      <c r="C799" s="379" t="s">
        <v>505</v>
      </c>
      <c r="D799" s="379">
        <v>3190147</v>
      </c>
      <c r="E799" s="379" t="s">
        <v>2332</v>
      </c>
      <c r="F799" s="379" t="s">
        <v>2310</v>
      </c>
      <c r="G799" s="383">
        <v>43739</v>
      </c>
      <c r="H799" s="379">
        <v>3569</v>
      </c>
      <c r="I799" s="379">
        <v>126.7</v>
      </c>
      <c r="J799" s="379">
        <v>461.7</v>
      </c>
      <c r="K799" s="379">
        <v>267.7</v>
      </c>
      <c r="L799" s="379"/>
      <c r="M799" s="379"/>
      <c r="N799" s="379"/>
      <c r="O799" s="379"/>
      <c r="P799" s="379">
        <v>3420</v>
      </c>
      <c r="Q799" s="379">
        <v>149</v>
      </c>
      <c r="R799" s="379"/>
      <c r="S799" s="379"/>
      <c r="T799" s="379"/>
      <c r="U799" s="379"/>
      <c r="V799" s="380">
        <v>4425.1000000000004</v>
      </c>
      <c r="W799" s="381"/>
      <c r="X799" s="379"/>
      <c r="Y799" s="379"/>
      <c r="Z799" s="379">
        <v>5821001</v>
      </c>
      <c r="AA799" s="379" t="s">
        <v>2427</v>
      </c>
      <c r="AB799" s="380">
        <f t="shared" si="11"/>
        <v>0</v>
      </c>
    </row>
    <row r="800" spans="1:28" outlineLevel="2" x14ac:dyDescent="0.3">
      <c r="A800" s="379">
        <v>654</v>
      </c>
      <c r="B800" s="379">
        <v>817820</v>
      </c>
      <c r="C800" s="379" t="s">
        <v>505</v>
      </c>
      <c r="D800" s="379">
        <v>3305215</v>
      </c>
      <c r="E800" s="379" t="s">
        <v>2318</v>
      </c>
      <c r="F800" s="379" t="s">
        <v>2894</v>
      </c>
      <c r="G800" s="383">
        <v>43709</v>
      </c>
      <c r="H800" s="379">
        <v>495.5</v>
      </c>
      <c r="I800" s="379">
        <v>17.59</v>
      </c>
      <c r="J800" s="379"/>
      <c r="K800" s="379">
        <v>37.15</v>
      </c>
      <c r="L800" s="379"/>
      <c r="M800" s="379"/>
      <c r="N800" s="379"/>
      <c r="O800" s="379"/>
      <c r="P800" s="379">
        <v>442.5</v>
      </c>
      <c r="Q800" s="379">
        <v>53</v>
      </c>
      <c r="R800" s="379"/>
      <c r="S800" s="379"/>
      <c r="T800" s="379"/>
      <c r="U800" s="379"/>
      <c r="V800" s="380">
        <v>550.24</v>
      </c>
      <c r="W800" s="381"/>
      <c r="X800" s="379"/>
      <c r="Y800" s="379"/>
      <c r="Z800" s="379">
        <v>5821001</v>
      </c>
      <c r="AA800" s="379" t="s">
        <v>2427</v>
      </c>
      <c r="AB800" s="380">
        <f t="shared" si="11"/>
        <v>0</v>
      </c>
    </row>
    <row r="801" spans="1:28" outlineLevel="2" x14ac:dyDescent="0.3">
      <c r="A801" s="379">
        <v>654</v>
      </c>
      <c r="B801" s="379">
        <v>817820</v>
      </c>
      <c r="C801" s="379" t="s">
        <v>505</v>
      </c>
      <c r="D801" s="379">
        <v>3330903</v>
      </c>
      <c r="E801" s="379" t="s">
        <v>2726</v>
      </c>
      <c r="F801" s="379" t="s">
        <v>2821</v>
      </c>
      <c r="G801" s="383">
        <v>40695</v>
      </c>
      <c r="H801" s="379">
        <v>24580.95</v>
      </c>
      <c r="I801" s="379">
        <v>890.84</v>
      </c>
      <c r="J801" s="379">
        <v>5012.1899999999996</v>
      </c>
      <c r="K801" s="379">
        <v>1843.6</v>
      </c>
      <c r="L801" s="379"/>
      <c r="M801" s="379">
        <v>94.6</v>
      </c>
      <c r="N801" s="379"/>
      <c r="O801" s="379">
        <v>23644.55</v>
      </c>
      <c r="P801" s="379"/>
      <c r="Q801" s="379">
        <v>936.4</v>
      </c>
      <c r="R801" s="379"/>
      <c r="S801" s="379"/>
      <c r="T801" s="379"/>
      <c r="U801" s="379"/>
      <c r="V801" s="380">
        <v>32422.18</v>
      </c>
      <c r="W801" s="381">
        <v>4</v>
      </c>
      <c r="X801" s="379"/>
      <c r="Y801" s="379"/>
      <c r="Z801" s="379">
        <v>1401202</v>
      </c>
      <c r="AA801" s="379" t="s">
        <v>2380</v>
      </c>
      <c r="AB801" s="380">
        <f t="shared" si="11"/>
        <v>0.33333333333333331</v>
      </c>
    </row>
    <row r="802" spans="1:28" outlineLevel="2" x14ac:dyDescent="0.3">
      <c r="A802" s="379">
        <v>654</v>
      </c>
      <c r="B802" s="379">
        <v>817820</v>
      </c>
      <c r="C802" s="379" t="s">
        <v>505</v>
      </c>
      <c r="D802" s="379">
        <v>3369325</v>
      </c>
      <c r="E802" s="379" t="s">
        <v>2682</v>
      </c>
      <c r="F802" s="379" t="s">
        <v>2766</v>
      </c>
      <c r="G802" s="383">
        <v>42278</v>
      </c>
      <c r="H802" s="379">
        <v>21205.9</v>
      </c>
      <c r="I802" s="379">
        <v>752.81</v>
      </c>
      <c r="J802" s="379">
        <v>4189.13</v>
      </c>
      <c r="K802" s="379">
        <v>1590.4</v>
      </c>
      <c r="L802" s="379"/>
      <c r="M802" s="379">
        <v>78.25</v>
      </c>
      <c r="N802" s="379"/>
      <c r="O802" s="379">
        <v>19555.3</v>
      </c>
      <c r="P802" s="379"/>
      <c r="Q802" s="379">
        <v>863.44</v>
      </c>
      <c r="R802" s="379"/>
      <c r="S802" s="379"/>
      <c r="T802" s="379"/>
      <c r="U802" s="379">
        <v>787.16</v>
      </c>
      <c r="V802" s="380">
        <v>27816.49</v>
      </c>
      <c r="W802" s="381">
        <v>3.5329999999999999</v>
      </c>
      <c r="X802" s="379"/>
      <c r="Y802" s="379"/>
      <c r="Z802" s="379">
        <v>1422001</v>
      </c>
      <c r="AA802" s="379" t="s">
        <v>2648</v>
      </c>
      <c r="AB802" s="380">
        <f t="shared" si="11"/>
        <v>0.29441666666666666</v>
      </c>
    </row>
    <row r="803" spans="1:28" outlineLevel="2" x14ac:dyDescent="0.3">
      <c r="A803" s="379">
        <v>654</v>
      </c>
      <c r="B803" s="379">
        <v>817820</v>
      </c>
      <c r="C803" s="379" t="s">
        <v>505</v>
      </c>
      <c r="D803" s="379">
        <v>3466679</v>
      </c>
      <c r="E803" s="379" t="s">
        <v>3016</v>
      </c>
      <c r="F803" s="379" t="s">
        <v>2728</v>
      </c>
      <c r="G803" s="383">
        <v>41456</v>
      </c>
      <c r="H803" s="379">
        <v>13877.35</v>
      </c>
      <c r="I803" s="379">
        <v>508.22</v>
      </c>
      <c r="J803" s="379">
        <v>1701.11</v>
      </c>
      <c r="K803" s="379">
        <v>1040.81</v>
      </c>
      <c r="L803" s="379"/>
      <c r="M803" s="379">
        <v>35.51</v>
      </c>
      <c r="N803" s="379"/>
      <c r="O803" s="379">
        <v>12600.73</v>
      </c>
      <c r="P803" s="379"/>
      <c r="Q803" s="379">
        <v>615.79999999999995</v>
      </c>
      <c r="R803" s="379"/>
      <c r="S803" s="379"/>
      <c r="T803" s="379"/>
      <c r="U803" s="379">
        <v>660.82</v>
      </c>
      <c r="V803" s="380">
        <v>17163</v>
      </c>
      <c r="W803" s="381">
        <v>2.097</v>
      </c>
      <c r="X803" s="379"/>
      <c r="Y803" s="379"/>
      <c r="Z803" s="379">
        <v>1401202</v>
      </c>
      <c r="AA803" s="379" t="s">
        <v>2380</v>
      </c>
      <c r="AB803" s="380">
        <f t="shared" si="11"/>
        <v>0.17474999999999999</v>
      </c>
    </row>
    <row r="804" spans="1:28" outlineLevel="2" x14ac:dyDescent="0.3">
      <c r="A804" s="379">
        <v>654</v>
      </c>
      <c r="B804" s="379">
        <v>817820</v>
      </c>
      <c r="C804" s="379" t="s">
        <v>505</v>
      </c>
      <c r="D804" s="379">
        <v>3655494</v>
      </c>
      <c r="E804" s="379" t="s">
        <v>2792</v>
      </c>
      <c r="F804" s="379" t="s">
        <v>2793</v>
      </c>
      <c r="G804" s="383">
        <v>42826</v>
      </c>
      <c r="H804" s="379">
        <v>3467.75</v>
      </c>
      <c r="I804" s="379">
        <v>123.1</v>
      </c>
      <c r="J804" s="379">
        <v>448.04</v>
      </c>
      <c r="K804" s="379">
        <v>260.07</v>
      </c>
      <c r="L804" s="379"/>
      <c r="M804" s="379"/>
      <c r="N804" s="379"/>
      <c r="O804" s="379"/>
      <c r="P804" s="379">
        <v>3318.75</v>
      </c>
      <c r="Q804" s="379">
        <v>149</v>
      </c>
      <c r="R804" s="379"/>
      <c r="S804" s="379"/>
      <c r="T804" s="379"/>
      <c r="U804" s="379"/>
      <c r="V804" s="380">
        <v>4298.96</v>
      </c>
      <c r="W804" s="381"/>
      <c r="X804" s="379"/>
      <c r="Y804" s="379"/>
      <c r="Z804" s="379">
        <v>1027</v>
      </c>
      <c r="AA804" s="379" t="s">
        <v>2383</v>
      </c>
      <c r="AB804" s="380">
        <f t="shared" si="11"/>
        <v>0</v>
      </c>
    </row>
    <row r="805" spans="1:28" outlineLevel="2" x14ac:dyDescent="0.3">
      <c r="A805" s="379">
        <v>654</v>
      </c>
      <c r="B805" s="379">
        <v>817820</v>
      </c>
      <c r="C805" s="379" t="s">
        <v>505</v>
      </c>
      <c r="D805" s="379">
        <v>3655857</v>
      </c>
      <c r="E805" s="379" t="s">
        <v>3075</v>
      </c>
      <c r="F805" s="379" t="s">
        <v>3076</v>
      </c>
      <c r="G805" s="383">
        <v>43739</v>
      </c>
      <c r="H805" s="379">
        <v>18574.77</v>
      </c>
      <c r="I805" s="379">
        <v>675.11</v>
      </c>
      <c r="J805" s="379">
        <v>2294.7600000000002</v>
      </c>
      <c r="K805" s="379">
        <v>1393.15</v>
      </c>
      <c r="L805" s="379"/>
      <c r="M805" s="379">
        <v>68</v>
      </c>
      <c r="N805" s="379"/>
      <c r="O805" s="379">
        <v>16998.240000000002</v>
      </c>
      <c r="P805" s="379"/>
      <c r="Q805" s="379">
        <v>662.02</v>
      </c>
      <c r="R805" s="379"/>
      <c r="S805" s="379"/>
      <c r="T805" s="379"/>
      <c r="U805" s="379">
        <v>914.51</v>
      </c>
      <c r="V805" s="380">
        <v>23005.79</v>
      </c>
      <c r="W805" s="381">
        <v>2.903</v>
      </c>
      <c r="X805" s="379"/>
      <c r="Y805" s="379"/>
      <c r="Z805" s="379">
        <v>1401202</v>
      </c>
      <c r="AA805" s="379" t="s">
        <v>2380</v>
      </c>
      <c r="AB805" s="380">
        <f t="shared" si="11"/>
        <v>0.24191666666666667</v>
      </c>
    </row>
    <row r="806" spans="1:28" outlineLevel="2" x14ac:dyDescent="0.3">
      <c r="A806" s="379">
        <v>654</v>
      </c>
      <c r="B806" s="379">
        <v>817820</v>
      </c>
      <c r="C806" s="379" t="s">
        <v>505</v>
      </c>
      <c r="D806" s="379">
        <v>3822957</v>
      </c>
      <c r="E806" s="379" t="s">
        <v>2516</v>
      </c>
      <c r="F806" s="379" t="s">
        <v>2376</v>
      </c>
      <c r="G806" s="383">
        <v>41091</v>
      </c>
      <c r="H806" s="379">
        <v>19053.599999999999</v>
      </c>
      <c r="I806" s="379">
        <v>676.42</v>
      </c>
      <c r="J806" s="379">
        <v>3859.12</v>
      </c>
      <c r="K806" s="379">
        <v>1429</v>
      </c>
      <c r="L806" s="379"/>
      <c r="M806" s="379">
        <v>72.7</v>
      </c>
      <c r="N806" s="379"/>
      <c r="O806" s="379">
        <v>18165.400000000001</v>
      </c>
      <c r="P806" s="379"/>
      <c r="Q806" s="379">
        <v>888.2</v>
      </c>
      <c r="R806" s="379"/>
      <c r="S806" s="379"/>
      <c r="T806" s="379"/>
      <c r="U806" s="379"/>
      <c r="V806" s="380">
        <v>25090.84</v>
      </c>
      <c r="W806" s="381">
        <v>3.008</v>
      </c>
      <c r="X806" s="379">
        <v>12107</v>
      </c>
      <c r="Y806" s="379" t="s">
        <v>2801</v>
      </c>
      <c r="Z806" s="379">
        <v>1422001</v>
      </c>
      <c r="AA806" s="379" t="s">
        <v>2648</v>
      </c>
      <c r="AB806" s="380">
        <f t="shared" si="11"/>
        <v>0.25066666666666665</v>
      </c>
    </row>
    <row r="807" spans="1:28" outlineLevel="2" x14ac:dyDescent="0.3">
      <c r="A807" s="379">
        <v>654</v>
      </c>
      <c r="B807" s="379">
        <v>817820</v>
      </c>
      <c r="C807" s="379" t="s">
        <v>505</v>
      </c>
      <c r="D807" s="379">
        <v>3826193</v>
      </c>
      <c r="E807" s="379" t="s">
        <v>2777</v>
      </c>
      <c r="F807" s="379" t="s">
        <v>3061</v>
      </c>
      <c r="G807" s="383">
        <v>40422</v>
      </c>
      <c r="H807" s="379">
        <v>21574.01</v>
      </c>
      <c r="I807" s="379">
        <v>765.87</v>
      </c>
      <c r="J807" s="379">
        <v>4386</v>
      </c>
      <c r="K807" s="379">
        <v>1618</v>
      </c>
      <c r="L807" s="379"/>
      <c r="M807" s="379">
        <v>82.65</v>
      </c>
      <c r="N807" s="379"/>
      <c r="O807" s="379">
        <v>20670.650000000001</v>
      </c>
      <c r="P807" s="379"/>
      <c r="Q807" s="379">
        <v>903.36</v>
      </c>
      <c r="R807" s="379"/>
      <c r="S807" s="379"/>
      <c r="T807" s="379"/>
      <c r="U807" s="379"/>
      <c r="V807" s="380">
        <v>28426.53</v>
      </c>
      <c r="W807" s="381">
        <v>3.32</v>
      </c>
      <c r="X807" s="379"/>
      <c r="Y807" s="379"/>
      <c r="Z807" s="379">
        <v>1401202</v>
      </c>
      <c r="AA807" s="379" t="s">
        <v>2380</v>
      </c>
      <c r="AB807" s="380">
        <f t="shared" si="11"/>
        <v>0.27666666666666667</v>
      </c>
    </row>
    <row r="808" spans="1:28" outlineLevel="2" x14ac:dyDescent="0.3">
      <c r="A808" s="379">
        <v>654</v>
      </c>
      <c r="B808" s="379">
        <v>817820</v>
      </c>
      <c r="C808" s="379" t="s">
        <v>505</v>
      </c>
      <c r="D808" s="379">
        <v>4324687</v>
      </c>
      <c r="E808" s="379" t="s">
        <v>2457</v>
      </c>
      <c r="F808" s="379" t="s">
        <v>2872</v>
      </c>
      <c r="G808" s="383">
        <v>42614</v>
      </c>
      <c r="H808" s="379">
        <v>21341.39</v>
      </c>
      <c r="I808" s="379">
        <v>757.62</v>
      </c>
      <c r="J808" s="379">
        <v>4298.95</v>
      </c>
      <c r="K808" s="379">
        <v>1600.65</v>
      </c>
      <c r="L808" s="379"/>
      <c r="M808" s="379">
        <v>81.849999999999994</v>
      </c>
      <c r="N808" s="379"/>
      <c r="O808" s="379">
        <v>20471.07</v>
      </c>
      <c r="P808" s="379"/>
      <c r="Q808" s="379">
        <v>870.32</v>
      </c>
      <c r="R808" s="379"/>
      <c r="S808" s="379"/>
      <c r="T808" s="379"/>
      <c r="U808" s="379"/>
      <c r="V808" s="380">
        <v>28080.46</v>
      </c>
      <c r="W808" s="381">
        <v>3.52</v>
      </c>
      <c r="X808" s="379"/>
      <c r="Y808" s="379"/>
      <c r="Z808" s="379">
        <v>1422001</v>
      </c>
      <c r="AA808" s="379" t="s">
        <v>2648</v>
      </c>
      <c r="AB808" s="380">
        <f t="shared" si="11"/>
        <v>0.29333333333333333</v>
      </c>
    </row>
    <row r="809" spans="1:28" outlineLevel="2" x14ac:dyDescent="0.3">
      <c r="A809" s="379">
        <v>654</v>
      </c>
      <c r="B809" s="379">
        <v>817820</v>
      </c>
      <c r="C809" s="379" t="s">
        <v>505</v>
      </c>
      <c r="D809" s="379">
        <v>4917220</v>
      </c>
      <c r="E809" s="379" t="s">
        <v>2600</v>
      </c>
      <c r="F809" s="379" t="s">
        <v>2755</v>
      </c>
      <c r="G809" s="383">
        <v>42917</v>
      </c>
      <c r="H809" s="379">
        <v>24875</v>
      </c>
      <c r="I809" s="379">
        <v>918.62</v>
      </c>
      <c r="J809" s="379">
        <v>5032.9799999999996</v>
      </c>
      <c r="K809" s="379">
        <v>1865.7</v>
      </c>
      <c r="L809" s="379"/>
      <c r="M809" s="379">
        <v>95.9</v>
      </c>
      <c r="N809" s="379"/>
      <c r="O809" s="379">
        <v>22682.57</v>
      </c>
      <c r="P809" s="379">
        <v>1284</v>
      </c>
      <c r="Q809" s="379">
        <v>908.43</v>
      </c>
      <c r="R809" s="379"/>
      <c r="S809" s="379"/>
      <c r="T809" s="379"/>
      <c r="U809" s="379"/>
      <c r="V809" s="380">
        <v>32788.199999999997</v>
      </c>
      <c r="W809" s="381">
        <v>3.9140000000000001</v>
      </c>
      <c r="X809" s="379"/>
      <c r="Y809" s="379"/>
      <c r="Z809" s="379">
        <v>1422001</v>
      </c>
      <c r="AA809" s="379" t="s">
        <v>2648</v>
      </c>
      <c r="AB809" s="380">
        <f t="shared" si="11"/>
        <v>0.32616666666666666</v>
      </c>
    </row>
    <row r="810" spans="1:28" outlineLevel="2" x14ac:dyDescent="0.3">
      <c r="A810" s="379">
        <v>654</v>
      </c>
      <c r="B810" s="379">
        <v>817820</v>
      </c>
      <c r="C810" s="379" t="s">
        <v>505</v>
      </c>
      <c r="D810" s="379">
        <v>5429071</v>
      </c>
      <c r="E810" s="379" t="s">
        <v>2355</v>
      </c>
      <c r="F810" s="379" t="s">
        <v>2709</v>
      </c>
      <c r="G810" s="383">
        <v>43070</v>
      </c>
      <c r="H810" s="379">
        <v>206.5</v>
      </c>
      <c r="I810" s="379">
        <v>6.71</v>
      </c>
      <c r="J810" s="379">
        <v>27.87</v>
      </c>
      <c r="K810" s="379">
        <v>15.49</v>
      </c>
      <c r="L810" s="379"/>
      <c r="M810" s="379"/>
      <c r="N810" s="379"/>
      <c r="O810" s="379"/>
      <c r="P810" s="379">
        <v>206.5</v>
      </c>
      <c r="Q810" s="379"/>
      <c r="R810" s="379"/>
      <c r="S810" s="379"/>
      <c r="T810" s="379"/>
      <c r="U810" s="379"/>
      <c r="V810" s="380">
        <v>256.57</v>
      </c>
      <c r="W810" s="381"/>
      <c r="X810" s="379"/>
      <c r="Y810" s="379"/>
      <c r="Z810" s="379">
        <v>1401202</v>
      </c>
      <c r="AA810" s="379" t="s">
        <v>2380</v>
      </c>
      <c r="AB810" s="380">
        <f t="shared" si="11"/>
        <v>0</v>
      </c>
    </row>
    <row r="811" spans="1:28" outlineLevel="2" x14ac:dyDescent="0.3">
      <c r="A811" s="379">
        <v>654</v>
      </c>
      <c r="B811" s="379">
        <v>817820</v>
      </c>
      <c r="C811" s="379" t="s">
        <v>505</v>
      </c>
      <c r="D811" s="379">
        <v>5829453</v>
      </c>
      <c r="E811" s="379" t="s">
        <v>2722</v>
      </c>
      <c r="F811" s="379" t="s">
        <v>2644</v>
      </c>
      <c r="G811" s="383">
        <v>41640</v>
      </c>
      <c r="H811" s="379">
        <v>3187.5</v>
      </c>
      <c r="I811" s="379">
        <v>113.16</v>
      </c>
      <c r="J811" s="379">
        <v>410.2</v>
      </c>
      <c r="K811" s="379">
        <v>239.05</v>
      </c>
      <c r="L811" s="379"/>
      <c r="M811" s="379"/>
      <c r="N811" s="379"/>
      <c r="O811" s="379"/>
      <c r="P811" s="379">
        <v>3038.5</v>
      </c>
      <c r="Q811" s="379">
        <v>149</v>
      </c>
      <c r="R811" s="379"/>
      <c r="S811" s="379"/>
      <c r="T811" s="379"/>
      <c r="U811" s="379"/>
      <c r="V811" s="380">
        <v>3949.91</v>
      </c>
      <c r="W811" s="381"/>
      <c r="X811" s="379"/>
      <c r="Y811" s="379"/>
      <c r="Z811" s="379">
        <v>1401202</v>
      </c>
      <c r="AA811" s="379" t="s">
        <v>2380</v>
      </c>
      <c r="AB811" s="380">
        <f t="shared" si="11"/>
        <v>0</v>
      </c>
    </row>
    <row r="812" spans="1:28" outlineLevel="2" x14ac:dyDescent="0.3">
      <c r="A812" s="379">
        <v>654</v>
      </c>
      <c r="B812" s="379">
        <v>817820</v>
      </c>
      <c r="C812" s="379" t="s">
        <v>505</v>
      </c>
      <c r="D812" s="379">
        <v>5905876</v>
      </c>
      <c r="E812" s="379" t="s">
        <v>2340</v>
      </c>
      <c r="F812" s="379" t="s">
        <v>2843</v>
      </c>
      <c r="G812" s="383">
        <v>35004</v>
      </c>
      <c r="H812" s="379">
        <v>28702.560000000001</v>
      </c>
      <c r="I812" s="379">
        <v>1182.8</v>
      </c>
      <c r="J812" s="379">
        <v>2588.2399999999998</v>
      </c>
      <c r="K812" s="379">
        <v>2152.6</v>
      </c>
      <c r="L812" s="379"/>
      <c r="M812" s="379">
        <v>111.2</v>
      </c>
      <c r="N812" s="379"/>
      <c r="O812" s="379">
        <v>26777.599999999999</v>
      </c>
      <c r="P812" s="379"/>
      <c r="Q812" s="379">
        <v>1924.96</v>
      </c>
      <c r="R812" s="379"/>
      <c r="S812" s="379"/>
      <c r="T812" s="379"/>
      <c r="U812" s="379"/>
      <c r="V812" s="380">
        <v>34737.4</v>
      </c>
      <c r="W812" s="381">
        <v>3.6</v>
      </c>
      <c r="X812" s="379">
        <v>8</v>
      </c>
      <c r="Y812" s="379" t="s">
        <v>2383</v>
      </c>
      <c r="Z812" s="379">
        <v>1401202</v>
      </c>
      <c r="AA812" s="379" t="s">
        <v>2380</v>
      </c>
      <c r="AB812" s="380">
        <f t="shared" si="11"/>
        <v>0.3</v>
      </c>
    </row>
    <row r="813" spans="1:28" outlineLevel="2" x14ac:dyDescent="0.3">
      <c r="A813" s="379">
        <v>654</v>
      </c>
      <c r="B813" s="379">
        <v>817820</v>
      </c>
      <c r="C813" s="379" t="s">
        <v>505</v>
      </c>
      <c r="D813" s="379">
        <v>6778560</v>
      </c>
      <c r="E813" s="379" t="s">
        <v>3066</v>
      </c>
      <c r="F813" s="379" t="s">
        <v>2349</v>
      </c>
      <c r="G813" s="383">
        <v>40057</v>
      </c>
      <c r="H813" s="379">
        <v>25350.68</v>
      </c>
      <c r="I813" s="379">
        <v>859.43</v>
      </c>
      <c r="J813" s="379">
        <v>5173.84</v>
      </c>
      <c r="K813" s="379">
        <v>1901.3</v>
      </c>
      <c r="L813" s="379"/>
      <c r="M813" s="379">
        <v>97.7</v>
      </c>
      <c r="N813" s="379"/>
      <c r="O813" s="379">
        <v>24414.28</v>
      </c>
      <c r="P813" s="379"/>
      <c r="Q813" s="379">
        <v>936.4</v>
      </c>
      <c r="R813" s="379"/>
      <c r="S813" s="379"/>
      <c r="T813" s="379"/>
      <c r="U813" s="379"/>
      <c r="V813" s="380">
        <v>33382.949999999997</v>
      </c>
      <c r="W813" s="381">
        <v>4</v>
      </c>
      <c r="X813" s="379"/>
      <c r="Y813" s="379"/>
      <c r="Z813" s="379">
        <v>1422001</v>
      </c>
      <c r="AA813" s="379" t="s">
        <v>2648</v>
      </c>
      <c r="AB813" s="380">
        <f t="shared" si="11"/>
        <v>0.33333333333333331</v>
      </c>
    </row>
    <row r="814" spans="1:28" outlineLevel="2" x14ac:dyDescent="0.3">
      <c r="A814" s="379">
        <v>654</v>
      </c>
      <c r="B814" s="379">
        <v>817820</v>
      </c>
      <c r="C814" s="379" t="s">
        <v>505</v>
      </c>
      <c r="D814" s="379">
        <v>6815187</v>
      </c>
      <c r="E814" s="379" t="s">
        <v>2736</v>
      </c>
      <c r="F814" s="379" t="s">
        <v>2737</v>
      </c>
      <c r="G814" s="383">
        <v>38292</v>
      </c>
      <c r="H814" s="379">
        <v>26631.31</v>
      </c>
      <c r="I814" s="379">
        <v>1025.4100000000001</v>
      </c>
      <c r="J814" s="379">
        <v>5396.68</v>
      </c>
      <c r="K814" s="379">
        <v>1997.35</v>
      </c>
      <c r="L814" s="379"/>
      <c r="M814" s="379">
        <v>101.6</v>
      </c>
      <c r="N814" s="379"/>
      <c r="O814" s="379">
        <v>25705.11</v>
      </c>
      <c r="P814" s="379"/>
      <c r="Q814" s="379">
        <v>926.2</v>
      </c>
      <c r="R814" s="379"/>
      <c r="S814" s="379"/>
      <c r="T814" s="379"/>
      <c r="U814" s="379"/>
      <c r="V814" s="380">
        <v>35152.35</v>
      </c>
      <c r="W814" s="381">
        <v>3.79</v>
      </c>
      <c r="X814" s="379"/>
      <c r="Y814" s="379"/>
      <c r="Z814" s="379">
        <v>5821001</v>
      </c>
      <c r="AA814" s="379" t="s">
        <v>2427</v>
      </c>
      <c r="AB814" s="380">
        <f t="shared" si="11"/>
        <v>0.31583333333333335</v>
      </c>
    </row>
    <row r="815" spans="1:28" outlineLevel="2" x14ac:dyDescent="0.3">
      <c r="A815" s="379">
        <v>654</v>
      </c>
      <c r="B815" s="379">
        <v>817820</v>
      </c>
      <c r="C815" s="379" t="s">
        <v>505</v>
      </c>
      <c r="D815" s="379">
        <v>30548827</v>
      </c>
      <c r="E815" s="379" t="s">
        <v>2858</v>
      </c>
      <c r="F815" s="379" t="s">
        <v>2859</v>
      </c>
      <c r="G815" s="383">
        <v>42979</v>
      </c>
      <c r="H815" s="379">
        <v>10306.41</v>
      </c>
      <c r="I815" s="379">
        <v>365.93</v>
      </c>
      <c r="J815" s="379">
        <v>1391.34</v>
      </c>
      <c r="K815" s="379">
        <v>773</v>
      </c>
      <c r="L815" s="379"/>
      <c r="M815" s="379"/>
      <c r="N815" s="379"/>
      <c r="O815" s="379">
        <v>10306.41</v>
      </c>
      <c r="P815" s="379"/>
      <c r="Q815" s="379"/>
      <c r="R815" s="379"/>
      <c r="S815" s="379"/>
      <c r="T815" s="379"/>
      <c r="U815" s="379"/>
      <c r="V815" s="380">
        <v>12836.68</v>
      </c>
      <c r="W815" s="381">
        <v>1.718</v>
      </c>
      <c r="X815" s="379"/>
      <c r="Y815" s="379"/>
      <c r="Z815" s="379">
        <v>1401202</v>
      </c>
      <c r="AA815" s="379" t="s">
        <v>2380</v>
      </c>
      <c r="AB815" s="380">
        <f t="shared" si="11"/>
        <v>0.14316666666666666</v>
      </c>
    </row>
    <row r="816" spans="1:28" outlineLevel="2" x14ac:dyDescent="0.3">
      <c r="A816" s="379">
        <v>654</v>
      </c>
      <c r="B816" s="379">
        <v>817820</v>
      </c>
      <c r="C816" s="379" t="s">
        <v>505</v>
      </c>
      <c r="D816" s="379">
        <v>30571765</v>
      </c>
      <c r="E816" s="379" t="s">
        <v>2574</v>
      </c>
      <c r="F816" s="379" t="s">
        <v>2748</v>
      </c>
      <c r="G816" s="383">
        <v>43435</v>
      </c>
      <c r="H816" s="379">
        <v>147.5</v>
      </c>
      <c r="I816" s="379">
        <v>5.6</v>
      </c>
      <c r="J816" s="379"/>
      <c r="K816" s="379">
        <v>11.06</v>
      </c>
      <c r="L816" s="379"/>
      <c r="M816" s="379"/>
      <c r="N816" s="379"/>
      <c r="O816" s="379"/>
      <c r="P816" s="379">
        <v>147.5</v>
      </c>
      <c r="Q816" s="379"/>
      <c r="R816" s="379"/>
      <c r="S816" s="379"/>
      <c r="T816" s="379"/>
      <c r="U816" s="379"/>
      <c r="V816" s="380">
        <v>164.16</v>
      </c>
      <c r="W816" s="381"/>
      <c r="X816" s="379"/>
      <c r="Y816" s="379"/>
      <c r="Z816" s="379">
        <v>1401202</v>
      </c>
      <c r="AA816" s="379" t="s">
        <v>2380</v>
      </c>
      <c r="AB816" s="380">
        <f t="shared" si="11"/>
        <v>0</v>
      </c>
    </row>
    <row r="817" spans="1:28" outlineLevel="2" x14ac:dyDescent="0.3">
      <c r="A817" s="379">
        <v>654</v>
      </c>
      <c r="B817" s="379">
        <v>817820</v>
      </c>
      <c r="C817" s="379" t="s">
        <v>505</v>
      </c>
      <c r="D817" s="379">
        <v>32152498</v>
      </c>
      <c r="E817" s="379" t="s">
        <v>2779</v>
      </c>
      <c r="F817" s="379" t="s">
        <v>2780</v>
      </c>
      <c r="G817" s="383">
        <v>43466</v>
      </c>
      <c r="H817" s="379">
        <v>460.18</v>
      </c>
      <c r="I817" s="379">
        <v>16.329999999999998</v>
      </c>
      <c r="J817" s="379">
        <v>62.19</v>
      </c>
      <c r="K817" s="379">
        <v>34.51</v>
      </c>
      <c r="L817" s="379"/>
      <c r="M817" s="379">
        <v>1.83</v>
      </c>
      <c r="N817" s="379"/>
      <c r="O817" s="379"/>
      <c r="P817" s="379">
        <v>460.18</v>
      </c>
      <c r="Q817" s="379"/>
      <c r="R817" s="379"/>
      <c r="S817" s="379"/>
      <c r="T817" s="379"/>
      <c r="U817" s="379"/>
      <c r="V817" s="380">
        <v>575.04</v>
      </c>
      <c r="W817" s="381"/>
      <c r="X817" s="379"/>
      <c r="Y817" s="379"/>
      <c r="Z817" s="379">
        <v>5821001</v>
      </c>
      <c r="AA817" s="379" t="s">
        <v>2427</v>
      </c>
      <c r="AB817" s="380">
        <f t="shared" si="11"/>
        <v>0</v>
      </c>
    </row>
    <row r="818" spans="1:28" outlineLevel="1" x14ac:dyDescent="0.3">
      <c r="A818" s="379"/>
      <c r="B818" s="384" t="s">
        <v>3077</v>
      </c>
      <c r="C818" s="379"/>
      <c r="D818" s="379"/>
      <c r="E818" s="379"/>
      <c r="F818" s="379"/>
      <c r="G818" s="383"/>
      <c r="H818" s="379"/>
      <c r="I818" s="379"/>
      <c r="J818" s="379"/>
      <c r="K818" s="379"/>
      <c r="L818" s="379"/>
      <c r="M818" s="379"/>
      <c r="N818" s="379"/>
      <c r="O818" s="379"/>
      <c r="P818" s="379"/>
      <c r="Q818" s="379"/>
      <c r="R818" s="379"/>
      <c r="S818" s="379"/>
      <c r="T818" s="379"/>
      <c r="U818" s="379"/>
      <c r="V818" s="380">
        <f>SUBTOTAL(9,V792:V817)</f>
        <v>547107.73000000021</v>
      </c>
      <c r="W818" s="381">
        <f>SUBTOTAL(9,W792:W817)</f>
        <v>63.779000000000011</v>
      </c>
      <c r="X818" s="379"/>
      <c r="Y818" s="379"/>
      <c r="Z818" s="379"/>
      <c r="AA818" s="379"/>
      <c r="AB818" s="380">
        <f>SUBTOTAL(9,AB792:AB817)</f>
        <v>5.3149166666666661</v>
      </c>
    </row>
    <row r="819" spans="1:28" outlineLevel="2" x14ac:dyDescent="0.3">
      <c r="A819" s="379">
        <v>654</v>
      </c>
      <c r="B819" s="379">
        <v>817910</v>
      </c>
      <c r="C819" s="379" t="s">
        <v>3078</v>
      </c>
      <c r="D819" s="379">
        <v>2458109</v>
      </c>
      <c r="E819" s="379" t="s">
        <v>3079</v>
      </c>
      <c r="F819" s="379" t="s">
        <v>2366</v>
      </c>
      <c r="G819" s="383">
        <v>43101</v>
      </c>
      <c r="H819" s="379">
        <v>28340.5</v>
      </c>
      <c r="I819" s="379">
        <v>1006.09</v>
      </c>
      <c r="J819" s="379">
        <v>3670.86</v>
      </c>
      <c r="K819" s="379">
        <v>2125.65</v>
      </c>
      <c r="L819" s="379"/>
      <c r="M819" s="379"/>
      <c r="N819" s="379"/>
      <c r="O819" s="379"/>
      <c r="P819" s="379">
        <v>25680</v>
      </c>
      <c r="Q819" s="379">
        <v>1149</v>
      </c>
      <c r="R819" s="379"/>
      <c r="S819" s="379"/>
      <c r="T819" s="379">
        <v>1511.5</v>
      </c>
      <c r="U819" s="379"/>
      <c r="V819" s="380">
        <v>35143.1</v>
      </c>
      <c r="W819" s="381"/>
      <c r="X819" s="379"/>
      <c r="Y819" s="379"/>
      <c r="Z819" s="379">
        <v>1031001</v>
      </c>
      <c r="AA819" s="379" t="s">
        <v>2328</v>
      </c>
      <c r="AB819" s="380">
        <f t="shared" si="11"/>
        <v>0</v>
      </c>
    </row>
    <row r="820" spans="1:28" outlineLevel="2" x14ac:dyDescent="0.3">
      <c r="A820" s="379">
        <v>654</v>
      </c>
      <c r="B820" s="379">
        <v>817910</v>
      </c>
      <c r="C820" s="379" t="s">
        <v>3078</v>
      </c>
      <c r="D820" s="379">
        <v>2459492</v>
      </c>
      <c r="E820" s="379" t="s">
        <v>3080</v>
      </c>
      <c r="F820" s="379" t="s">
        <v>3009</v>
      </c>
      <c r="G820" s="383">
        <v>40787</v>
      </c>
      <c r="H820" s="379">
        <v>19332.5</v>
      </c>
      <c r="I820" s="379">
        <v>778.95</v>
      </c>
      <c r="J820" s="379">
        <v>2609.89</v>
      </c>
      <c r="K820" s="379">
        <v>1645.7</v>
      </c>
      <c r="L820" s="379"/>
      <c r="M820" s="379"/>
      <c r="N820" s="379"/>
      <c r="O820" s="379"/>
      <c r="P820" s="379">
        <v>17840</v>
      </c>
      <c r="Q820" s="379"/>
      <c r="R820" s="379"/>
      <c r="S820" s="379"/>
      <c r="T820" s="379">
        <v>1492.5</v>
      </c>
      <c r="U820" s="379"/>
      <c r="V820" s="380">
        <v>24367.040000000001</v>
      </c>
      <c r="W820" s="381"/>
      <c r="X820" s="379"/>
      <c r="Y820" s="379"/>
      <c r="Z820" s="379">
        <v>1031001</v>
      </c>
      <c r="AA820" s="379" t="s">
        <v>2328</v>
      </c>
      <c r="AB820" s="380">
        <f t="shared" si="11"/>
        <v>0</v>
      </c>
    </row>
    <row r="821" spans="1:28" outlineLevel="2" x14ac:dyDescent="0.3">
      <c r="A821" s="379">
        <v>654</v>
      </c>
      <c r="B821" s="379">
        <v>817910</v>
      </c>
      <c r="C821" s="379" t="s">
        <v>3078</v>
      </c>
      <c r="D821" s="379">
        <v>2887548</v>
      </c>
      <c r="E821" s="379" t="s">
        <v>2546</v>
      </c>
      <c r="F821" s="379" t="s">
        <v>2887</v>
      </c>
      <c r="G821" s="383">
        <v>41671</v>
      </c>
      <c r="H821" s="379">
        <v>1089.47</v>
      </c>
      <c r="I821" s="379">
        <v>54.89</v>
      </c>
      <c r="J821" s="379">
        <v>228.82</v>
      </c>
      <c r="K821" s="379">
        <v>81.73</v>
      </c>
      <c r="L821" s="379"/>
      <c r="M821" s="379">
        <v>3.82</v>
      </c>
      <c r="N821" s="379"/>
      <c r="O821" s="379">
        <v>950.87</v>
      </c>
      <c r="P821" s="379"/>
      <c r="Q821" s="379"/>
      <c r="R821" s="379"/>
      <c r="S821" s="379"/>
      <c r="T821" s="379">
        <v>138.6</v>
      </c>
      <c r="U821" s="379"/>
      <c r="V821" s="380">
        <v>1458.73</v>
      </c>
      <c r="W821" s="381">
        <v>0.152</v>
      </c>
      <c r="X821" s="379"/>
      <c r="Y821" s="379"/>
      <c r="Z821" s="379">
        <v>1027</v>
      </c>
      <c r="AA821" s="379" t="s">
        <v>2383</v>
      </c>
      <c r="AB821" s="380">
        <f t="shared" si="11"/>
        <v>1.2666666666666666E-2</v>
      </c>
    </row>
    <row r="822" spans="1:28" outlineLevel="2" x14ac:dyDescent="0.3">
      <c r="A822" s="379">
        <v>654</v>
      </c>
      <c r="B822" s="379">
        <v>817910</v>
      </c>
      <c r="C822" s="379" t="s">
        <v>3078</v>
      </c>
      <c r="D822" s="379">
        <v>3290147</v>
      </c>
      <c r="E822" s="379" t="s">
        <v>2318</v>
      </c>
      <c r="F822" s="379" t="s">
        <v>2951</v>
      </c>
      <c r="G822" s="383">
        <v>41883</v>
      </c>
      <c r="H822" s="379">
        <v>13060</v>
      </c>
      <c r="I822" s="379">
        <v>463.63</v>
      </c>
      <c r="J822" s="379">
        <v>1680.08</v>
      </c>
      <c r="K822" s="379">
        <v>979.6</v>
      </c>
      <c r="L822" s="379"/>
      <c r="M822" s="379"/>
      <c r="N822" s="379"/>
      <c r="O822" s="379"/>
      <c r="P822" s="379">
        <v>12445</v>
      </c>
      <c r="Q822" s="379">
        <v>615</v>
      </c>
      <c r="R822" s="379"/>
      <c r="S822" s="379"/>
      <c r="T822" s="379"/>
      <c r="U822" s="379"/>
      <c r="V822" s="380">
        <v>16183.31</v>
      </c>
      <c r="W822" s="381"/>
      <c r="X822" s="379"/>
      <c r="Y822" s="379"/>
      <c r="Z822" s="379">
        <v>1031001</v>
      </c>
      <c r="AA822" s="379" t="s">
        <v>2328</v>
      </c>
      <c r="AB822" s="380">
        <f t="shared" si="11"/>
        <v>0</v>
      </c>
    </row>
    <row r="823" spans="1:28" outlineLevel="2" x14ac:dyDescent="0.3">
      <c r="A823" s="379">
        <v>654</v>
      </c>
      <c r="B823" s="379">
        <v>817910</v>
      </c>
      <c r="C823" s="379" t="s">
        <v>3078</v>
      </c>
      <c r="D823" s="379">
        <v>5547590</v>
      </c>
      <c r="E823" s="379" t="s">
        <v>2645</v>
      </c>
      <c r="F823" s="379" t="s">
        <v>2644</v>
      </c>
      <c r="G823" s="383">
        <v>43101</v>
      </c>
      <c r="H823" s="379">
        <v>23374</v>
      </c>
      <c r="I823" s="379">
        <v>935.79</v>
      </c>
      <c r="J823" s="379">
        <v>2986.2</v>
      </c>
      <c r="K823" s="379">
        <v>1977.08</v>
      </c>
      <c r="L823" s="379"/>
      <c r="M823" s="379"/>
      <c r="N823" s="379"/>
      <c r="O823" s="379">
        <v>0</v>
      </c>
      <c r="P823" s="379">
        <v>22120</v>
      </c>
      <c r="Q823" s="379">
        <v>1254</v>
      </c>
      <c r="R823" s="379"/>
      <c r="S823" s="379"/>
      <c r="T823" s="379"/>
      <c r="U823" s="379"/>
      <c r="V823" s="380">
        <v>29273.07</v>
      </c>
      <c r="W823" s="381"/>
      <c r="X823" s="379"/>
      <c r="Y823" s="379"/>
      <c r="Z823" s="379">
        <v>931001</v>
      </c>
      <c r="AA823" s="379" t="s">
        <v>2667</v>
      </c>
      <c r="AB823" s="380">
        <f t="shared" si="11"/>
        <v>0</v>
      </c>
    </row>
    <row r="824" spans="1:28" outlineLevel="2" x14ac:dyDescent="0.3">
      <c r="A824" s="379">
        <v>654</v>
      </c>
      <c r="B824" s="379">
        <v>817910</v>
      </c>
      <c r="C824" s="379" t="s">
        <v>3078</v>
      </c>
      <c r="D824" s="379">
        <v>5877546</v>
      </c>
      <c r="E824" s="379" t="s">
        <v>2899</v>
      </c>
      <c r="F824" s="379" t="s">
        <v>2322</v>
      </c>
      <c r="G824" s="383">
        <v>40940</v>
      </c>
      <c r="H824" s="379">
        <v>1145.99</v>
      </c>
      <c r="I824" s="379">
        <v>57.72</v>
      </c>
      <c r="J824" s="379">
        <v>240.68</v>
      </c>
      <c r="K824" s="379">
        <v>85.99</v>
      </c>
      <c r="L824" s="379"/>
      <c r="M824" s="379">
        <v>3.82</v>
      </c>
      <c r="N824" s="379"/>
      <c r="O824" s="379">
        <v>952.49</v>
      </c>
      <c r="P824" s="379"/>
      <c r="Q824" s="379"/>
      <c r="R824" s="379"/>
      <c r="S824" s="379"/>
      <c r="T824" s="379">
        <v>193.5</v>
      </c>
      <c r="U824" s="379"/>
      <c r="V824" s="380">
        <v>1534.2</v>
      </c>
      <c r="W824" s="381">
        <v>0.14799999999999999</v>
      </c>
      <c r="X824" s="379"/>
      <c r="Y824" s="379"/>
      <c r="Z824" s="379">
        <v>1401202</v>
      </c>
      <c r="AA824" s="379" t="s">
        <v>2380</v>
      </c>
      <c r="AB824" s="380">
        <f t="shared" si="11"/>
        <v>1.2333333333333333E-2</v>
      </c>
    </row>
    <row r="825" spans="1:28" outlineLevel="2" x14ac:dyDescent="0.3">
      <c r="A825" s="379">
        <v>654</v>
      </c>
      <c r="B825" s="379">
        <v>817910</v>
      </c>
      <c r="C825" s="379" t="s">
        <v>3078</v>
      </c>
      <c r="D825" s="379">
        <v>30553978</v>
      </c>
      <c r="E825" s="379" t="s">
        <v>2700</v>
      </c>
      <c r="F825" s="379" t="s">
        <v>2945</v>
      </c>
      <c r="G825" s="383">
        <v>41913</v>
      </c>
      <c r="H825" s="379">
        <v>526</v>
      </c>
      <c r="I825" s="379">
        <v>18.670000000000002</v>
      </c>
      <c r="J825" s="379"/>
      <c r="K825" s="379">
        <v>39.450000000000003</v>
      </c>
      <c r="L825" s="379"/>
      <c r="M825" s="379"/>
      <c r="N825" s="379"/>
      <c r="O825" s="379"/>
      <c r="P825" s="379"/>
      <c r="Q825" s="379"/>
      <c r="R825" s="379"/>
      <c r="S825" s="379"/>
      <c r="T825" s="379">
        <v>526</v>
      </c>
      <c r="U825" s="379"/>
      <c r="V825" s="380">
        <v>584.12</v>
      </c>
      <c r="W825" s="381"/>
      <c r="X825" s="379"/>
      <c r="Y825" s="379"/>
      <c r="Z825" s="379">
        <v>1041001</v>
      </c>
      <c r="AA825" s="379" t="s">
        <v>2677</v>
      </c>
      <c r="AB825" s="380">
        <f t="shared" si="11"/>
        <v>0</v>
      </c>
    </row>
    <row r="826" spans="1:28" outlineLevel="2" x14ac:dyDescent="0.3">
      <c r="A826" s="379">
        <v>654</v>
      </c>
      <c r="B826" s="379">
        <v>817910</v>
      </c>
      <c r="C826" s="379" t="s">
        <v>3078</v>
      </c>
      <c r="D826" s="379">
        <v>30846353</v>
      </c>
      <c r="E826" s="379" t="s">
        <v>2749</v>
      </c>
      <c r="F826" s="379" t="s">
        <v>2750</v>
      </c>
      <c r="G826" s="383">
        <v>42979</v>
      </c>
      <c r="H826" s="379">
        <v>23359</v>
      </c>
      <c r="I826" s="379">
        <v>829.25</v>
      </c>
      <c r="J826" s="379">
        <v>3034.79</v>
      </c>
      <c r="K826" s="379">
        <v>1752.02</v>
      </c>
      <c r="L826" s="379"/>
      <c r="M826" s="379"/>
      <c r="N826" s="379"/>
      <c r="O826" s="379"/>
      <c r="P826" s="379">
        <v>22480</v>
      </c>
      <c r="Q826" s="379">
        <v>879</v>
      </c>
      <c r="R826" s="379"/>
      <c r="S826" s="379"/>
      <c r="T826" s="379"/>
      <c r="U826" s="379"/>
      <c r="V826" s="380">
        <v>28975.06</v>
      </c>
      <c r="W826" s="381"/>
      <c r="X826" s="379"/>
      <c r="Y826" s="379"/>
      <c r="Z826" s="379">
        <v>1027</v>
      </c>
      <c r="AA826" s="379" t="s">
        <v>2383</v>
      </c>
      <c r="AB826" s="380">
        <f t="shared" si="11"/>
        <v>0</v>
      </c>
    </row>
    <row r="827" spans="1:28" outlineLevel="2" x14ac:dyDescent="0.3">
      <c r="A827" s="379">
        <v>654</v>
      </c>
      <c r="B827" s="379">
        <v>817910</v>
      </c>
      <c r="C827" s="379" t="s">
        <v>3078</v>
      </c>
      <c r="D827" s="379">
        <v>31113285</v>
      </c>
      <c r="E827" s="379" t="s">
        <v>3081</v>
      </c>
      <c r="F827" s="379" t="s">
        <v>3082</v>
      </c>
      <c r="G827" s="383">
        <v>43556</v>
      </c>
      <c r="H827" s="379">
        <v>4553</v>
      </c>
      <c r="I827" s="379">
        <v>161.63999999999999</v>
      </c>
      <c r="J827" s="379">
        <v>561.6</v>
      </c>
      <c r="K827" s="379">
        <v>341.5</v>
      </c>
      <c r="L827" s="379"/>
      <c r="M827" s="379"/>
      <c r="N827" s="379"/>
      <c r="O827" s="379"/>
      <c r="P827" s="379">
        <v>4160</v>
      </c>
      <c r="Q827" s="379">
        <v>393</v>
      </c>
      <c r="R827" s="379"/>
      <c r="S827" s="379"/>
      <c r="T827" s="379"/>
      <c r="U827" s="379"/>
      <c r="V827" s="380">
        <v>5617.74</v>
      </c>
      <c r="W827" s="381"/>
      <c r="X827" s="379"/>
      <c r="Y827" s="379"/>
      <c r="Z827" s="379">
        <v>1031001</v>
      </c>
      <c r="AA827" s="379" t="s">
        <v>2328</v>
      </c>
      <c r="AB827" s="380">
        <f t="shared" si="11"/>
        <v>0</v>
      </c>
    </row>
    <row r="828" spans="1:28" outlineLevel="2" x14ac:dyDescent="0.3">
      <c r="A828" s="379">
        <v>654</v>
      </c>
      <c r="B828" s="379">
        <v>817910</v>
      </c>
      <c r="C828" s="379" t="s">
        <v>3078</v>
      </c>
      <c r="D828" s="379">
        <v>31590734</v>
      </c>
      <c r="E828" s="379" t="s">
        <v>2749</v>
      </c>
      <c r="F828" s="379" t="s">
        <v>2799</v>
      </c>
      <c r="G828" s="383">
        <v>43405</v>
      </c>
      <c r="H828" s="379">
        <v>24034</v>
      </c>
      <c r="I828" s="379">
        <v>853.21</v>
      </c>
      <c r="J828" s="379">
        <v>3127.55</v>
      </c>
      <c r="K828" s="379">
        <v>1802.62</v>
      </c>
      <c r="L828" s="379"/>
      <c r="M828" s="379"/>
      <c r="N828" s="379"/>
      <c r="O828" s="379"/>
      <c r="P828" s="379">
        <v>23167</v>
      </c>
      <c r="Q828" s="379">
        <v>867</v>
      </c>
      <c r="R828" s="379"/>
      <c r="S828" s="379"/>
      <c r="T828" s="379"/>
      <c r="U828" s="379"/>
      <c r="V828" s="380">
        <v>29817.38</v>
      </c>
      <c r="W828" s="381"/>
      <c r="X828" s="379"/>
      <c r="Y828" s="379"/>
      <c r="Z828" s="379">
        <v>1031001</v>
      </c>
      <c r="AA828" s="379" t="s">
        <v>2328</v>
      </c>
      <c r="AB828" s="380">
        <f t="shared" si="11"/>
        <v>0</v>
      </c>
    </row>
    <row r="829" spans="1:28" outlineLevel="2" x14ac:dyDescent="0.3">
      <c r="A829" s="379">
        <v>654</v>
      </c>
      <c r="B829" s="379">
        <v>817910</v>
      </c>
      <c r="C829" s="379" t="s">
        <v>3078</v>
      </c>
      <c r="D829" s="379">
        <v>31808438</v>
      </c>
      <c r="E829" s="379" t="s">
        <v>2818</v>
      </c>
      <c r="F829" s="379" t="s">
        <v>3083</v>
      </c>
      <c r="G829" s="383">
        <v>41518</v>
      </c>
      <c r="H829" s="379">
        <v>23980</v>
      </c>
      <c r="I829" s="379">
        <v>851.28</v>
      </c>
      <c r="J829" s="379">
        <v>3099.35</v>
      </c>
      <c r="K829" s="379">
        <v>1798.55</v>
      </c>
      <c r="L829" s="379"/>
      <c r="M829" s="379"/>
      <c r="N829" s="379"/>
      <c r="O829" s="379"/>
      <c r="P829" s="379">
        <v>21330</v>
      </c>
      <c r="Q829" s="379">
        <v>1022</v>
      </c>
      <c r="R829" s="379"/>
      <c r="S829" s="379"/>
      <c r="T829" s="379">
        <v>1628</v>
      </c>
      <c r="U829" s="379"/>
      <c r="V829" s="380">
        <v>29729.18</v>
      </c>
      <c r="W829" s="381"/>
      <c r="X829" s="379"/>
      <c r="Y829" s="379"/>
      <c r="Z829" s="379">
        <v>953001</v>
      </c>
      <c r="AA829" s="379" t="s">
        <v>2902</v>
      </c>
      <c r="AB829" s="380">
        <f t="shared" si="11"/>
        <v>0</v>
      </c>
    </row>
    <row r="830" spans="1:28" outlineLevel="2" x14ac:dyDescent="0.3">
      <c r="A830" s="379">
        <v>654</v>
      </c>
      <c r="B830" s="379">
        <v>817910</v>
      </c>
      <c r="C830" s="379" t="s">
        <v>3078</v>
      </c>
      <c r="D830" s="379">
        <v>31808439</v>
      </c>
      <c r="E830" s="379" t="s">
        <v>2818</v>
      </c>
      <c r="F830" s="379" t="s">
        <v>2819</v>
      </c>
      <c r="G830" s="383">
        <v>42614</v>
      </c>
      <c r="H830" s="379">
        <v>3705</v>
      </c>
      <c r="I830" s="379">
        <v>131.53</v>
      </c>
      <c r="J830" s="379"/>
      <c r="K830" s="379">
        <v>277.89999999999998</v>
      </c>
      <c r="L830" s="379"/>
      <c r="M830" s="379"/>
      <c r="N830" s="379"/>
      <c r="O830" s="379"/>
      <c r="P830" s="379">
        <v>3440</v>
      </c>
      <c r="Q830" s="379">
        <v>265</v>
      </c>
      <c r="R830" s="379"/>
      <c r="S830" s="379"/>
      <c r="T830" s="379"/>
      <c r="U830" s="379"/>
      <c r="V830" s="380">
        <v>4114.43</v>
      </c>
      <c r="W830" s="381"/>
      <c r="X830" s="379"/>
      <c r="Y830" s="379"/>
      <c r="Z830" s="379">
        <v>1031001</v>
      </c>
      <c r="AA830" s="379" t="s">
        <v>2328</v>
      </c>
      <c r="AB830" s="380">
        <f t="shared" ref="AB830:AB898" si="12">W830/12</f>
        <v>0</v>
      </c>
    </row>
    <row r="831" spans="1:28" outlineLevel="2" x14ac:dyDescent="0.3">
      <c r="A831" s="379">
        <v>654</v>
      </c>
      <c r="B831" s="379">
        <v>817910</v>
      </c>
      <c r="C831" s="379" t="s">
        <v>3078</v>
      </c>
      <c r="D831" s="379">
        <v>32149236</v>
      </c>
      <c r="E831" s="379" t="s">
        <v>3084</v>
      </c>
      <c r="F831" s="379" t="s">
        <v>3085</v>
      </c>
      <c r="G831" s="383">
        <v>43040</v>
      </c>
      <c r="H831" s="379">
        <v>11959</v>
      </c>
      <c r="I831" s="379">
        <v>424.55</v>
      </c>
      <c r="J831" s="379">
        <v>1506.6</v>
      </c>
      <c r="K831" s="379">
        <v>897</v>
      </c>
      <c r="L831" s="379"/>
      <c r="M831" s="379"/>
      <c r="N831" s="379"/>
      <c r="O831" s="379"/>
      <c r="P831" s="379">
        <v>11160</v>
      </c>
      <c r="Q831" s="379">
        <v>799</v>
      </c>
      <c r="R831" s="379"/>
      <c r="S831" s="379"/>
      <c r="T831" s="379"/>
      <c r="U831" s="379"/>
      <c r="V831" s="380">
        <v>14787.15</v>
      </c>
      <c r="W831" s="381"/>
      <c r="X831" s="379"/>
      <c r="Y831" s="379"/>
      <c r="Z831" s="379">
        <v>1031001</v>
      </c>
      <c r="AA831" s="379" t="s">
        <v>2328</v>
      </c>
      <c r="AB831" s="380">
        <f t="shared" si="12"/>
        <v>0</v>
      </c>
    </row>
    <row r="832" spans="1:28" outlineLevel="2" x14ac:dyDescent="0.3">
      <c r="A832" s="379">
        <v>654</v>
      </c>
      <c r="B832" s="379">
        <v>817910</v>
      </c>
      <c r="C832" s="379" t="s">
        <v>3078</v>
      </c>
      <c r="D832" s="379">
        <v>32155218</v>
      </c>
      <c r="E832" s="379" t="s">
        <v>3054</v>
      </c>
      <c r="F832" s="379" t="s">
        <v>3055</v>
      </c>
      <c r="G832" s="383">
        <v>41122</v>
      </c>
      <c r="H832" s="379">
        <v>14025.38</v>
      </c>
      <c r="I832" s="379">
        <v>515.49</v>
      </c>
      <c r="J832" s="379">
        <v>3374.62</v>
      </c>
      <c r="K832" s="379">
        <v>1089.05</v>
      </c>
      <c r="L832" s="379"/>
      <c r="M832" s="379"/>
      <c r="N832" s="379"/>
      <c r="O832" s="379">
        <v>11998.51</v>
      </c>
      <c r="P832" s="379"/>
      <c r="Q832" s="379">
        <v>318.12</v>
      </c>
      <c r="R832" s="379"/>
      <c r="S832" s="379"/>
      <c r="T832" s="379">
        <v>1708.75</v>
      </c>
      <c r="U832" s="379"/>
      <c r="V832" s="380">
        <v>19004.54</v>
      </c>
      <c r="W832" s="381">
        <v>2.04</v>
      </c>
      <c r="X832" s="379">
        <v>17</v>
      </c>
      <c r="Y832" s="379" t="s">
        <v>3036</v>
      </c>
      <c r="Z832" s="379">
        <v>1401202</v>
      </c>
      <c r="AA832" s="379" t="s">
        <v>2380</v>
      </c>
      <c r="AB832" s="380">
        <f t="shared" si="12"/>
        <v>0.17</v>
      </c>
    </row>
    <row r="833" spans="1:31" outlineLevel="1" x14ac:dyDescent="0.3">
      <c r="A833" s="379"/>
      <c r="B833" s="384" t="s">
        <v>3086</v>
      </c>
      <c r="C833" s="379"/>
      <c r="D833" s="379"/>
      <c r="E833" s="379"/>
      <c r="F833" s="379"/>
      <c r="G833" s="383"/>
      <c r="H833" s="379"/>
      <c r="I833" s="379"/>
      <c r="J833" s="379"/>
      <c r="K833" s="379"/>
      <c r="L833" s="379"/>
      <c r="M833" s="379"/>
      <c r="N833" s="379"/>
      <c r="O833" s="379"/>
      <c r="P833" s="379"/>
      <c r="Q833" s="379"/>
      <c r="R833" s="379"/>
      <c r="S833" s="379"/>
      <c r="T833" s="379"/>
      <c r="U833" s="379"/>
      <c r="V833" s="380">
        <f>SUBTOTAL(9,V819:V832)</f>
        <v>240589.05</v>
      </c>
      <c r="W833" s="381">
        <f>SUBTOTAL(9,W819:W832)</f>
        <v>2.34</v>
      </c>
      <c r="X833" s="379"/>
      <c r="Y833" s="379"/>
      <c r="Z833" s="379"/>
      <c r="AA833" s="379"/>
      <c r="AB833" s="380">
        <f>SUBTOTAL(9,AB819:AB832)</f>
        <v>0.19500000000000001</v>
      </c>
      <c r="AC833" s="385">
        <f>V833+V818+V791+V733+V691+V688+V664+V662+V659+V644+V638+V636+V634+V629+V623+V546+V536+V528+V479+V461+V447+V441+V428+V410+V397+V370+V356+V354+V349+V305+V213+V211</f>
        <v>30453301.570000004</v>
      </c>
      <c r="AD833" s="385">
        <f>W833+W818+W791+W733+W691+W688+W664+W662+W659+W644+W638+W636+W634+W629+W623+W546+W536+W528+W479+W461+W447+W441+W428+W410+W397+W370+W356+W354+W349+W305+W213+W211</f>
        <v>2649.9609999999998</v>
      </c>
      <c r="AE833" s="385">
        <f>AB833+AB818+AB791+AB733+AB691+AB688+AB664+AB662+AB659+AB644+AB638+AB636+AB634+AB629+AB623+AB546+AB536+AB528+AB479+AB461+AB447+AB441+AB428+AB410+AB397+AB370+AB356+AB354+AB349+AB305+AB213+AB211</f>
        <v>220.83008333333333</v>
      </c>
    </row>
    <row r="834" spans="1:31" outlineLevel="2" x14ac:dyDescent="0.3">
      <c r="A834" s="379">
        <v>431</v>
      </c>
      <c r="B834" s="379">
        <v>824000</v>
      </c>
      <c r="C834" s="379" t="s">
        <v>1602</v>
      </c>
      <c r="D834" s="379">
        <v>5716959</v>
      </c>
      <c r="E834" s="379" t="s">
        <v>2457</v>
      </c>
      <c r="F834" s="379" t="s">
        <v>2522</v>
      </c>
      <c r="G834" s="383">
        <v>36069</v>
      </c>
      <c r="H834" s="379">
        <v>152092.43</v>
      </c>
      <c r="I834" s="379">
        <v>8596.98</v>
      </c>
      <c r="J834" s="379">
        <v>13917.69</v>
      </c>
      <c r="K834" s="379">
        <v>11444.15</v>
      </c>
      <c r="L834" s="379"/>
      <c r="M834" s="379">
        <v>454.65</v>
      </c>
      <c r="N834" s="379"/>
      <c r="O834" s="379">
        <v>89061.62</v>
      </c>
      <c r="P834" s="379">
        <v>13705.18</v>
      </c>
      <c r="Q834" s="379">
        <v>6169.2</v>
      </c>
      <c r="R834" s="379">
        <v>35390.43</v>
      </c>
      <c r="S834" s="379"/>
      <c r="T834" s="379">
        <v>7766</v>
      </c>
      <c r="U834" s="379"/>
      <c r="V834" s="380">
        <v>186505.9</v>
      </c>
      <c r="W834" s="381">
        <v>12</v>
      </c>
      <c r="X834" s="379">
        <v>111</v>
      </c>
      <c r="Y834" s="379" t="s">
        <v>2575</v>
      </c>
      <c r="Z834" s="379">
        <v>7111015</v>
      </c>
      <c r="AA834" s="379" t="s">
        <v>3087</v>
      </c>
      <c r="AB834" s="380">
        <f t="shared" si="12"/>
        <v>1</v>
      </c>
    </row>
    <row r="835" spans="1:31" outlineLevel="2" x14ac:dyDescent="0.3">
      <c r="A835" s="379">
        <v>431</v>
      </c>
      <c r="B835" s="379">
        <v>824000</v>
      </c>
      <c r="C835" s="379" t="s">
        <v>1602</v>
      </c>
      <c r="D835" s="379">
        <v>30033518</v>
      </c>
      <c r="E835" s="379" t="s">
        <v>3088</v>
      </c>
      <c r="F835" s="379" t="s">
        <v>3069</v>
      </c>
      <c r="G835" s="383">
        <v>42461</v>
      </c>
      <c r="H835" s="379">
        <v>142709.17000000001</v>
      </c>
      <c r="I835" s="379">
        <v>7882.48</v>
      </c>
      <c r="J835" s="379">
        <v>23092.02</v>
      </c>
      <c r="K835" s="379">
        <v>10740.35</v>
      </c>
      <c r="L835" s="379"/>
      <c r="M835" s="379">
        <v>379.45</v>
      </c>
      <c r="N835" s="379"/>
      <c r="O835" s="379">
        <v>79004.14</v>
      </c>
      <c r="P835" s="379">
        <v>4435.21</v>
      </c>
      <c r="Q835" s="379">
        <v>2517.6</v>
      </c>
      <c r="R835" s="379">
        <v>39041.620000000003</v>
      </c>
      <c r="S835" s="379">
        <v>12282.6</v>
      </c>
      <c r="T835" s="379">
        <v>5428</v>
      </c>
      <c r="U835" s="379"/>
      <c r="V835" s="380">
        <v>184803.47</v>
      </c>
      <c r="W835" s="381">
        <v>12</v>
      </c>
      <c r="X835" s="379"/>
      <c r="Y835" s="379"/>
      <c r="Z835" s="379">
        <v>1061001</v>
      </c>
      <c r="AA835" s="379" t="s">
        <v>3089</v>
      </c>
      <c r="AB835" s="380">
        <f t="shared" si="12"/>
        <v>1</v>
      </c>
    </row>
    <row r="836" spans="1:31" outlineLevel="2" x14ac:dyDescent="0.3">
      <c r="A836" s="379">
        <v>654</v>
      </c>
      <c r="B836" s="379">
        <v>824000</v>
      </c>
      <c r="C836" s="379" t="s">
        <v>1602</v>
      </c>
      <c r="D836" s="379">
        <v>5728552</v>
      </c>
      <c r="E836" s="379" t="s">
        <v>2377</v>
      </c>
      <c r="F836" s="379" t="s">
        <v>2378</v>
      </c>
      <c r="G836" s="383">
        <v>35278</v>
      </c>
      <c r="H836" s="379">
        <v>18111.14</v>
      </c>
      <c r="I836" s="379">
        <v>783.42</v>
      </c>
      <c r="J836" s="379">
        <v>1655.69</v>
      </c>
      <c r="K836" s="379">
        <v>1358.48</v>
      </c>
      <c r="L836" s="379"/>
      <c r="M836" s="379">
        <v>67.75</v>
      </c>
      <c r="N836" s="379"/>
      <c r="O836" s="379">
        <v>16576.580000000002</v>
      </c>
      <c r="P836" s="379"/>
      <c r="Q836" s="379">
        <v>122.52</v>
      </c>
      <c r="R836" s="379"/>
      <c r="S836" s="379"/>
      <c r="T836" s="379">
        <v>1412.04</v>
      </c>
      <c r="U836" s="379"/>
      <c r="V836" s="380">
        <v>21976.48</v>
      </c>
      <c r="W836" s="381">
        <v>2.52</v>
      </c>
      <c r="X836" s="379"/>
      <c r="Y836" s="379"/>
      <c r="Z836" s="379">
        <v>5923001</v>
      </c>
      <c r="AA836" s="379" t="s">
        <v>2354</v>
      </c>
      <c r="AB836" s="380">
        <f t="shared" si="12"/>
        <v>0.21</v>
      </c>
    </row>
    <row r="837" spans="1:31" outlineLevel="1" x14ac:dyDescent="0.3">
      <c r="A837" s="379"/>
      <c r="B837" s="384" t="s">
        <v>3090</v>
      </c>
      <c r="C837" s="379"/>
      <c r="D837" s="379"/>
      <c r="E837" s="379"/>
      <c r="F837" s="379"/>
      <c r="G837" s="383"/>
      <c r="H837" s="379"/>
      <c r="I837" s="379"/>
      <c r="J837" s="379"/>
      <c r="K837" s="379"/>
      <c r="L837" s="379"/>
      <c r="M837" s="379"/>
      <c r="N837" s="379"/>
      <c r="O837" s="379"/>
      <c r="P837" s="379"/>
      <c r="Q837" s="379"/>
      <c r="R837" s="379"/>
      <c r="S837" s="379"/>
      <c r="T837" s="379"/>
      <c r="U837" s="379"/>
      <c r="V837" s="380">
        <f>SUBTOTAL(9,V834:V836)</f>
        <v>393285.85</v>
      </c>
      <c r="W837" s="381">
        <f>SUBTOTAL(9,W834:W836)</f>
        <v>26.52</v>
      </c>
      <c r="X837" s="379"/>
      <c r="Y837" s="379"/>
      <c r="Z837" s="379"/>
      <c r="AA837" s="379"/>
      <c r="AB837" s="380">
        <f>SUBTOTAL(9,AB834:AB836)</f>
        <v>2.21</v>
      </c>
    </row>
    <row r="838" spans="1:31" outlineLevel="2" x14ac:dyDescent="0.3">
      <c r="A838" s="379">
        <v>431</v>
      </c>
      <c r="B838" s="379">
        <v>828100</v>
      </c>
      <c r="C838" s="379" t="s">
        <v>132</v>
      </c>
      <c r="D838" s="379">
        <v>1202381</v>
      </c>
      <c r="E838" s="379" t="s">
        <v>3091</v>
      </c>
      <c r="F838" s="379" t="s">
        <v>3092</v>
      </c>
      <c r="G838" s="383">
        <v>43556</v>
      </c>
      <c r="H838" s="379">
        <v>18562</v>
      </c>
      <c r="I838" s="379">
        <v>743.78</v>
      </c>
      <c r="J838" s="379">
        <v>2389.5</v>
      </c>
      <c r="K838" s="379">
        <v>1571.35</v>
      </c>
      <c r="L838" s="379"/>
      <c r="M838" s="379"/>
      <c r="N838" s="379"/>
      <c r="O838" s="379"/>
      <c r="P838" s="379">
        <v>17700</v>
      </c>
      <c r="Q838" s="379">
        <v>862</v>
      </c>
      <c r="R838" s="379"/>
      <c r="S838" s="379"/>
      <c r="T838" s="379"/>
      <c r="U838" s="379"/>
      <c r="V838" s="380">
        <v>23266.63</v>
      </c>
      <c r="W838" s="381"/>
      <c r="X838" s="379"/>
      <c r="Y838" s="379"/>
      <c r="Z838" s="379">
        <v>953001</v>
      </c>
      <c r="AA838" s="379" t="s">
        <v>2902</v>
      </c>
      <c r="AB838" s="380">
        <f t="shared" si="12"/>
        <v>0</v>
      </c>
    </row>
    <row r="839" spans="1:31" outlineLevel="2" x14ac:dyDescent="0.3">
      <c r="A839" s="379">
        <v>431</v>
      </c>
      <c r="B839" s="379">
        <v>828100</v>
      </c>
      <c r="C839" s="379" t="s">
        <v>132</v>
      </c>
      <c r="D839" s="379">
        <v>2154634</v>
      </c>
      <c r="E839" s="379" t="s">
        <v>3093</v>
      </c>
      <c r="F839" s="379" t="s">
        <v>3094</v>
      </c>
      <c r="G839" s="383">
        <v>43344</v>
      </c>
      <c r="H839" s="379">
        <v>10856</v>
      </c>
      <c r="I839" s="379">
        <v>435.28</v>
      </c>
      <c r="J839" s="379">
        <v>1405.35</v>
      </c>
      <c r="K839" s="379">
        <v>919.6</v>
      </c>
      <c r="L839" s="379"/>
      <c r="M839" s="379"/>
      <c r="N839" s="379"/>
      <c r="O839" s="379">
        <v>-240</v>
      </c>
      <c r="P839" s="379">
        <v>10650</v>
      </c>
      <c r="Q839" s="379">
        <v>446</v>
      </c>
      <c r="R839" s="379"/>
      <c r="S839" s="379"/>
      <c r="T839" s="379"/>
      <c r="U839" s="379"/>
      <c r="V839" s="380">
        <v>13616.23</v>
      </c>
      <c r="W839" s="381"/>
      <c r="X839" s="379"/>
      <c r="Y839" s="379"/>
      <c r="Z839" s="379">
        <v>953001</v>
      </c>
      <c r="AA839" s="379" t="s">
        <v>2902</v>
      </c>
      <c r="AB839" s="380">
        <f t="shared" si="12"/>
        <v>0</v>
      </c>
    </row>
    <row r="840" spans="1:31" outlineLevel="2" x14ac:dyDescent="0.3">
      <c r="A840" s="379">
        <v>431</v>
      </c>
      <c r="B840" s="379">
        <v>828100</v>
      </c>
      <c r="C840" s="379" t="s">
        <v>132</v>
      </c>
      <c r="D840" s="379">
        <v>2154799</v>
      </c>
      <c r="E840" s="379" t="s">
        <v>3095</v>
      </c>
      <c r="F840" s="379" t="s">
        <v>2302</v>
      </c>
      <c r="G840" s="383">
        <v>43009</v>
      </c>
      <c r="H840" s="379">
        <v>27085.759999999998</v>
      </c>
      <c r="I840" s="379">
        <v>960.82</v>
      </c>
      <c r="J840" s="379">
        <v>4433.87</v>
      </c>
      <c r="K840" s="379">
        <v>2031.45</v>
      </c>
      <c r="L840" s="379"/>
      <c r="M840" s="379">
        <v>65.2</v>
      </c>
      <c r="N840" s="379"/>
      <c r="O840" s="379">
        <v>16314.76</v>
      </c>
      <c r="P840" s="379">
        <v>7470</v>
      </c>
      <c r="Q840" s="379">
        <v>1040</v>
      </c>
      <c r="R840" s="379"/>
      <c r="S840" s="379"/>
      <c r="T840" s="379">
        <v>2261</v>
      </c>
      <c r="U840" s="379"/>
      <c r="V840" s="380">
        <v>34577.1</v>
      </c>
      <c r="W840" s="381">
        <v>2.84</v>
      </c>
      <c r="X840" s="379"/>
      <c r="Y840" s="379"/>
      <c r="Z840" s="379">
        <v>1031001</v>
      </c>
      <c r="AA840" s="379" t="s">
        <v>2328</v>
      </c>
      <c r="AB840" s="380">
        <f t="shared" si="12"/>
        <v>0.23666666666666666</v>
      </c>
    </row>
    <row r="841" spans="1:31" outlineLevel="2" x14ac:dyDescent="0.3">
      <c r="A841" s="379">
        <v>431</v>
      </c>
      <c r="B841" s="379">
        <v>828100</v>
      </c>
      <c r="C841" s="379" t="s">
        <v>132</v>
      </c>
      <c r="D841" s="379">
        <v>2887562</v>
      </c>
      <c r="E841" s="379" t="s">
        <v>3057</v>
      </c>
      <c r="F841" s="379" t="s">
        <v>2725</v>
      </c>
      <c r="G841" s="383">
        <v>41609</v>
      </c>
      <c r="H841" s="379">
        <v>51885.04</v>
      </c>
      <c r="I841" s="379">
        <v>1858.76</v>
      </c>
      <c r="J841" s="379">
        <v>7212.84</v>
      </c>
      <c r="K841" s="379">
        <v>3928.57</v>
      </c>
      <c r="L841" s="379"/>
      <c r="M841" s="379">
        <v>187.98</v>
      </c>
      <c r="N841" s="379"/>
      <c r="O841" s="379">
        <v>46216.08</v>
      </c>
      <c r="P841" s="379">
        <v>750</v>
      </c>
      <c r="Q841" s="379">
        <v>2130.96</v>
      </c>
      <c r="R841" s="379"/>
      <c r="S841" s="379"/>
      <c r="T841" s="379">
        <v>2788</v>
      </c>
      <c r="U841" s="379"/>
      <c r="V841" s="380">
        <v>65073.19</v>
      </c>
      <c r="W841" s="381">
        <v>8.0640000000000001</v>
      </c>
      <c r="X841" s="379"/>
      <c r="Y841" s="379"/>
      <c r="Z841" s="379">
        <v>5821001</v>
      </c>
      <c r="AA841" s="379" t="s">
        <v>2427</v>
      </c>
      <c r="AB841" s="380">
        <f t="shared" si="12"/>
        <v>0.67200000000000004</v>
      </c>
    </row>
    <row r="842" spans="1:31" outlineLevel="2" x14ac:dyDescent="0.3">
      <c r="A842" s="379">
        <v>431</v>
      </c>
      <c r="B842" s="379">
        <v>828100</v>
      </c>
      <c r="C842" s="379" t="s">
        <v>132</v>
      </c>
      <c r="D842" s="379">
        <v>3196478</v>
      </c>
      <c r="E842" s="379" t="s">
        <v>2326</v>
      </c>
      <c r="F842" s="379" t="s">
        <v>2327</v>
      </c>
      <c r="G842" s="383">
        <v>43435</v>
      </c>
      <c r="H842" s="379">
        <v>19554</v>
      </c>
      <c r="I842" s="379">
        <v>694.17</v>
      </c>
      <c r="J842" s="379">
        <v>2519.11</v>
      </c>
      <c r="K842" s="379">
        <v>1466.65</v>
      </c>
      <c r="L842" s="379"/>
      <c r="M842" s="379"/>
      <c r="N842" s="379"/>
      <c r="O842" s="379"/>
      <c r="P842" s="379">
        <v>18660</v>
      </c>
      <c r="Q842" s="379">
        <v>894</v>
      </c>
      <c r="R842" s="379"/>
      <c r="S842" s="379"/>
      <c r="T842" s="379"/>
      <c r="U842" s="379"/>
      <c r="V842" s="380">
        <v>24233.93</v>
      </c>
      <c r="W842" s="381"/>
      <c r="X842" s="379"/>
      <c r="Y842" s="379"/>
      <c r="Z842" s="379">
        <v>1031001</v>
      </c>
      <c r="AA842" s="379" t="s">
        <v>2328</v>
      </c>
      <c r="AB842" s="380">
        <f t="shared" si="12"/>
        <v>0</v>
      </c>
    </row>
    <row r="843" spans="1:31" outlineLevel="2" x14ac:dyDescent="0.3">
      <c r="A843" s="379">
        <v>431</v>
      </c>
      <c r="B843" s="379">
        <v>828100</v>
      </c>
      <c r="C843" s="379" t="s">
        <v>132</v>
      </c>
      <c r="D843" s="379">
        <v>3237149</v>
      </c>
      <c r="E843" s="379" t="s">
        <v>2637</v>
      </c>
      <c r="F843" s="379" t="s">
        <v>2410</v>
      </c>
      <c r="G843" s="383">
        <v>36465</v>
      </c>
      <c r="H843" s="379">
        <v>99920.71</v>
      </c>
      <c r="I843" s="379">
        <v>6093.93</v>
      </c>
      <c r="J843" s="379">
        <v>8365.08</v>
      </c>
      <c r="K843" s="379">
        <v>7494.05</v>
      </c>
      <c r="L843" s="379"/>
      <c r="M843" s="379">
        <v>298.64999999999998</v>
      </c>
      <c r="N843" s="379"/>
      <c r="O843" s="379">
        <v>52092.4</v>
      </c>
      <c r="P843" s="379">
        <v>18788.759999999998</v>
      </c>
      <c r="Q843" s="379">
        <v>1258.8</v>
      </c>
      <c r="R843" s="379">
        <v>19171.25</v>
      </c>
      <c r="S843" s="379">
        <v>3867.5</v>
      </c>
      <c r="T843" s="379">
        <v>4742</v>
      </c>
      <c r="U843" s="379"/>
      <c r="V843" s="380">
        <v>122172.42</v>
      </c>
      <c r="W843" s="381">
        <v>6</v>
      </c>
      <c r="X843" s="379"/>
      <c r="Y843" s="379"/>
      <c r="Z843" s="379">
        <v>1124015</v>
      </c>
      <c r="AA843" s="379" t="s">
        <v>2489</v>
      </c>
      <c r="AB843" s="380">
        <f t="shared" si="12"/>
        <v>0.5</v>
      </c>
    </row>
    <row r="844" spans="1:31" outlineLevel="2" x14ac:dyDescent="0.3">
      <c r="A844" s="379">
        <v>431</v>
      </c>
      <c r="B844" s="379">
        <v>828100</v>
      </c>
      <c r="C844" s="379" t="s">
        <v>132</v>
      </c>
      <c r="D844" s="379">
        <v>3367996</v>
      </c>
      <c r="E844" s="379" t="s">
        <v>2425</v>
      </c>
      <c r="F844" s="379" t="s">
        <v>2426</v>
      </c>
      <c r="G844" s="383">
        <v>43070</v>
      </c>
      <c r="H844" s="379">
        <v>11381</v>
      </c>
      <c r="I844" s="379">
        <v>403.31</v>
      </c>
      <c r="J844" s="379"/>
      <c r="K844" s="379">
        <v>853.65</v>
      </c>
      <c r="L844" s="379"/>
      <c r="M844" s="379"/>
      <c r="N844" s="379"/>
      <c r="O844" s="379"/>
      <c r="P844" s="379">
        <v>9321</v>
      </c>
      <c r="Q844" s="379">
        <v>489</v>
      </c>
      <c r="R844" s="379"/>
      <c r="S844" s="379"/>
      <c r="T844" s="379">
        <v>1571</v>
      </c>
      <c r="U844" s="379"/>
      <c r="V844" s="380">
        <v>12637.96</v>
      </c>
      <c r="W844" s="381"/>
      <c r="X844" s="379"/>
      <c r="Y844" s="379"/>
      <c r="Z844" s="379">
        <v>5821001</v>
      </c>
      <c r="AA844" s="379" t="s">
        <v>2427</v>
      </c>
      <c r="AB844" s="380">
        <f t="shared" si="12"/>
        <v>0</v>
      </c>
    </row>
    <row r="845" spans="1:31" outlineLevel="2" x14ac:dyDescent="0.3">
      <c r="A845" s="379">
        <v>431</v>
      </c>
      <c r="B845" s="379">
        <v>828100</v>
      </c>
      <c r="C845" s="379" t="s">
        <v>132</v>
      </c>
      <c r="D845" s="379">
        <v>3367996</v>
      </c>
      <c r="E845" s="379" t="s">
        <v>2425</v>
      </c>
      <c r="F845" s="379" t="s">
        <v>2426</v>
      </c>
      <c r="G845" s="383">
        <v>43070</v>
      </c>
      <c r="H845" s="379">
        <v>15260.58</v>
      </c>
      <c r="I845" s="379">
        <v>541.74</v>
      </c>
      <c r="J845" s="379">
        <v>808.98</v>
      </c>
      <c r="K845" s="379">
        <v>1144.5999999999999</v>
      </c>
      <c r="L845" s="379"/>
      <c r="M845" s="379">
        <v>57.6</v>
      </c>
      <c r="N845" s="379"/>
      <c r="O845" s="379">
        <v>14398.06</v>
      </c>
      <c r="P845" s="379"/>
      <c r="Q845" s="379">
        <v>862.52</v>
      </c>
      <c r="R845" s="379"/>
      <c r="S845" s="379"/>
      <c r="T845" s="379"/>
      <c r="U845" s="379"/>
      <c r="V845" s="380">
        <v>17813.5</v>
      </c>
      <c r="W845" s="381">
        <v>2.48</v>
      </c>
      <c r="X845" s="379"/>
      <c r="Y845" s="379"/>
      <c r="Z845" s="379">
        <v>953001</v>
      </c>
      <c r="AA845" s="379" t="s">
        <v>2902</v>
      </c>
      <c r="AB845" s="380">
        <f t="shared" si="12"/>
        <v>0.20666666666666667</v>
      </c>
    </row>
    <row r="846" spans="1:31" outlineLevel="2" x14ac:dyDescent="0.3">
      <c r="A846" s="379">
        <v>431</v>
      </c>
      <c r="B846" s="379">
        <v>828100</v>
      </c>
      <c r="C846" s="379" t="s">
        <v>132</v>
      </c>
      <c r="D846" s="379">
        <v>3633833</v>
      </c>
      <c r="E846" s="379" t="s">
        <v>2665</v>
      </c>
      <c r="F846" s="379" t="s">
        <v>2396</v>
      </c>
      <c r="G846" s="383">
        <v>42826</v>
      </c>
      <c r="H846" s="379">
        <v>28630.04</v>
      </c>
      <c r="I846" s="379">
        <v>1015.43</v>
      </c>
      <c r="J846" s="379">
        <v>5528.23</v>
      </c>
      <c r="K846" s="379">
        <v>2147.35</v>
      </c>
      <c r="L846" s="379"/>
      <c r="M846" s="379">
        <v>68.599999999999994</v>
      </c>
      <c r="N846" s="379"/>
      <c r="O846" s="379">
        <v>17139.240000000002</v>
      </c>
      <c r="P846" s="379">
        <v>7395</v>
      </c>
      <c r="Q846" s="379">
        <v>1185.8</v>
      </c>
      <c r="R846" s="379"/>
      <c r="S846" s="379"/>
      <c r="T846" s="379">
        <v>2910</v>
      </c>
      <c r="U846" s="379"/>
      <c r="V846" s="380">
        <v>37389.65</v>
      </c>
      <c r="W846" s="381">
        <v>3</v>
      </c>
      <c r="X846" s="379"/>
      <c r="Y846" s="379"/>
      <c r="Z846" s="379">
        <v>953001</v>
      </c>
      <c r="AA846" s="379" t="s">
        <v>2902</v>
      </c>
      <c r="AB846" s="380">
        <f t="shared" si="12"/>
        <v>0.25</v>
      </c>
    </row>
    <row r="847" spans="1:31" outlineLevel="2" x14ac:dyDescent="0.3">
      <c r="A847" s="379">
        <v>431</v>
      </c>
      <c r="B847" s="379">
        <v>828100</v>
      </c>
      <c r="C847" s="379" t="s">
        <v>132</v>
      </c>
      <c r="D847" s="379">
        <v>3673846</v>
      </c>
      <c r="E847" s="379" t="s">
        <v>3096</v>
      </c>
      <c r="F847" s="379" t="s">
        <v>3097</v>
      </c>
      <c r="G847" s="383">
        <v>43435</v>
      </c>
      <c r="H847" s="379">
        <v>17874.150000000001</v>
      </c>
      <c r="I847" s="379">
        <v>-11320.55</v>
      </c>
      <c r="J847" s="379">
        <v>3841.68</v>
      </c>
      <c r="K847" s="379">
        <v>1340.08</v>
      </c>
      <c r="L847" s="379"/>
      <c r="M847" s="379">
        <v>66.150000000000006</v>
      </c>
      <c r="N847" s="379"/>
      <c r="O847" s="379">
        <v>16454.509999999998</v>
      </c>
      <c r="P847" s="379"/>
      <c r="Q847" s="379">
        <v>90.54</v>
      </c>
      <c r="R847" s="379"/>
      <c r="S847" s="379"/>
      <c r="T847" s="379">
        <v>17.28</v>
      </c>
      <c r="U847" s="379">
        <v>1311.82</v>
      </c>
      <c r="V847" s="380">
        <v>11801.51</v>
      </c>
      <c r="W847" s="381">
        <v>3.847</v>
      </c>
      <c r="X847" s="379"/>
      <c r="Y847" s="379"/>
      <c r="Z847" s="379">
        <v>1401001</v>
      </c>
      <c r="AA847" s="379" t="s">
        <v>3098</v>
      </c>
      <c r="AB847" s="380">
        <f t="shared" si="12"/>
        <v>0.32058333333333333</v>
      </c>
    </row>
    <row r="848" spans="1:31" outlineLevel="2" x14ac:dyDescent="0.3">
      <c r="A848" s="379">
        <v>431</v>
      </c>
      <c r="B848" s="379">
        <v>828100</v>
      </c>
      <c r="C848" s="379" t="s">
        <v>132</v>
      </c>
      <c r="D848" s="379">
        <v>3929188</v>
      </c>
      <c r="E848" s="379" t="s">
        <v>3099</v>
      </c>
      <c r="F848" s="379" t="s">
        <v>2379</v>
      </c>
      <c r="G848" s="383">
        <v>42675</v>
      </c>
      <c r="H848" s="379">
        <v>19685.98</v>
      </c>
      <c r="I848" s="379">
        <v>984.44</v>
      </c>
      <c r="J848" s="379">
        <v>4409.6099999999997</v>
      </c>
      <c r="K848" s="379">
        <v>1476.18</v>
      </c>
      <c r="L848" s="379"/>
      <c r="M848" s="379">
        <v>64.61</v>
      </c>
      <c r="N848" s="379"/>
      <c r="O848" s="379">
        <v>16225.26</v>
      </c>
      <c r="P848" s="379"/>
      <c r="Q848" s="379">
        <v>87.1</v>
      </c>
      <c r="R848" s="379"/>
      <c r="S848" s="379"/>
      <c r="T848" s="379">
        <v>2292.09</v>
      </c>
      <c r="U848" s="379">
        <v>1081.53</v>
      </c>
      <c r="V848" s="380">
        <v>26620.82</v>
      </c>
      <c r="W848" s="381">
        <v>2.048</v>
      </c>
      <c r="X848" s="379"/>
      <c r="Y848" s="379"/>
      <c r="Z848" s="379">
        <v>1401001</v>
      </c>
      <c r="AA848" s="379" t="s">
        <v>3098</v>
      </c>
      <c r="AB848" s="380">
        <f t="shared" si="12"/>
        <v>0.17066666666666666</v>
      </c>
    </row>
    <row r="849" spans="1:28" outlineLevel="2" x14ac:dyDescent="0.3">
      <c r="A849" s="379">
        <v>431</v>
      </c>
      <c r="B849" s="379">
        <v>828100</v>
      </c>
      <c r="C849" s="379" t="s">
        <v>132</v>
      </c>
      <c r="D849" s="379">
        <v>3951794</v>
      </c>
      <c r="E849" s="379" t="s">
        <v>3100</v>
      </c>
      <c r="F849" s="379" t="s">
        <v>2776</v>
      </c>
      <c r="G849" s="383">
        <v>43556</v>
      </c>
      <c r="H849" s="379">
        <v>7468</v>
      </c>
      <c r="I849" s="379">
        <v>299.47000000000003</v>
      </c>
      <c r="J849" s="379">
        <v>967.95</v>
      </c>
      <c r="K849" s="379">
        <v>632.70000000000005</v>
      </c>
      <c r="L849" s="379"/>
      <c r="M849" s="379"/>
      <c r="N849" s="379"/>
      <c r="O849" s="379"/>
      <c r="P849" s="379">
        <v>7170</v>
      </c>
      <c r="Q849" s="379">
        <v>298</v>
      </c>
      <c r="R849" s="379"/>
      <c r="S849" s="379"/>
      <c r="T849" s="379"/>
      <c r="U849" s="379"/>
      <c r="V849" s="380">
        <v>9368.1200000000008</v>
      </c>
      <c r="W849" s="381"/>
      <c r="X849" s="379"/>
      <c r="Y849" s="379"/>
      <c r="Z849" s="379">
        <v>1411001</v>
      </c>
      <c r="AA849" s="379" t="s">
        <v>3101</v>
      </c>
      <c r="AB849" s="380">
        <f t="shared" si="12"/>
        <v>0</v>
      </c>
    </row>
    <row r="850" spans="1:28" outlineLevel="2" x14ac:dyDescent="0.3">
      <c r="A850" s="379">
        <v>431</v>
      </c>
      <c r="B850" s="379">
        <v>828100</v>
      </c>
      <c r="C850" s="379" t="s">
        <v>132</v>
      </c>
      <c r="D850" s="379">
        <v>4004901</v>
      </c>
      <c r="E850" s="379" t="s">
        <v>3102</v>
      </c>
      <c r="F850" s="379" t="s">
        <v>970</v>
      </c>
      <c r="G850" s="383">
        <v>43709</v>
      </c>
      <c r="H850" s="379">
        <v>14975.52</v>
      </c>
      <c r="I850" s="379">
        <v>531.64</v>
      </c>
      <c r="J850" s="379"/>
      <c r="K850" s="379">
        <v>1123.1500000000001</v>
      </c>
      <c r="L850" s="379"/>
      <c r="M850" s="379">
        <v>56.85</v>
      </c>
      <c r="N850" s="379"/>
      <c r="O850" s="379">
        <v>14199.89</v>
      </c>
      <c r="P850" s="379"/>
      <c r="Q850" s="379">
        <v>775.63</v>
      </c>
      <c r="R850" s="379"/>
      <c r="S850" s="379"/>
      <c r="T850" s="379"/>
      <c r="U850" s="379"/>
      <c r="V850" s="380">
        <v>16687.16</v>
      </c>
      <c r="W850" s="381">
        <v>2.4729999999999999</v>
      </c>
      <c r="X850" s="379"/>
      <c r="Y850" s="379"/>
      <c r="Z850" s="379">
        <v>3403005</v>
      </c>
      <c r="AA850" s="379" t="s">
        <v>2339</v>
      </c>
      <c r="AB850" s="380">
        <f t="shared" si="12"/>
        <v>0.20608333333333331</v>
      </c>
    </row>
    <row r="851" spans="1:28" outlineLevel="2" x14ac:dyDescent="0.3">
      <c r="A851" s="379">
        <v>431</v>
      </c>
      <c r="B851" s="379">
        <v>828100</v>
      </c>
      <c r="C851" s="379" t="s">
        <v>132</v>
      </c>
      <c r="D851" s="379">
        <v>20348246</v>
      </c>
      <c r="E851" s="379" t="s">
        <v>2340</v>
      </c>
      <c r="F851" s="379" t="s">
        <v>2768</v>
      </c>
      <c r="G851" s="383">
        <v>43709</v>
      </c>
      <c r="H851" s="379">
        <v>11731</v>
      </c>
      <c r="I851" s="379">
        <v>416.45</v>
      </c>
      <c r="J851" s="379">
        <v>1509.03</v>
      </c>
      <c r="K851" s="379">
        <v>879.9</v>
      </c>
      <c r="L851" s="379"/>
      <c r="M851" s="379"/>
      <c r="N851" s="379"/>
      <c r="O851" s="379">
        <v>-132</v>
      </c>
      <c r="P851" s="379">
        <v>11310</v>
      </c>
      <c r="Q851" s="379">
        <v>553</v>
      </c>
      <c r="R851" s="379"/>
      <c r="S851" s="379"/>
      <c r="T851" s="379"/>
      <c r="U851" s="379"/>
      <c r="V851" s="380">
        <v>14536.38</v>
      </c>
      <c r="W851" s="381"/>
      <c r="X851" s="379"/>
      <c r="Y851" s="379"/>
      <c r="Z851" s="379">
        <v>953001</v>
      </c>
      <c r="AA851" s="379" t="s">
        <v>2902</v>
      </c>
      <c r="AB851" s="380">
        <f t="shared" si="12"/>
        <v>0</v>
      </c>
    </row>
    <row r="852" spans="1:28" outlineLevel="2" x14ac:dyDescent="0.3">
      <c r="A852" s="379">
        <v>431</v>
      </c>
      <c r="B852" s="379">
        <v>828100</v>
      </c>
      <c r="C852" s="379" t="s">
        <v>132</v>
      </c>
      <c r="D852" s="379">
        <v>30297169</v>
      </c>
      <c r="E852" s="379" t="s">
        <v>3103</v>
      </c>
      <c r="F852" s="379" t="s">
        <v>2945</v>
      </c>
      <c r="G852" s="383">
        <v>43374</v>
      </c>
      <c r="H852" s="379">
        <v>12213</v>
      </c>
      <c r="I852" s="379">
        <v>462.05</v>
      </c>
      <c r="J852" s="379">
        <v>1588.41</v>
      </c>
      <c r="K852" s="379">
        <v>916</v>
      </c>
      <c r="L852" s="379"/>
      <c r="M852" s="379"/>
      <c r="N852" s="379"/>
      <c r="O852" s="379"/>
      <c r="P852" s="379">
        <v>10215</v>
      </c>
      <c r="Q852" s="379">
        <v>447</v>
      </c>
      <c r="R852" s="379"/>
      <c r="S852" s="379"/>
      <c r="T852" s="379">
        <v>1551</v>
      </c>
      <c r="U852" s="379"/>
      <c r="V852" s="380">
        <v>15179.46</v>
      </c>
      <c r="W852" s="381"/>
      <c r="X852" s="379"/>
      <c r="Y852" s="379"/>
      <c r="Z852" s="379">
        <v>953001</v>
      </c>
      <c r="AA852" s="379" t="s">
        <v>2902</v>
      </c>
      <c r="AB852" s="380">
        <f t="shared" si="12"/>
        <v>0</v>
      </c>
    </row>
    <row r="853" spans="1:28" outlineLevel="2" x14ac:dyDescent="0.3">
      <c r="A853" s="379">
        <v>431</v>
      </c>
      <c r="B853" s="379">
        <v>828100</v>
      </c>
      <c r="C853" s="379" t="s">
        <v>132</v>
      </c>
      <c r="D853" s="379">
        <v>30316097</v>
      </c>
      <c r="E853" s="379" t="s">
        <v>2784</v>
      </c>
      <c r="F853" s="379" t="s">
        <v>3028</v>
      </c>
      <c r="G853" s="383">
        <v>43709</v>
      </c>
      <c r="H853" s="379">
        <v>12238</v>
      </c>
      <c r="I853" s="379">
        <v>434.45</v>
      </c>
      <c r="J853" s="379">
        <v>1577.48</v>
      </c>
      <c r="K853" s="379">
        <v>917.95</v>
      </c>
      <c r="L853" s="379"/>
      <c r="M853" s="379"/>
      <c r="N853" s="379"/>
      <c r="O853" s="379">
        <v>-315</v>
      </c>
      <c r="P853" s="379">
        <v>12000</v>
      </c>
      <c r="Q853" s="379">
        <v>553</v>
      </c>
      <c r="R853" s="379"/>
      <c r="S853" s="379"/>
      <c r="T853" s="379"/>
      <c r="U853" s="379"/>
      <c r="V853" s="380">
        <v>15167.88</v>
      </c>
      <c r="W853" s="381"/>
      <c r="X853" s="379"/>
      <c r="Y853" s="379"/>
      <c r="Z853" s="379">
        <v>953001</v>
      </c>
      <c r="AA853" s="379" t="s">
        <v>2902</v>
      </c>
      <c r="AB853" s="380">
        <f t="shared" si="12"/>
        <v>0</v>
      </c>
    </row>
    <row r="854" spans="1:28" outlineLevel="2" x14ac:dyDescent="0.3">
      <c r="A854" s="379">
        <v>431</v>
      </c>
      <c r="B854" s="379">
        <v>828100</v>
      </c>
      <c r="C854" s="379" t="s">
        <v>132</v>
      </c>
      <c r="D854" s="379">
        <v>30801467</v>
      </c>
      <c r="E854" s="379" t="s">
        <v>3104</v>
      </c>
      <c r="F854" s="379" t="s">
        <v>2591</v>
      </c>
      <c r="G854" s="383">
        <v>43344</v>
      </c>
      <c r="H854" s="379">
        <v>8937</v>
      </c>
      <c r="I854" s="379">
        <v>316.64999999999998</v>
      </c>
      <c r="J854" s="379">
        <v>1166.27</v>
      </c>
      <c r="K854" s="379">
        <v>670.3</v>
      </c>
      <c r="L854" s="379"/>
      <c r="M854" s="379"/>
      <c r="N854" s="379"/>
      <c r="O854" s="379"/>
      <c r="P854" s="379">
        <v>7095</v>
      </c>
      <c r="Q854" s="379">
        <v>298</v>
      </c>
      <c r="R854" s="379"/>
      <c r="S854" s="379"/>
      <c r="T854" s="379">
        <v>1544</v>
      </c>
      <c r="U854" s="379"/>
      <c r="V854" s="380">
        <v>11090.22</v>
      </c>
      <c r="W854" s="381"/>
      <c r="X854" s="379"/>
      <c r="Y854" s="379"/>
      <c r="Z854" s="379">
        <v>953001</v>
      </c>
      <c r="AA854" s="379" t="s">
        <v>2902</v>
      </c>
      <c r="AB854" s="380">
        <f t="shared" si="12"/>
        <v>0</v>
      </c>
    </row>
    <row r="855" spans="1:28" outlineLevel="2" x14ac:dyDescent="0.3">
      <c r="A855" s="379">
        <v>654</v>
      </c>
      <c r="B855" s="379">
        <v>828100</v>
      </c>
      <c r="C855" s="379" t="s">
        <v>132</v>
      </c>
      <c r="D855" s="379">
        <v>3237149</v>
      </c>
      <c r="E855" s="379" t="s">
        <v>2637</v>
      </c>
      <c r="F855" s="379" t="s">
        <v>2410</v>
      </c>
      <c r="G855" s="383">
        <v>36465</v>
      </c>
      <c r="H855" s="379">
        <v>31709.22</v>
      </c>
      <c r="I855" s="379">
        <v>1908.4</v>
      </c>
      <c r="J855" s="379">
        <v>3103.38</v>
      </c>
      <c r="K855" s="379">
        <v>2378.58</v>
      </c>
      <c r="L855" s="379"/>
      <c r="M855" s="379">
        <v>73.89</v>
      </c>
      <c r="N855" s="379"/>
      <c r="O855" s="379"/>
      <c r="P855" s="379">
        <v>18386.28</v>
      </c>
      <c r="Q855" s="379"/>
      <c r="R855" s="379">
        <v>13322.94</v>
      </c>
      <c r="S855" s="379"/>
      <c r="T855" s="379"/>
      <c r="U855" s="379"/>
      <c r="V855" s="380">
        <v>39173.47</v>
      </c>
      <c r="W855" s="381"/>
      <c r="X855" s="379"/>
      <c r="Y855" s="379"/>
      <c r="Z855" s="379">
        <v>1002501</v>
      </c>
      <c r="AA855" s="379" t="s">
        <v>2638</v>
      </c>
      <c r="AB855" s="380">
        <f t="shared" si="12"/>
        <v>0</v>
      </c>
    </row>
    <row r="856" spans="1:28" outlineLevel="2" x14ac:dyDescent="0.3">
      <c r="A856" s="379">
        <v>654</v>
      </c>
      <c r="B856" s="379">
        <v>828100</v>
      </c>
      <c r="C856" s="379" t="s">
        <v>132</v>
      </c>
      <c r="D856" s="379">
        <v>4004867</v>
      </c>
      <c r="E856" s="379" t="s">
        <v>2726</v>
      </c>
      <c r="F856" s="379" t="s">
        <v>2699</v>
      </c>
      <c r="G856" s="383">
        <v>42278</v>
      </c>
      <c r="H856" s="379">
        <v>2040</v>
      </c>
      <c r="I856" s="379">
        <v>72.41</v>
      </c>
      <c r="J856" s="379">
        <v>428.4</v>
      </c>
      <c r="K856" s="379">
        <v>152.99</v>
      </c>
      <c r="L856" s="379"/>
      <c r="M856" s="379">
        <v>8.16</v>
      </c>
      <c r="N856" s="379"/>
      <c r="O856" s="379"/>
      <c r="P856" s="379">
        <v>2040</v>
      </c>
      <c r="Q856" s="379"/>
      <c r="R856" s="379"/>
      <c r="S856" s="379"/>
      <c r="T856" s="379"/>
      <c r="U856" s="379"/>
      <c r="V856" s="380">
        <v>2701.96</v>
      </c>
      <c r="W856" s="381"/>
      <c r="X856" s="379">
        <v>12107</v>
      </c>
      <c r="Y856" s="379" t="s">
        <v>2801</v>
      </c>
      <c r="Z856" s="379">
        <v>1027</v>
      </c>
      <c r="AA856" s="379" t="s">
        <v>2383</v>
      </c>
      <c r="AB856" s="380">
        <f t="shared" si="12"/>
        <v>0</v>
      </c>
    </row>
    <row r="857" spans="1:28" outlineLevel="2" x14ac:dyDescent="0.3">
      <c r="A857" s="379">
        <v>654</v>
      </c>
      <c r="B857" s="379">
        <v>828100</v>
      </c>
      <c r="C857" s="379" t="s">
        <v>132</v>
      </c>
      <c r="D857" s="379">
        <v>4060829</v>
      </c>
      <c r="E857" s="379" t="s">
        <v>3063</v>
      </c>
      <c r="F857" s="379" t="s">
        <v>2706</v>
      </c>
      <c r="G857" s="383">
        <v>41487</v>
      </c>
      <c r="H857" s="379">
        <v>33975.03</v>
      </c>
      <c r="I857" s="379">
        <v>1294.3599999999999</v>
      </c>
      <c r="J857" s="379">
        <v>7135.78</v>
      </c>
      <c r="K857" s="379">
        <v>2548.84</v>
      </c>
      <c r="L857" s="379"/>
      <c r="M857" s="379">
        <v>129.04</v>
      </c>
      <c r="N857" s="379"/>
      <c r="O857" s="379">
        <v>32139.47</v>
      </c>
      <c r="P857" s="379"/>
      <c r="Q857" s="379"/>
      <c r="R857" s="379"/>
      <c r="S857" s="379"/>
      <c r="T857" s="379">
        <v>1835.56</v>
      </c>
      <c r="U857" s="379"/>
      <c r="V857" s="380">
        <v>45083.05</v>
      </c>
      <c r="W857" s="381">
        <v>5.4480000000000004</v>
      </c>
      <c r="X857" s="379"/>
      <c r="Y857" s="379"/>
      <c r="Z857" s="379">
        <v>1027</v>
      </c>
      <c r="AA857" s="379" t="s">
        <v>2383</v>
      </c>
      <c r="AB857" s="380">
        <f t="shared" si="12"/>
        <v>0.45400000000000001</v>
      </c>
    </row>
    <row r="858" spans="1:28" outlineLevel="1" x14ac:dyDescent="0.3">
      <c r="A858" s="379"/>
      <c r="B858" s="384" t="s">
        <v>3105</v>
      </c>
      <c r="C858" s="379"/>
      <c r="D858" s="379"/>
      <c r="E858" s="379"/>
      <c r="F858" s="379"/>
      <c r="G858" s="383"/>
      <c r="H858" s="379"/>
      <c r="I858" s="379"/>
      <c r="J858" s="379"/>
      <c r="K858" s="379"/>
      <c r="L858" s="379"/>
      <c r="M858" s="379"/>
      <c r="N858" s="379"/>
      <c r="O858" s="379"/>
      <c r="P858" s="379"/>
      <c r="Q858" s="379"/>
      <c r="R858" s="379"/>
      <c r="S858" s="379"/>
      <c r="T858" s="379"/>
      <c r="U858" s="379"/>
      <c r="V858" s="380">
        <f>SUBTOTAL(9,V838:V857)</f>
        <v>558190.64</v>
      </c>
      <c r="W858" s="381">
        <f>SUBTOTAL(9,W838:W857)</f>
        <v>36.200000000000003</v>
      </c>
      <c r="X858" s="379"/>
      <c r="Y858" s="379"/>
      <c r="Z858" s="379"/>
      <c r="AA858" s="379"/>
      <c r="AB858" s="380">
        <f>SUBTOTAL(9,AB838:AB857)</f>
        <v>3.0166666666666671</v>
      </c>
    </row>
    <row r="859" spans="1:28" outlineLevel="2" x14ac:dyDescent="0.3">
      <c r="A859" s="379">
        <v>431</v>
      </c>
      <c r="B859" s="379">
        <v>828200</v>
      </c>
      <c r="C859" s="379" t="s">
        <v>1617</v>
      </c>
      <c r="D859" s="379">
        <v>5542369</v>
      </c>
      <c r="E859" s="379" t="s">
        <v>2585</v>
      </c>
      <c r="F859" s="379" t="s">
        <v>2285</v>
      </c>
      <c r="G859" s="383">
        <v>39508</v>
      </c>
      <c r="H859" s="379">
        <v>125904.83</v>
      </c>
      <c r="I859" s="379">
        <v>6607.44</v>
      </c>
      <c r="J859" s="379">
        <v>22385.33</v>
      </c>
      <c r="K859" s="379">
        <v>9480.1</v>
      </c>
      <c r="L859" s="379"/>
      <c r="M859" s="379">
        <v>391.2</v>
      </c>
      <c r="N859" s="379"/>
      <c r="O859" s="379">
        <v>84347.46</v>
      </c>
      <c r="P859" s="379"/>
      <c r="Q859" s="379">
        <v>2809.2</v>
      </c>
      <c r="R859" s="379">
        <v>32278.17</v>
      </c>
      <c r="S859" s="379"/>
      <c r="T859" s="379">
        <v>6470</v>
      </c>
      <c r="U859" s="379"/>
      <c r="V859" s="380">
        <v>164768.9</v>
      </c>
      <c r="W859" s="381">
        <v>12</v>
      </c>
      <c r="X859" s="379">
        <v>111</v>
      </c>
      <c r="Y859" s="379" t="s">
        <v>2575</v>
      </c>
      <c r="Z859" s="379">
        <v>5302002</v>
      </c>
      <c r="AA859" s="379" t="s">
        <v>2467</v>
      </c>
      <c r="AB859" s="380">
        <f t="shared" si="12"/>
        <v>1</v>
      </c>
    </row>
    <row r="860" spans="1:28" outlineLevel="2" x14ac:dyDescent="0.3">
      <c r="A860" s="379">
        <v>431</v>
      </c>
      <c r="B860" s="379">
        <v>828200</v>
      </c>
      <c r="C860" s="379" t="s">
        <v>1617</v>
      </c>
      <c r="D860" s="379">
        <v>20103592</v>
      </c>
      <c r="E860" s="379" t="s">
        <v>3106</v>
      </c>
      <c r="F860" s="379" t="s">
        <v>3107</v>
      </c>
      <c r="G860" s="383">
        <v>43282</v>
      </c>
      <c r="H860" s="379">
        <v>89245.58</v>
      </c>
      <c r="I860" s="379">
        <v>3824.63</v>
      </c>
      <c r="J860" s="379">
        <v>16579.2</v>
      </c>
      <c r="K860" s="379">
        <v>6730.6</v>
      </c>
      <c r="L860" s="379"/>
      <c r="M860" s="379">
        <v>248.85</v>
      </c>
      <c r="N860" s="379"/>
      <c r="O860" s="379">
        <v>62359.19</v>
      </c>
      <c r="P860" s="379"/>
      <c r="Q860" s="379">
        <v>2809.2</v>
      </c>
      <c r="R860" s="379">
        <v>14360.77</v>
      </c>
      <c r="S860" s="379">
        <v>6830.4</v>
      </c>
      <c r="T860" s="379">
        <v>2087.02</v>
      </c>
      <c r="U860" s="379">
        <v>799</v>
      </c>
      <c r="V860" s="380">
        <v>116628.86</v>
      </c>
      <c r="W860" s="381">
        <v>12</v>
      </c>
      <c r="X860" s="379"/>
      <c r="Y860" s="379"/>
      <c r="Z860" s="379">
        <v>1064002</v>
      </c>
      <c r="AA860" s="379" t="s">
        <v>3108</v>
      </c>
      <c r="AB860" s="380">
        <f t="shared" si="12"/>
        <v>1</v>
      </c>
    </row>
    <row r="861" spans="1:28" outlineLevel="1" x14ac:dyDescent="0.3">
      <c r="A861" s="379"/>
      <c r="B861" s="384" t="s">
        <v>3109</v>
      </c>
      <c r="C861" s="379"/>
      <c r="D861" s="379"/>
      <c r="E861" s="379"/>
      <c r="F861" s="379"/>
      <c r="G861" s="383"/>
      <c r="H861" s="379"/>
      <c r="I861" s="379"/>
      <c r="J861" s="379"/>
      <c r="K861" s="379"/>
      <c r="L861" s="379"/>
      <c r="M861" s="379"/>
      <c r="N861" s="379"/>
      <c r="O861" s="379"/>
      <c r="P861" s="379"/>
      <c r="Q861" s="379"/>
      <c r="R861" s="379"/>
      <c r="S861" s="379"/>
      <c r="T861" s="379"/>
      <c r="U861" s="379"/>
      <c r="V861" s="380">
        <f>SUBTOTAL(9,V859:V860)</f>
        <v>281397.76000000001</v>
      </c>
      <c r="W861" s="381">
        <f>SUBTOTAL(9,W859:W860)</f>
        <v>24</v>
      </c>
      <c r="X861" s="379"/>
      <c r="Y861" s="379"/>
      <c r="Z861" s="379"/>
      <c r="AA861" s="379"/>
      <c r="AB861" s="380">
        <f>SUBTOTAL(9,AB859:AB860)</f>
        <v>2</v>
      </c>
    </row>
    <row r="862" spans="1:28" outlineLevel="2" x14ac:dyDescent="0.3">
      <c r="A862" s="379">
        <v>431</v>
      </c>
      <c r="B862" s="379">
        <v>829200</v>
      </c>
      <c r="C862" s="379" t="s">
        <v>3110</v>
      </c>
      <c r="D862" s="379">
        <v>2458579</v>
      </c>
      <c r="E862" s="379" t="s">
        <v>2321</v>
      </c>
      <c r="F862" s="379" t="s">
        <v>2322</v>
      </c>
      <c r="G862" s="383">
        <v>42795</v>
      </c>
      <c r="H862" s="379">
        <v>45497.7</v>
      </c>
      <c r="I862" s="379">
        <v>1649.69</v>
      </c>
      <c r="J862" s="379">
        <v>8948.9500000000007</v>
      </c>
      <c r="K862" s="379">
        <v>3449.5</v>
      </c>
      <c r="L862" s="379"/>
      <c r="M862" s="379">
        <v>149.9</v>
      </c>
      <c r="N862" s="379"/>
      <c r="O862" s="379">
        <v>35564.6</v>
      </c>
      <c r="P862" s="379">
        <v>2828.46</v>
      </c>
      <c r="Q862" s="379">
        <v>4149</v>
      </c>
      <c r="R862" s="379">
        <v>241.64</v>
      </c>
      <c r="S862" s="379"/>
      <c r="T862" s="379">
        <v>2714</v>
      </c>
      <c r="U862" s="379"/>
      <c r="V862" s="380">
        <v>59695.74</v>
      </c>
      <c r="W862" s="381">
        <v>6</v>
      </c>
      <c r="X862" s="379"/>
      <c r="Y862" s="379"/>
      <c r="Z862" s="379">
        <v>5931001</v>
      </c>
      <c r="AA862" s="379" t="s">
        <v>2320</v>
      </c>
      <c r="AB862" s="380">
        <f t="shared" si="12"/>
        <v>0.5</v>
      </c>
    </row>
    <row r="863" spans="1:28" outlineLevel="2" x14ac:dyDescent="0.3">
      <c r="A863" s="379">
        <v>431</v>
      </c>
      <c r="B863" s="379">
        <v>829200</v>
      </c>
      <c r="C863" s="379" t="s">
        <v>3110</v>
      </c>
      <c r="D863" s="379">
        <v>3195921</v>
      </c>
      <c r="E863" s="379" t="s">
        <v>969</v>
      </c>
      <c r="F863" s="379" t="s">
        <v>2302</v>
      </c>
      <c r="G863" s="383">
        <v>35370</v>
      </c>
      <c r="H863" s="379">
        <v>151581.89000000001</v>
      </c>
      <c r="I863" s="379">
        <v>8556.91</v>
      </c>
      <c r="J863" s="379">
        <v>11185.37</v>
      </c>
      <c r="K863" s="379">
        <v>11405.8</v>
      </c>
      <c r="L863" s="379"/>
      <c r="M863" s="379">
        <v>373.2</v>
      </c>
      <c r="N863" s="379"/>
      <c r="O863" s="379">
        <v>92544.87</v>
      </c>
      <c r="P863" s="379"/>
      <c r="Q863" s="379">
        <v>2517.6</v>
      </c>
      <c r="R863" s="379">
        <v>21382.42</v>
      </c>
      <c r="S863" s="379">
        <v>25573</v>
      </c>
      <c r="T863" s="379">
        <v>7334</v>
      </c>
      <c r="U863" s="379">
        <v>2230</v>
      </c>
      <c r="V863" s="380">
        <v>183103.17</v>
      </c>
      <c r="W863" s="381">
        <v>12</v>
      </c>
      <c r="X863" s="379">
        <v>89</v>
      </c>
      <c r="Y863" s="379" t="s">
        <v>2479</v>
      </c>
      <c r="Z863" s="379">
        <v>957001</v>
      </c>
      <c r="AA863" s="379" t="s">
        <v>3111</v>
      </c>
      <c r="AB863" s="380">
        <f t="shared" si="12"/>
        <v>1</v>
      </c>
    </row>
    <row r="864" spans="1:28" outlineLevel="2" x14ac:dyDescent="0.3">
      <c r="A864" s="379">
        <v>431</v>
      </c>
      <c r="B864" s="379">
        <v>829200</v>
      </c>
      <c r="C864" s="379" t="s">
        <v>3110</v>
      </c>
      <c r="D864" s="379">
        <v>5323084</v>
      </c>
      <c r="E864" s="379" t="s">
        <v>2657</v>
      </c>
      <c r="F864" s="379" t="s">
        <v>2465</v>
      </c>
      <c r="G864" s="383">
        <v>28277</v>
      </c>
      <c r="H864" s="379">
        <v>171332.62</v>
      </c>
      <c r="I864" s="379">
        <v>10058.56</v>
      </c>
      <c r="J864" s="379">
        <v>15636.54</v>
      </c>
      <c r="K864" s="379">
        <v>12887.2</v>
      </c>
      <c r="L864" s="379"/>
      <c r="M864" s="379">
        <v>574.4</v>
      </c>
      <c r="N864" s="379"/>
      <c r="O864" s="379">
        <v>116251.16</v>
      </c>
      <c r="P864" s="379">
        <v>22675.56</v>
      </c>
      <c r="Q864" s="379">
        <v>5877.6</v>
      </c>
      <c r="R864" s="379">
        <v>13207.3</v>
      </c>
      <c r="S864" s="379"/>
      <c r="T864" s="379">
        <v>13321</v>
      </c>
      <c r="U864" s="379"/>
      <c r="V864" s="380">
        <v>210489.32</v>
      </c>
      <c r="W864" s="381">
        <v>12</v>
      </c>
      <c r="X864" s="379"/>
      <c r="Y864" s="379"/>
      <c r="Z864" s="379">
        <v>951001</v>
      </c>
      <c r="AA864" s="379" t="s">
        <v>2364</v>
      </c>
      <c r="AB864" s="380">
        <f t="shared" si="12"/>
        <v>1</v>
      </c>
    </row>
    <row r="865" spans="1:31" outlineLevel="2" x14ac:dyDescent="0.3">
      <c r="A865" s="379">
        <v>431</v>
      </c>
      <c r="B865" s="379">
        <v>829200</v>
      </c>
      <c r="C865" s="379" t="s">
        <v>3110</v>
      </c>
      <c r="D865" s="379">
        <v>5716515</v>
      </c>
      <c r="E865" s="379" t="s">
        <v>2807</v>
      </c>
      <c r="F865" s="379" t="s">
        <v>3045</v>
      </c>
      <c r="G865" s="383">
        <v>32417</v>
      </c>
      <c r="H865" s="379">
        <v>158954.71</v>
      </c>
      <c r="I865" s="379">
        <v>9248.01</v>
      </c>
      <c r="J865" s="379">
        <v>15341.04</v>
      </c>
      <c r="K865" s="379">
        <v>11958.91</v>
      </c>
      <c r="L865" s="379"/>
      <c r="M865" s="379">
        <v>542.66</v>
      </c>
      <c r="N865" s="379"/>
      <c r="O865" s="379">
        <v>97262.59</v>
      </c>
      <c r="P865" s="379">
        <v>253.88</v>
      </c>
      <c r="Q865" s="379">
        <v>2809.2</v>
      </c>
      <c r="R865" s="379">
        <v>45916.28</v>
      </c>
      <c r="S865" s="379"/>
      <c r="T865" s="379">
        <v>12712.76</v>
      </c>
      <c r="U865" s="379"/>
      <c r="V865" s="380">
        <v>196045.33</v>
      </c>
      <c r="W865" s="381">
        <v>12</v>
      </c>
      <c r="X865" s="379">
        <v>111</v>
      </c>
      <c r="Y865" s="379" t="s">
        <v>2575</v>
      </c>
      <c r="Z865" s="379">
        <v>3311007</v>
      </c>
      <c r="AA865" s="379" t="s">
        <v>2336</v>
      </c>
      <c r="AB865" s="380">
        <f t="shared" si="12"/>
        <v>1</v>
      </c>
    </row>
    <row r="866" spans="1:31" outlineLevel="2" x14ac:dyDescent="0.3">
      <c r="A866" s="379">
        <v>431</v>
      </c>
      <c r="B866" s="379">
        <v>829200</v>
      </c>
      <c r="C866" s="379" t="s">
        <v>3110</v>
      </c>
      <c r="D866" s="379">
        <v>6374816</v>
      </c>
      <c r="E866" s="379" t="s">
        <v>3112</v>
      </c>
      <c r="F866" s="379" t="s">
        <v>3113</v>
      </c>
      <c r="G866" s="383">
        <v>36434</v>
      </c>
      <c r="H866" s="379">
        <v>57239.6</v>
      </c>
      <c r="I866" s="379">
        <v>275.74</v>
      </c>
      <c r="J866" s="379">
        <v>4724.97</v>
      </c>
      <c r="K866" s="379">
        <v>4330.3</v>
      </c>
      <c r="L866" s="379"/>
      <c r="M866" s="379">
        <v>202.2</v>
      </c>
      <c r="N866" s="379"/>
      <c r="O866" s="379">
        <v>50588.17</v>
      </c>
      <c r="P866" s="379"/>
      <c r="Q866" s="379">
        <v>2561.63</v>
      </c>
      <c r="R866" s="379"/>
      <c r="S866" s="379"/>
      <c r="T866" s="379">
        <v>4089.8</v>
      </c>
      <c r="U866" s="379"/>
      <c r="V866" s="380">
        <v>66772.81</v>
      </c>
      <c r="W866" s="381">
        <v>7.8</v>
      </c>
      <c r="X866" s="379">
        <v>1</v>
      </c>
      <c r="Y866" s="379" t="s">
        <v>2353</v>
      </c>
      <c r="Z866" s="379">
        <v>5923001</v>
      </c>
      <c r="AA866" s="379" t="s">
        <v>2354</v>
      </c>
      <c r="AB866" s="380">
        <f t="shared" si="12"/>
        <v>0.65</v>
      </c>
    </row>
    <row r="867" spans="1:31" outlineLevel="1" x14ac:dyDescent="0.3">
      <c r="A867" s="379"/>
      <c r="B867" s="384" t="s">
        <v>3114</v>
      </c>
      <c r="C867" s="379"/>
      <c r="D867" s="379"/>
      <c r="E867" s="379"/>
      <c r="F867" s="379"/>
      <c r="G867" s="383"/>
      <c r="H867" s="379"/>
      <c r="I867" s="379"/>
      <c r="J867" s="379"/>
      <c r="K867" s="379"/>
      <c r="L867" s="379"/>
      <c r="M867" s="379"/>
      <c r="N867" s="379"/>
      <c r="O867" s="379"/>
      <c r="P867" s="379"/>
      <c r="Q867" s="379"/>
      <c r="R867" s="379"/>
      <c r="S867" s="379"/>
      <c r="T867" s="379"/>
      <c r="U867" s="379"/>
      <c r="V867" s="380">
        <f>SUBTOTAL(9,V862:V866)</f>
        <v>716106.36999999988</v>
      </c>
      <c r="W867" s="381">
        <f>SUBTOTAL(9,W862:W866)</f>
        <v>49.8</v>
      </c>
      <c r="X867" s="379"/>
      <c r="Y867" s="379"/>
      <c r="Z867" s="379"/>
      <c r="AA867" s="379"/>
      <c r="AB867" s="380">
        <f>SUBTOTAL(9,AB862:AB866)</f>
        <v>4.1500000000000004</v>
      </c>
      <c r="AC867" s="385">
        <f>V867+V861+V858+V837</f>
        <v>1948980.62</v>
      </c>
      <c r="AD867" s="385">
        <f>W867+W861+W858+W837</f>
        <v>136.52000000000001</v>
      </c>
      <c r="AE867" s="385">
        <f>AB867+AB861+AB858+AB837</f>
        <v>11.376666666666669</v>
      </c>
    </row>
    <row r="868" spans="1:31" outlineLevel="2" x14ac:dyDescent="0.3">
      <c r="A868" s="379">
        <v>431</v>
      </c>
      <c r="B868" s="379">
        <v>841000</v>
      </c>
      <c r="C868" s="379" t="s">
        <v>1629</v>
      </c>
      <c r="D868" s="379">
        <v>1601262</v>
      </c>
      <c r="E868" s="379" t="s">
        <v>3115</v>
      </c>
      <c r="F868" s="379" t="s">
        <v>3116</v>
      </c>
      <c r="G868" s="383">
        <v>42675</v>
      </c>
      <c r="H868" s="379">
        <v>112350.41</v>
      </c>
      <c r="I868" s="379">
        <v>5913.23</v>
      </c>
      <c r="J868" s="379">
        <v>22091.97</v>
      </c>
      <c r="K868" s="379">
        <v>8418.06</v>
      </c>
      <c r="L868" s="379"/>
      <c r="M868" s="379">
        <v>359.18</v>
      </c>
      <c r="N868" s="379"/>
      <c r="O868" s="379">
        <v>84813.24</v>
      </c>
      <c r="P868" s="379">
        <v>4680.84</v>
      </c>
      <c r="Q868" s="379">
        <v>2661.88</v>
      </c>
      <c r="R868" s="379">
        <v>10725.77</v>
      </c>
      <c r="S868" s="379">
        <v>1022.95</v>
      </c>
      <c r="T868" s="379">
        <v>3747</v>
      </c>
      <c r="U868" s="379">
        <v>4698.7299999999996</v>
      </c>
      <c r="V868" s="380">
        <v>149132.85</v>
      </c>
      <c r="W868" s="381">
        <v>10.25</v>
      </c>
      <c r="X868" s="379"/>
      <c r="Y868" s="379"/>
      <c r="Z868" s="379">
        <v>1401001</v>
      </c>
      <c r="AA868" s="379" t="s">
        <v>3098</v>
      </c>
      <c r="AB868" s="380">
        <f t="shared" si="12"/>
        <v>0.85416666666666663</v>
      </c>
    </row>
    <row r="869" spans="1:31" outlineLevel="2" x14ac:dyDescent="0.3">
      <c r="A869" s="379">
        <v>431</v>
      </c>
      <c r="B869" s="379">
        <v>841000</v>
      </c>
      <c r="C869" s="379" t="s">
        <v>1629</v>
      </c>
      <c r="D869" s="379">
        <v>2200401</v>
      </c>
      <c r="E869" s="379" t="s">
        <v>2922</v>
      </c>
      <c r="F869" s="379" t="s">
        <v>2349</v>
      </c>
      <c r="G869" s="383">
        <v>43435</v>
      </c>
      <c r="H869" s="379">
        <v>24042</v>
      </c>
      <c r="I869" s="379">
        <v>853.5</v>
      </c>
      <c r="J869" s="379">
        <v>3106.36</v>
      </c>
      <c r="K869" s="379">
        <v>1803.2</v>
      </c>
      <c r="L869" s="379"/>
      <c r="M869" s="379">
        <v>92.05</v>
      </c>
      <c r="N869" s="379"/>
      <c r="O869" s="379"/>
      <c r="P869" s="379">
        <v>23010</v>
      </c>
      <c r="Q869" s="379">
        <v>1032</v>
      </c>
      <c r="R869" s="379"/>
      <c r="S869" s="379"/>
      <c r="T869" s="379"/>
      <c r="U869" s="379"/>
      <c r="V869" s="380">
        <v>29897.11</v>
      </c>
      <c r="W869" s="381"/>
      <c r="X869" s="379"/>
      <c r="Y869" s="379"/>
      <c r="Z869" s="379">
        <v>5921001</v>
      </c>
      <c r="AA869" s="379" t="s">
        <v>2374</v>
      </c>
      <c r="AB869" s="380">
        <f t="shared" si="12"/>
        <v>0</v>
      </c>
    </row>
    <row r="870" spans="1:31" outlineLevel="2" x14ac:dyDescent="0.3">
      <c r="A870" s="379">
        <v>431</v>
      </c>
      <c r="B870" s="379">
        <v>841000</v>
      </c>
      <c r="C870" s="379" t="s">
        <v>1629</v>
      </c>
      <c r="D870" s="379">
        <v>2271695</v>
      </c>
      <c r="E870" s="379" t="s">
        <v>3117</v>
      </c>
      <c r="F870" s="379" t="s">
        <v>3094</v>
      </c>
      <c r="G870" s="383">
        <v>39845</v>
      </c>
      <c r="H870" s="379">
        <v>182365.81</v>
      </c>
      <c r="I870" s="379">
        <v>10628.32</v>
      </c>
      <c r="J870" s="379">
        <v>31721.64</v>
      </c>
      <c r="K870" s="379">
        <v>13500.55</v>
      </c>
      <c r="L870" s="379"/>
      <c r="M870" s="379">
        <v>544.04999999999995</v>
      </c>
      <c r="N870" s="379"/>
      <c r="O870" s="379">
        <v>114226.57</v>
      </c>
      <c r="P870" s="379"/>
      <c r="Q870" s="379">
        <v>7265.8</v>
      </c>
      <c r="R870" s="379">
        <v>45775.73</v>
      </c>
      <c r="S870" s="379"/>
      <c r="T870" s="379">
        <v>5428</v>
      </c>
      <c r="U870" s="379">
        <v>9669.7099999999991</v>
      </c>
      <c r="V870" s="380">
        <v>238760.37</v>
      </c>
      <c r="W870" s="381">
        <v>12</v>
      </c>
      <c r="X870" s="379"/>
      <c r="Y870" s="379"/>
      <c r="Z870" s="379">
        <v>1408001</v>
      </c>
      <c r="AA870" s="379" t="s">
        <v>3118</v>
      </c>
      <c r="AB870" s="380">
        <f t="shared" si="12"/>
        <v>1</v>
      </c>
    </row>
    <row r="871" spans="1:31" outlineLevel="2" x14ac:dyDescent="0.3">
      <c r="A871" s="379">
        <v>431</v>
      </c>
      <c r="B871" s="379">
        <v>841000</v>
      </c>
      <c r="C871" s="379" t="s">
        <v>1629</v>
      </c>
      <c r="D871" s="379">
        <v>2391214</v>
      </c>
      <c r="E871" s="379" t="s">
        <v>3119</v>
      </c>
      <c r="F871" s="379" t="s">
        <v>2703</v>
      </c>
      <c r="G871" s="383">
        <v>36281</v>
      </c>
      <c r="H871" s="379">
        <v>207635.57</v>
      </c>
      <c r="I871" s="379">
        <v>12772.75</v>
      </c>
      <c r="J871" s="379">
        <v>21536.76</v>
      </c>
      <c r="K871" s="379">
        <v>15590.25</v>
      </c>
      <c r="L871" s="379"/>
      <c r="M871" s="379">
        <v>656.25</v>
      </c>
      <c r="N871" s="379"/>
      <c r="O871" s="379">
        <v>121824.97</v>
      </c>
      <c r="P871" s="379">
        <v>14677.98</v>
      </c>
      <c r="Q871" s="379">
        <v>2809.2</v>
      </c>
      <c r="R871" s="379">
        <v>44477.3</v>
      </c>
      <c r="S871" s="379">
        <v>5255.4</v>
      </c>
      <c r="T871" s="379">
        <v>13676.34</v>
      </c>
      <c r="U871" s="379">
        <v>4914.38</v>
      </c>
      <c r="V871" s="380">
        <v>258191.58</v>
      </c>
      <c r="W871" s="381">
        <v>12</v>
      </c>
      <c r="X871" s="379"/>
      <c r="Y871" s="379"/>
      <c r="Z871" s="379">
        <v>1401001</v>
      </c>
      <c r="AA871" s="379" t="s">
        <v>3098</v>
      </c>
      <c r="AB871" s="380">
        <f t="shared" si="12"/>
        <v>1</v>
      </c>
    </row>
    <row r="872" spans="1:31" outlineLevel="2" x14ac:dyDescent="0.3">
      <c r="A872" s="379">
        <v>431</v>
      </c>
      <c r="B872" s="379">
        <v>841000</v>
      </c>
      <c r="C872" s="379" t="s">
        <v>1629</v>
      </c>
      <c r="D872" s="379">
        <v>2395951</v>
      </c>
      <c r="E872" s="379" t="s">
        <v>2534</v>
      </c>
      <c r="F872" s="379" t="s">
        <v>3120</v>
      </c>
      <c r="G872" s="383">
        <v>42795</v>
      </c>
      <c r="H872" s="379">
        <v>256985.14</v>
      </c>
      <c r="I872" s="379">
        <v>16839.7</v>
      </c>
      <c r="J872" s="379">
        <v>48250.41</v>
      </c>
      <c r="K872" s="379">
        <v>19578.05</v>
      </c>
      <c r="L872" s="379"/>
      <c r="M872" s="379">
        <v>836.4</v>
      </c>
      <c r="N872" s="379"/>
      <c r="O872" s="379">
        <v>148710.28</v>
      </c>
      <c r="P872" s="379">
        <v>43365.5</v>
      </c>
      <c r="Q872" s="379">
        <v>2809.2</v>
      </c>
      <c r="R872" s="379">
        <v>38945.61</v>
      </c>
      <c r="S872" s="379">
        <v>7584</v>
      </c>
      <c r="T872" s="379">
        <v>15403.45</v>
      </c>
      <c r="U872" s="379">
        <v>167.1</v>
      </c>
      <c r="V872" s="380">
        <v>342489.7</v>
      </c>
      <c r="W872" s="381">
        <v>12</v>
      </c>
      <c r="X872" s="379"/>
      <c r="Y872" s="379"/>
      <c r="Z872" s="379">
        <v>1401001</v>
      </c>
      <c r="AA872" s="379" t="s">
        <v>3098</v>
      </c>
      <c r="AB872" s="380">
        <f t="shared" si="12"/>
        <v>1</v>
      </c>
    </row>
    <row r="873" spans="1:31" outlineLevel="2" x14ac:dyDescent="0.3">
      <c r="A873" s="379">
        <v>431</v>
      </c>
      <c r="B873" s="379">
        <v>841000</v>
      </c>
      <c r="C873" s="379" t="s">
        <v>1629</v>
      </c>
      <c r="D873" s="379">
        <v>2468272</v>
      </c>
      <c r="E873" s="379" t="s">
        <v>2722</v>
      </c>
      <c r="F873" s="379" t="s">
        <v>3121</v>
      </c>
      <c r="G873" s="383">
        <v>36281</v>
      </c>
      <c r="H873" s="379">
        <v>138147.64000000001</v>
      </c>
      <c r="I873" s="379">
        <v>7721.97</v>
      </c>
      <c r="J873" s="379">
        <v>14824.54</v>
      </c>
      <c r="K873" s="379">
        <v>10580.55</v>
      </c>
      <c r="L873" s="379"/>
      <c r="M873" s="379">
        <v>472.1</v>
      </c>
      <c r="N873" s="379"/>
      <c r="O873" s="379">
        <v>116636.92</v>
      </c>
      <c r="P873" s="379">
        <v>1210.6400000000001</v>
      </c>
      <c r="Q873" s="379">
        <v>2809.2</v>
      </c>
      <c r="R873" s="379">
        <v>10681.88</v>
      </c>
      <c r="S873" s="379"/>
      <c r="T873" s="379">
        <v>6724</v>
      </c>
      <c r="U873" s="379">
        <v>85</v>
      </c>
      <c r="V873" s="380">
        <v>171746.8</v>
      </c>
      <c r="W873" s="381">
        <v>12</v>
      </c>
      <c r="X873" s="379">
        <v>128</v>
      </c>
      <c r="Y873" s="379" t="s">
        <v>3122</v>
      </c>
      <c r="Z873" s="379">
        <v>1404001</v>
      </c>
      <c r="AA873" s="379" t="s">
        <v>3123</v>
      </c>
      <c r="AB873" s="380">
        <f t="shared" si="12"/>
        <v>1</v>
      </c>
    </row>
    <row r="874" spans="1:31" outlineLevel="2" x14ac:dyDescent="0.3">
      <c r="A874" s="379">
        <v>431</v>
      </c>
      <c r="B874" s="379">
        <v>841000</v>
      </c>
      <c r="C874" s="379" t="s">
        <v>1629</v>
      </c>
      <c r="D874" s="379">
        <v>2487795</v>
      </c>
      <c r="E874" s="379" t="s">
        <v>3124</v>
      </c>
      <c r="F874" s="379" t="s">
        <v>2789</v>
      </c>
      <c r="G874" s="383">
        <v>43221</v>
      </c>
      <c r="H874" s="379">
        <v>54705.46</v>
      </c>
      <c r="I874" s="379">
        <v>2105.09</v>
      </c>
      <c r="J874" s="379">
        <v>11110.51</v>
      </c>
      <c r="K874" s="379">
        <v>4180.7299999999996</v>
      </c>
      <c r="L874" s="379"/>
      <c r="M874" s="379">
        <v>187.05</v>
      </c>
      <c r="N874" s="379"/>
      <c r="O874" s="379">
        <v>44437.36</v>
      </c>
      <c r="P874" s="379">
        <v>2267.6</v>
      </c>
      <c r="Q874" s="379">
        <v>2098</v>
      </c>
      <c r="R874" s="379">
        <v>4105.9399999999996</v>
      </c>
      <c r="S874" s="379"/>
      <c r="T874" s="379">
        <v>1565.56</v>
      </c>
      <c r="U874" s="379">
        <v>231</v>
      </c>
      <c r="V874" s="380">
        <v>72288.84</v>
      </c>
      <c r="W874" s="381">
        <v>5</v>
      </c>
      <c r="X874" s="379"/>
      <c r="Y874" s="379"/>
      <c r="Z874" s="379">
        <v>1401001</v>
      </c>
      <c r="AA874" s="379" t="s">
        <v>3098</v>
      </c>
      <c r="AB874" s="380">
        <f t="shared" si="12"/>
        <v>0.41666666666666669</v>
      </c>
    </row>
    <row r="875" spans="1:31" outlineLevel="2" x14ac:dyDescent="0.3">
      <c r="A875" s="379">
        <v>431</v>
      </c>
      <c r="B875" s="379">
        <v>841000</v>
      </c>
      <c r="C875" s="379" t="s">
        <v>1629</v>
      </c>
      <c r="D875" s="379">
        <v>2541409</v>
      </c>
      <c r="E875" s="379" t="s">
        <v>3125</v>
      </c>
      <c r="F875" s="379" t="s">
        <v>3126</v>
      </c>
      <c r="G875" s="383">
        <v>43770</v>
      </c>
      <c r="H875" s="379">
        <v>20165.689999999999</v>
      </c>
      <c r="I875" s="379">
        <v>1066.73</v>
      </c>
      <c r="J875" s="379">
        <v>4251.6099999999997</v>
      </c>
      <c r="K875" s="379">
        <v>1545.4</v>
      </c>
      <c r="L875" s="379"/>
      <c r="M875" s="379">
        <v>71.849999999999994</v>
      </c>
      <c r="N875" s="379"/>
      <c r="O875" s="379">
        <v>17960.189999999999</v>
      </c>
      <c r="P875" s="379"/>
      <c r="Q875" s="379">
        <v>456.06</v>
      </c>
      <c r="R875" s="379">
        <v>1749.44</v>
      </c>
      <c r="S875" s="379"/>
      <c r="T875" s="379"/>
      <c r="U875" s="379"/>
      <c r="V875" s="380">
        <v>27101.279999999999</v>
      </c>
      <c r="W875" s="381">
        <v>1.9330000000000001</v>
      </c>
      <c r="X875" s="379"/>
      <c r="Y875" s="379"/>
      <c r="Z875" s="379">
        <v>1401001</v>
      </c>
      <c r="AA875" s="379" t="s">
        <v>3098</v>
      </c>
      <c r="AB875" s="380">
        <f t="shared" si="12"/>
        <v>0.16108333333333333</v>
      </c>
    </row>
    <row r="876" spans="1:31" outlineLevel="2" x14ac:dyDescent="0.3">
      <c r="A876" s="379">
        <v>431</v>
      </c>
      <c r="B876" s="379">
        <v>841000</v>
      </c>
      <c r="C876" s="379" t="s">
        <v>1629</v>
      </c>
      <c r="D876" s="379">
        <v>2564631</v>
      </c>
      <c r="E876" s="379" t="s">
        <v>2726</v>
      </c>
      <c r="F876" s="379" t="s">
        <v>2729</v>
      </c>
      <c r="G876" s="383">
        <v>42401</v>
      </c>
      <c r="H876" s="379">
        <v>29685.97</v>
      </c>
      <c r="I876" s="379">
        <v>1234.97</v>
      </c>
      <c r="J876" s="379">
        <v>5911.71</v>
      </c>
      <c r="K876" s="379">
        <v>2263.1999999999998</v>
      </c>
      <c r="L876" s="379"/>
      <c r="M876" s="379">
        <v>102.59</v>
      </c>
      <c r="N876" s="379"/>
      <c r="O876" s="379">
        <v>25727.81</v>
      </c>
      <c r="P876" s="379"/>
      <c r="Q876" s="379">
        <v>1678.4</v>
      </c>
      <c r="R876" s="379"/>
      <c r="S876" s="379"/>
      <c r="T876" s="379">
        <v>2279.7600000000002</v>
      </c>
      <c r="U876" s="379"/>
      <c r="V876" s="380">
        <v>39198.44</v>
      </c>
      <c r="W876" s="381">
        <v>4</v>
      </c>
      <c r="X876" s="379"/>
      <c r="Y876" s="379"/>
      <c r="Z876" s="379">
        <v>1422001</v>
      </c>
      <c r="AA876" s="379" t="s">
        <v>2648</v>
      </c>
      <c r="AB876" s="380">
        <f t="shared" si="12"/>
        <v>0.33333333333333331</v>
      </c>
    </row>
    <row r="877" spans="1:31" outlineLevel="2" x14ac:dyDescent="0.3">
      <c r="A877" s="379">
        <v>431</v>
      </c>
      <c r="B877" s="379">
        <v>841000</v>
      </c>
      <c r="C877" s="379" t="s">
        <v>1629</v>
      </c>
      <c r="D877" s="379">
        <v>2577862</v>
      </c>
      <c r="E877" s="379" t="s">
        <v>3127</v>
      </c>
      <c r="F877" s="379" t="s">
        <v>3128</v>
      </c>
      <c r="G877" s="383">
        <v>36923</v>
      </c>
      <c r="H877" s="379">
        <v>145498.26</v>
      </c>
      <c r="I877" s="379">
        <v>8066.49</v>
      </c>
      <c r="J877" s="379">
        <v>27838.17</v>
      </c>
      <c r="K877" s="379">
        <v>10921.95</v>
      </c>
      <c r="L877" s="379"/>
      <c r="M877" s="379">
        <v>415.25</v>
      </c>
      <c r="N877" s="379"/>
      <c r="O877" s="379">
        <v>103041.39</v>
      </c>
      <c r="P877" s="379">
        <v>755.89</v>
      </c>
      <c r="Q877" s="379">
        <v>3965.06</v>
      </c>
      <c r="R877" s="379">
        <v>10496.64</v>
      </c>
      <c r="S877" s="379">
        <v>4977.6000000000004</v>
      </c>
      <c r="T877" s="379">
        <v>5860</v>
      </c>
      <c r="U877" s="379">
        <v>16401.68</v>
      </c>
      <c r="V877" s="380">
        <v>192740.12</v>
      </c>
      <c r="W877" s="381">
        <v>12</v>
      </c>
      <c r="X877" s="379"/>
      <c r="Y877" s="379"/>
      <c r="Z877" s="379">
        <v>1401001</v>
      </c>
      <c r="AA877" s="379" t="s">
        <v>3098</v>
      </c>
      <c r="AB877" s="380">
        <f t="shared" si="12"/>
        <v>1</v>
      </c>
    </row>
    <row r="878" spans="1:31" outlineLevel="2" x14ac:dyDescent="0.3">
      <c r="A878" s="379">
        <v>431</v>
      </c>
      <c r="B878" s="379">
        <v>841000</v>
      </c>
      <c r="C878" s="379" t="s">
        <v>1629</v>
      </c>
      <c r="D878" s="379">
        <v>2813447</v>
      </c>
      <c r="E878" s="379" t="s">
        <v>2948</v>
      </c>
      <c r="F878" s="379" t="s">
        <v>2843</v>
      </c>
      <c r="G878" s="383">
        <v>33848</v>
      </c>
      <c r="H878" s="379">
        <v>133714.88</v>
      </c>
      <c r="I878" s="379">
        <v>7321.68</v>
      </c>
      <c r="J878" s="379">
        <v>14236.24</v>
      </c>
      <c r="K878" s="379">
        <v>10185.4</v>
      </c>
      <c r="L878" s="379"/>
      <c r="M878" s="379">
        <v>461.9</v>
      </c>
      <c r="N878" s="379"/>
      <c r="O878" s="379">
        <v>96562.91</v>
      </c>
      <c r="P878" s="379">
        <v>14257.35</v>
      </c>
      <c r="Q878" s="379">
        <v>2692.56</v>
      </c>
      <c r="R878" s="379">
        <v>8404.7000000000007</v>
      </c>
      <c r="S878" s="379"/>
      <c r="T878" s="379">
        <v>10883.94</v>
      </c>
      <c r="U878" s="379">
        <v>913.42</v>
      </c>
      <c r="V878" s="380">
        <v>165920.1</v>
      </c>
      <c r="W878" s="381">
        <v>9.6</v>
      </c>
      <c r="X878" s="379"/>
      <c r="Y878" s="379"/>
      <c r="Z878" s="379">
        <v>1401001</v>
      </c>
      <c r="AA878" s="379" t="s">
        <v>3098</v>
      </c>
      <c r="AB878" s="380">
        <f t="shared" si="12"/>
        <v>0.79999999999999993</v>
      </c>
    </row>
    <row r="879" spans="1:31" outlineLevel="2" x14ac:dyDescent="0.3">
      <c r="A879" s="379">
        <v>431</v>
      </c>
      <c r="B879" s="379">
        <v>841000</v>
      </c>
      <c r="C879" s="379" t="s">
        <v>1629</v>
      </c>
      <c r="D879" s="379">
        <v>2887808</v>
      </c>
      <c r="E879" s="379" t="s">
        <v>2351</v>
      </c>
      <c r="F879" s="379" t="s">
        <v>2937</v>
      </c>
      <c r="G879" s="383">
        <v>42795</v>
      </c>
      <c r="H879" s="379">
        <v>98490.86</v>
      </c>
      <c r="I879" s="379">
        <v>4524.43</v>
      </c>
      <c r="J879" s="379">
        <v>18643.21</v>
      </c>
      <c r="K879" s="379">
        <v>7424.05</v>
      </c>
      <c r="L879" s="379"/>
      <c r="M879" s="379">
        <v>321.55</v>
      </c>
      <c r="N879" s="379"/>
      <c r="O879" s="379">
        <v>70115.34</v>
      </c>
      <c r="P879" s="379">
        <v>1386.5</v>
      </c>
      <c r="Q879" s="379">
        <v>2809.2</v>
      </c>
      <c r="R879" s="379">
        <v>17454.55</v>
      </c>
      <c r="S879" s="379"/>
      <c r="T879" s="379">
        <v>6725.27</v>
      </c>
      <c r="U879" s="379"/>
      <c r="V879" s="380">
        <v>129404.1</v>
      </c>
      <c r="W879" s="381">
        <v>12</v>
      </c>
      <c r="X879" s="379"/>
      <c r="Y879" s="379"/>
      <c r="Z879" s="379">
        <v>3202002</v>
      </c>
      <c r="AA879" s="379" t="s">
        <v>2290</v>
      </c>
      <c r="AB879" s="380">
        <f t="shared" si="12"/>
        <v>1</v>
      </c>
    </row>
    <row r="880" spans="1:31" outlineLevel="2" x14ac:dyDescent="0.3">
      <c r="A880" s="379">
        <v>431</v>
      </c>
      <c r="B880" s="379">
        <v>841000</v>
      </c>
      <c r="C880" s="379" t="s">
        <v>1629</v>
      </c>
      <c r="D880" s="379">
        <v>3311952</v>
      </c>
      <c r="E880" s="379" t="s">
        <v>2447</v>
      </c>
      <c r="F880" s="379" t="s">
        <v>2448</v>
      </c>
      <c r="G880" s="383">
        <v>36770</v>
      </c>
      <c r="H880" s="379">
        <v>27000.080000000002</v>
      </c>
      <c r="I880" s="379">
        <v>1523.78</v>
      </c>
      <c r="J880" s="379">
        <v>1997.61</v>
      </c>
      <c r="K880" s="379">
        <v>2025.02</v>
      </c>
      <c r="L880" s="379"/>
      <c r="M880" s="379">
        <v>103.61</v>
      </c>
      <c r="N880" s="379"/>
      <c r="O880" s="379">
        <v>25960.14</v>
      </c>
      <c r="P880" s="379"/>
      <c r="Q880" s="379">
        <v>72.92</v>
      </c>
      <c r="R880" s="379">
        <v>22.02</v>
      </c>
      <c r="S880" s="379"/>
      <c r="T880" s="379"/>
      <c r="U880" s="379">
        <v>945</v>
      </c>
      <c r="V880" s="380">
        <v>32650.1</v>
      </c>
      <c r="W880" s="381">
        <v>3</v>
      </c>
      <c r="X880" s="379"/>
      <c r="Y880" s="379"/>
      <c r="Z880" s="379">
        <v>1125017</v>
      </c>
      <c r="AA880" s="379" t="s">
        <v>2395</v>
      </c>
      <c r="AB880" s="380">
        <f t="shared" si="12"/>
        <v>0.25</v>
      </c>
    </row>
    <row r="881" spans="1:28" outlineLevel="2" x14ac:dyDescent="0.3">
      <c r="A881" s="379">
        <v>431</v>
      </c>
      <c r="B881" s="379">
        <v>841000</v>
      </c>
      <c r="C881" s="379" t="s">
        <v>1629</v>
      </c>
      <c r="D881" s="379">
        <v>3311952</v>
      </c>
      <c r="E881" s="379" t="s">
        <v>2447</v>
      </c>
      <c r="F881" s="379" t="s">
        <v>2448</v>
      </c>
      <c r="G881" s="383">
        <v>36770</v>
      </c>
      <c r="H881" s="379">
        <v>96188.72</v>
      </c>
      <c r="I881" s="379">
        <v>5347.5</v>
      </c>
      <c r="J881" s="379">
        <v>7172.34</v>
      </c>
      <c r="K881" s="379">
        <v>7251.3</v>
      </c>
      <c r="L881" s="379"/>
      <c r="M881" s="379">
        <v>271.35000000000002</v>
      </c>
      <c r="N881" s="379"/>
      <c r="O881" s="379">
        <v>64312.44</v>
      </c>
      <c r="P881" s="379">
        <v>2356.1999999999998</v>
      </c>
      <c r="Q881" s="379">
        <v>1678.4</v>
      </c>
      <c r="R881" s="379">
        <v>18419.68</v>
      </c>
      <c r="S881" s="379"/>
      <c r="T881" s="379">
        <v>6902</v>
      </c>
      <c r="U881" s="379">
        <v>2520</v>
      </c>
      <c r="V881" s="380">
        <v>116231.21</v>
      </c>
      <c r="W881" s="381">
        <v>8</v>
      </c>
      <c r="X881" s="379"/>
      <c r="Y881" s="379"/>
      <c r="Z881" s="379">
        <v>953001</v>
      </c>
      <c r="AA881" s="379" t="s">
        <v>2902</v>
      </c>
      <c r="AB881" s="380">
        <f t="shared" si="12"/>
        <v>0.66666666666666663</v>
      </c>
    </row>
    <row r="882" spans="1:28" outlineLevel="2" x14ac:dyDescent="0.3">
      <c r="A882" s="379">
        <v>431</v>
      </c>
      <c r="B882" s="379">
        <v>841000</v>
      </c>
      <c r="C882" s="379" t="s">
        <v>1629</v>
      </c>
      <c r="D882" s="379">
        <v>3456819</v>
      </c>
      <c r="E882" s="379" t="s">
        <v>2682</v>
      </c>
      <c r="F882" s="379" t="s">
        <v>3129</v>
      </c>
      <c r="G882" s="383">
        <v>40057</v>
      </c>
      <c r="H882" s="379">
        <v>128925.86</v>
      </c>
      <c r="I882" s="379">
        <v>6983.72</v>
      </c>
      <c r="J882" s="379">
        <v>25590.74</v>
      </c>
      <c r="K882" s="379">
        <v>9851.7999999999993</v>
      </c>
      <c r="L882" s="379"/>
      <c r="M882" s="379">
        <v>421.9</v>
      </c>
      <c r="N882" s="379"/>
      <c r="O882" s="379">
        <v>105517.34</v>
      </c>
      <c r="P882" s="379"/>
      <c r="Q882" s="379">
        <v>2809.2</v>
      </c>
      <c r="R882" s="379">
        <v>10496.64</v>
      </c>
      <c r="S882" s="379"/>
      <c r="T882" s="379">
        <v>5428</v>
      </c>
      <c r="U882" s="379">
        <v>4674.68</v>
      </c>
      <c r="V882" s="380">
        <v>171774.02</v>
      </c>
      <c r="W882" s="381">
        <v>12</v>
      </c>
      <c r="X882" s="379"/>
      <c r="Y882" s="379"/>
      <c r="Z882" s="379">
        <v>1401001</v>
      </c>
      <c r="AA882" s="379" t="s">
        <v>3098</v>
      </c>
      <c r="AB882" s="380">
        <f t="shared" si="12"/>
        <v>1</v>
      </c>
    </row>
    <row r="883" spans="1:28" outlineLevel="2" x14ac:dyDescent="0.3">
      <c r="A883" s="379">
        <v>431</v>
      </c>
      <c r="B883" s="379">
        <v>841000</v>
      </c>
      <c r="C883" s="379" t="s">
        <v>1629</v>
      </c>
      <c r="D883" s="379">
        <v>3467355</v>
      </c>
      <c r="E883" s="379" t="s">
        <v>3130</v>
      </c>
      <c r="F883" s="379" t="s">
        <v>3131</v>
      </c>
      <c r="G883" s="383">
        <v>42948</v>
      </c>
      <c r="H883" s="379">
        <v>71991.820000000007</v>
      </c>
      <c r="I883" s="379">
        <v>2954.13</v>
      </c>
      <c r="J883" s="379">
        <v>14133.4</v>
      </c>
      <c r="K883" s="379">
        <v>5505.87</v>
      </c>
      <c r="L883" s="379"/>
      <c r="M883" s="379">
        <v>224.5</v>
      </c>
      <c r="N883" s="379"/>
      <c r="O883" s="379">
        <v>55830.74</v>
      </c>
      <c r="P883" s="379"/>
      <c r="Q883" s="379">
        <v>2393.94</v>
      </c>
      <c r="R883" s="379">
        <v>6600.9</v>
      </c>
      <c r="S883" s="379"/>
      <c r="T883" s="379">
        <v>4311.54</v>
      </c>
      <c r="U883" s="379">
        <v>2854.7</v>
      </c>
      <c r="V883" s="380">
        <v>94809.72</v>
      </c>
      <c r="W883" s="381">
        <v>7.7149999999999999</v>
      </c>
      <c r="X883" s="379"/>
      <c r="Y883" s="379"/>
      <c r="Z883" s="379">
        <v>1401001</v>
      </c>
      <c r="AA883" s="379" t="s">
        <v>3098</v>
      </c>
      <c r="AB883" s="380">
        <f t="shared" si="12"/>
        <v>0.64291666666666669</v>
      </c>
    </row>
    <row r="884" spans="1:28" outlineLevel="2" x14ac:dyDescent="0.3">
      <c r="A884" s="379">
        <v>431</v>
      </c>
      <c r="B884" s="379">
        <v>841000</v>
      </c>
      <c r="C884" s="379" t="s">
        <v>1629</v>
      </c>
      <c r="D884" s="379">
        <v>3487523</v>
      </c>
      <c r="E884" s="379" t="s">
        <v>2303</v>
      </c>
      <c r="F884" s="379" t="s">
        <v>3132</v>
      </c>
      <c r="G884" s="383">
        <v>37653</v>
      </c>
      <c r="H884" s="379">
        <v>152432.81</v>
      </c>
      <c r="I884" s="379">
        <v>8766.01</v>
      </c>
      <c r="J884" s="379">
        <v>28254.19</v>
      </c>
      <c r="K884" s="379">
        <v>11609.4</v>
      </c>
      <c r="L884" s="379"/>
      <c r="M884" s="379">
        <v>470.75</v>
      </c>
      <c r="N884" s="379"/>
      <c r="O884" s="379">
        <v>104752.86</v>
      </c>
      <c r="P884" s="379">
        <v>12581.59</v>
      </c>
      <c r="Q884" s="379">
        <v>5528.6</v>
      </c>
      <c r="R884" s="379">
        <v>10159.68</v>
      </c>
      <c r="S884" s="379">
        <v>713.4</v>
      </c>
      <c r="T884" s="379">
        <v>5860</v>
      </c>
      <c r="U884" s="379">
        <v>12836.68</v>
      </c>
      <c r="V884" s="380">
        <v>201533.16</v>
      </c>
      <c r="W884" s="381">
        <v>12</v>
      </c>
      <c r="X884" s="379"/>
      <c r="Y884" s="379"/>
      <c r="Z884" s="379">
        <v>1401001</v>
      </c>
      <c r="AA884" s="379" t="s">
        <v>3098</v>
      </c>
      <c r="AB884" s="380">
        <f t="shared" si="12"/>
        <v>1</v>
      </c>
    </row>
    <row r="885" spans="1:28" outlineLevel="2" x14ac:dyDescent="0.3">
      <c r="A885" s="379">
        <v>431</v>
      </c>
      <c r="B885" s="379">
        <v>841000</v>
      </c>
      <c r="C885" s="379" t="s">
        <v>1629</v>
      </c>
      <c r="D885" s="379">
        <v>3599526</v>
      </c>
      <c r="E885" s="379" t="s">
        <v>3133</v>
      </c>
      <c r="F885" s="379" t="s">
        <v>969</v>
      </c>
      <c r="G885" s="383">
        <v>43344</v>
      </c>
      <c r="H885" s="379">
        <v>112905.02</v>
      </c>
      <c r="I885" s="379">
        <v>5538.01</v>
      </c>
      <c r="J885" s="379">
        <v>19206.330000000002</v>
      </c>
      <c r="K885" s="379">
        <v>8080.58</v>
      </c>
      <c r="L885" s="379"/>
      <c r="M885" s="379">
        <v>334.35</v>
      </c>
      <c r="N885" s="379"/>
      <c r="O885" s="379">
        <v>92208.78</v>
      </c>
      <c r="P885" s="379">
        <v>-10.3</v>
      </c>
      <c r="Q885" s="379">
        <v>2331.06</v>
      </c>
      <c r="R885" s="379">
        <v>8747.2000000000007</v>
      </c>
      <c r="S885" s="379"/>
      <c r="T885" s="379">
        <v>1726.28</v>
      </c>
      <c r="U885" s="379">
        <v>7902</v>
      </c>
      <c r="V885" s="380">
        <v>146064.29</v>
      </c>
      <c r="W885" s="381">
        <v>10.193</v>
      </c>
      <c r="X885" s="379"/>
      <c r="Y885" s="379"/>
      <c r="Z885" s="379">
        <v>1401001</v>
      </c>
      <c r="AA885" s="379" t="s">
        <v>3098</v>
      </c>
      <c r="AB885" s="380">
        <f t="shared" si="12"/>
        <v>0.8494166666666666</v>
      </c>
    </row>
    <row r="886" spans="1:28" outlineLevel="2" x14ac:dyDescent="0.3">
      <c r="A886" s="379">
        <v>431</v>
      </c>
      <c r="B886" s="379">
        <v>841000</v>
      </c>
      <c r="C886" s="379" t="s">
        <v>1629</v>
      </c>
      <c r="D886" s="379">
        <v>3608908</v>
      </c>
      <c r="E886" s="379" t="s">
        <v>3134</v>
      </c>
      <c r="F886" s="379" t="s">
        <v>2706</v>
      </c>
      <c r="G886" s="383">
        <v>43313</v>
      </c>
      <c r="H886" s="379">
        <v>115538.06</v>
      </c>
      <c r="I886" s="379">
        <v>5933.25</v>
      </c>
      <c r="J886" s="379">
        <v>22793.17</v>
      </c>
      <c r="K886" s="379">
        <v>8814.2000000000007</v>
      </c>
      <c r="L886" s="379"/>
      <c r="M886" s="379">
        <v>375.95</v>
      </c>
      <c r="N886" s="379"/>
      <c r="O886" s="379">
        <v>94000.26</v>
      </c>
      <c r="P886" s="379"/>
      <c r="Q886" s="379">
        <v>2712</v>
      </c>
      <c r="R886" s="379">
        <v>10155.68</v>
      </c>
      <c r="S886" s="379"/>
      <c r="T886" s="379">
        <v>1019.52</v>
      </c>
      <c r="U886" s="379">
        <v>7650.6</v>
      </c>
      <c r="V886" s="380">
        <v>153454.63</v>
      </c>
      <c r="W886" s="381">
        <v>9.8000000000000007</v>
      </c>
      <c r="X886" s="379"/>
      <c r="Y886" s="379"/>
      <c r="Z886" s="379">
        <v>1401001</v>
      </c>
      <c r="AA886" s="379" t="s">
        <v>3098</v>
      </c>
      <c r="AB886" s="380">
        <f t="shared" si="12"/>
        <v>0.81666666666666676</v>
      </c>
    </row>
    <row r="887" spans="1:28" outlineLevel="2" x14ac:dyDescent="0.3">
      <c r="A887" s="379">
        <v>431</v>
      </c>
      <c r="B887" s="379">
        <v>841000</v>
      </c>
      <c r="C887" s="379" t="s">
        <v>1629</v>
      </c>
      <c r="D887" s="379">
        <v>3631248</v>
      </c>
      <c r="E887" s="379" t="s">
        <v>3135</v>
      </c>
      <c r="F887" s="379" t="s">
        <v>2935</v>
      </c>
      <c r="G887" s="383">
        <v>43344</v>
      </c>
      <c r="H887" s="379">
        <v>106026.69</v>
      </c>
      <c r="I887" s="379">
        <v>5638.62</v>
      </c>
      <c r="J887" s="379">
        <v>17828.89</v>
      </c>
      <c r="K887" s="379">
        <v>8028.1</v>
      </c>
      <c r="L887" s="379"/>
      <c r="M887" s="379">
        <v>347.65</v>
      </c>
      <c r="N887" s="379"/>
      <c r="O887" s="379">
        <v>86898.59</v>
      </c>
      <c r="P887" s="379"/>
      <c r="Q887" s="379">
        <v>1976</v>
      </c>
      <c r="R887" s="379">
        <v>8747.2000000000007</v>
      </c>
      <c r="S887" s="379">
        <v>1646.5</v>
      </c>
      <c r="T887" s="379">
        <v>1036.8</v>
      </c>
      <c r="U887" s="379">
        <v>5721.6</v>
      </c>
      <c r="V887" s="380">
        <v>137869.95000000001</v>
      </c>
      <c r="W887" s="381">
        <v>10</v>
      </c>
      <c r="X887" s="379"/>
      <c r="Y887" s="379"/>
      <c r="Z887" s="379">
        <v>1401001</v>
      </c>
      <c r="AA887" s="379" t="s">
        <v>3098</v>
      </c>
      <c r="AB887" s="380">
        <f t="shared" si="12"/>
        <v>0.83333333333333337</v>
      </c>
    </row>
    <row r="888" spans="1:28" outlineLevel="2" x14ac:dyDescent="0.3">
      <c r="A888" s="379">
        <v>431</v>
      </c>
      <c r="B888" s="379">
        <v>841000</v>
      </c>
      <c r="C888" s="379" t="s">
        <v>1629</v>
      </c>
      <c r="D888" s="379">
        <v>3673846</v>
      </c>
      <c r="E888" s="379" t="s">
        <v>3096</v>
      </c>
      <c r="F888" s="379" t="s">
        <v>3097</v>
      </c>
      <c r="G888" s="383">
        <v>43435</v>
      </c>
      <c r="H888" s="379">
        <v>92088.12</v>
      </c>
      <c r="I888" s="379">
        <v>16542.82</v>
      </c>
      <c r="J888" s="379">
        <v>17362.7</v>
      </c>
      <c r="K888" s="379">
        <v>6872.22</v>
      </c>
      <c r="L888" s="379"/>
      <c r="M888" s="379">
        <v>291.8</v>
      </c>
      <c r="N888" s="379"/>
      <c r="O888" s="379">
        <v>73037.36</v>
      </c>
      <c r="P888" s="379"/>
      <c r="Q888" s="379">
        <v>2106.8000000000002</v>
      </c>
      <c r="R888" s="379">
        <v>8560.6299999999992</v>
      </c>
      <c r="S888" s="379"/>
      <c r="T888" s="379">
        <v>3.46</v>
      </c>
      <c r="U888" s="379">
        <v>8379.8700000000008</v>
      </c>
      <c r="V888" s="380">
        <v>133157.66</v>
      </c>
      <c r="W888" s="381">
        <v>9.1579999999999995</v>
      </c>
      <c r="X888" s="379"/>
      <c r="Y888" s="379"/>
      <c r="Z888" s="379">
        <v>1401001</v>
      </c>
      <c r="AA888" s="379" t="s">
        <v>3098</v>
      </c>
      <c r="AB888" s="380">
        <f t="shared" si="12"/>
        <v>0.76316666666666666</v>
      </c>
    </row>
    <row r="889" spans="1:28" outlineLevel="2" x14ac:dyDescent="0.3">
      <c r="A889" s="379">
        <v>431</v>
      </c>
      <c r="B889" s="379">
        <v>841000</v>
      </c>
      <c r="C889" s="379" t="s">
        <v>1629</v>
      </c>
      <c r="D889" s="379">
        <v>3701812</v>
      </c>
      <c r="E889" s="379" t="s">
        <v>3136</v>
      </c>
      <c r="F889" s="379" t="s">
        <v>2586</v>
      </c>
      <c r="G889" s="383">
        <v>42795</v>
      </c>
      <c r="H889" s="379">
        <v>57949.1</v>
      </c>
      <c r="I889" s="379">
        <v>2146.62</v>
      </c>
      <c r="J889" s="379">
        <v>10934.09</v>
      </c>
      <c r="K889" s="379">
        <v>4383.3500000000004</v>
      </c>
      <c r="L889" s="379"/>
      <c r="M889" s="379">
        <v>168.2</v>
      </c>
      <c r="N889" s="379"/>
      <c r="O889" s="379">
        <v>39886.879999999997</v>
      </c>
      <c r="P889" s="379">
        <v>1386.5</v>
      </c>
      <c r="Q889" s="379">
        <v>2546.7600000000002</v>
      </c>
      <c r="R889" s="379">
        <v>8592.11</v>
      </c>
      <c r="S889" s="379"/>
      <c r="T889" s="379">
        <v>5536.85</v>
      </c>
      <c r="U889" s="379"/>
      <c r="V889" s="380">
        <v>75581.36</v>
      </c>
      <c r="W889" s="381">
        <v>6.6</v>
      </c>
      <c r="X889" s="379"/>
      <c r="Y889" s="379"/>
      <c r="Z889" s="379">
        <v>1403002</v>
      </c>
      <c r="AA889" s="379" t="s">
        <v>3137</v>
      </c>
      <c r="AB889" s="380">
        <f t="shared" si="12"/>
        <v>0.54999999999999993</v>
      </c>
    </row>
    <row r="890" spans="1:28" outlineLevel="2" x14ac:dyDescent="0.3">
      <c r="A890" s="379">
        <v>431</v>
      </c>
      <c r="B890" s="379">
        <v>841000</v>
      </c>
      <c r="C890" s="379" t="s">
        <v>1629</v>
      </c>
      <c r="D890" s="379">
        <v>3827852</v>
      </c>
      <c r="E890" s="379" t="s">
        <v>2401</v>
      </c>
      <c r="F890" s="379" t="s">
        <v>3094</v>
      </c>
      <c r="G890" s="383">
        <v>41334</v>
      </c>
      <c r="H890" s="379">
        <v>165712.1</v>
      </c>
      <c r="I890" s="379">
        <v>9670.36</v>
      </c>
      <c r="J890" s="379">
        <v>31230.09</v>
      </c>
      <c r="K890" s="379">
        <v>12507.7</v>
      </c>
      <c r="L890" s="379"/>
      <c r="M890" s="379">
        <v>573.25</v>
      </c>
      <c r="N890" s="379"/>
      <c r="O890" s="379">
        <v>104012.01</v>
      </c>
      <c r="P890" s="379">
        <v>39187.21</v>
      </c>
      <c r="Q890" s="379">
        <v>4665.8599999999997</v>
      </c>
      <c r="R890" s="379">
        <v>10598.94</v>
      </c>
      <c r="S890" s="379"/>
      <c r="T890" s="379">
        <v>4996</v>
      </c>
      <c r="U890" s="379">
        <v>2252.08</v>
      </c>
      <c r="V890" s="380">
        <v>219693.5</v>
      </c>
      <c r="W890" s="381">
        <v>12</v>
      </c>
      <c r="X890" s="379"/>
      <c r="Y890" s="379"/>
      <c r="Z890" s="379">
        <v>1401001</v>
      </c>
      <c r="AA890" s="379" t="s">
        <v>3098</v>
      </c>
      <c r="AB890" s="380">
        <f t="shared" si="12"/>
        <v>1</v>
      </c>
    </row>
    <row r="891" spans="1:28" outlineLevel="2" x14ac:dyDescent="0.3">
      <c r="A891" s="379">
        <v>431</v>
      </c>
      <c r="B891" s="379">
        <v>841000</v>
      </c>
      <c r="C891" s="379" t="s">
        <v>1629</v>
      </c>
      <c r="D891" s="379">
        <v>3929188</v>
      </c>
      <c r="E891" s="379" t="s">
        <v>3099</v>
      </c>
      <c r="F891" s="379" t="s">
        <v>2379</v>
      </c>
      <c r="G891" s="383">
        <v>42675</v>
      </c>
      <c r="H891" s="379">
        <v>21310.7</v>
      </c>
      <c r="I891" s="379">
        <v>1107.3599999999999</v>
      </c>
      <c r="J891" s="379">
        <v>4217.7</v>
      </c>
      <c r="K891" s="379">
        <v>1657.57</v>
      </c>
      <c r="L891" s="379"/>
      <c r="M891" s="379">
        <v>59.69</v>
      </c>
      <c r="N891" s="379"/>
      <c r="O891" s="379">
        <v>14804.05</v>
      </c>
      <c r="P891" s="379">
        <v>40.93</v>
      </c>
      <c r="Q891" s="379">
        <v>847.04</v>
      </c>
      <c r="R891" s="379">
        <v>2144.06</v>
      </c>
      <c r="S891" s="379"/>
      <c r="T891" s="379">
        <v>2288.09</v>
      </c>
      <c r="U891" s="379">
        <v>1186.53</v>
      </c>
      <c r="V891" s="380">
        <v>28353.02</v>
      </c>
      <c r="W891" s="381">
        <v>2.048</v>
      </c>
      <c r="X891" s="379"/>
      <c r="Y891" s="379"/>
      <c r="Z891" s="379">
        <v>1401001</v>
      </c>
      <c r="AA891" s="379" t="s">
        <v>3098</v>
      </c>
      <c r="AB891" s="380">
        <f t="shared" si="12"/>
        <v>0.17066666666666666</v>
      </c>
    </row>
    <row r="892" spans="1:28" outlineLevel="2" x14ac:dyDescent="0.3">
      <c r="A892" s="379">
        <v>431</v>
      </c>
      <c r="B892" s="379">
        <v>841000</v>
      </c>
      <c r="C892" s="379" t="s">
        <v>1629</v>
      </c>
      <c r="D892" s="379">
        <v>3970592</v>
      </c>
      <c r="E892" s="379" t="s">
        <v>2428</v>
      </c>
      <c r="F892" s="379" t="s">
        <v>2429</v>
      </c>
      <c r="G892" s="383">
        <v>42826</v>
      </c>
      <c r="H892" s="379">
        <v>70769.490000000005</v>
      </c>
      <c r="I892" s="379">
        <v>2957.55</v>
      </c>
      <c r="J892" s="379">
        <v>13930.77</v>
      </c>
      <c r="K892" s="379">
        <v>5345.44</v>
      </c>
      <c r="L892" s="379"/>
      <c r="M892" s="379">
        <v>233.39</v>
      </c>
      <c r="N892" s="379"/>
      <c r="O892" s="379">
        <v>54981.58</v>
      </c>
      <c r="P892" s="379">
        <v>264.61</v>
      </c>
      <c r="Q892" s="379">
        <v>2692.56</v>
      </c>
      <c r="R892" s="379">
        <v>7654.74</v>
      </c>
      <c r="S892" s="379"/>
      <c r="T892" s="379">
        <v>5176</v>
      </c>
      <c r="U892" s="379"/>
      <c r="V892" s="380">
        <v>93236.64</v>
      </c>
      <c r="W892" s="381">
        <v>9.6</v>
      </c>
      <c r="X892" s="379"/>
      <c r="Y892" s="379"/>
      <c r="Z892" s="379">
        <v>3702001</v>
      </c>
      <c r="AA892" s="379" t="s">
        <v>2430</v>
      </c>
      <c r="AB892" s="380">
        <f t="shared" si="12"/>
        <v>0.79999999999999993</v>
      </c>
    </row>
    <row r="893" spans="1:28" outlineLevel="2" x14ac:dyDescent="0.3">
      <c r="A893" s="379">
        <v>431</v>
      </c>
      <c r="B893" s="379">
        <v>841000</v>
      </c>
      <c r="C893" s="379" t="s">
        <v>1629</v>
      </c>
      <c r="D893" s="379">
        <v>4283578</v>
      </c>
      <c r="E893" s="379" t="s">
        <v>3138</v>
      </c>
      <c r="F893" s="379" t="s">
        <v>3139</v>
      </c>
      <c r="G893" s="383">
        <v>40513</v>
      </c>
      <c r="H893" s="379">
        <v>71919.27</v>
      </c>
      <c r="I893" s="379">
        <v>3904.99</v>
      </c>
      <c r="J893" s="379">
        <v>21326.48</v>
      </c>
      <c r="K893" s="379">
        <v>5661.05</v>
      </c>
      <c r="L893" s="379"/>
      <c r="M893" s="379">
        <v>227.45</v>
      </c>
      <c r="N893" s="379"/>
      <c r="O893" s="379">
        <v>56881.84</v>
      </c>
      <c r="P893" s="379"/>
      <c r="Q893" s="379">
        <v>1952.43</v>
      </c>
      <c r="R893" s="379">
        <v>5627.34</v>
      </c>
      <c r="S893" s="379"/>
      <c r="T893" s="379">
        <v>4996</v>
      </c>
      <c r="U893" s="379">
        <v>2461.66</v>
      </c>
      <c r="V893" s="380">
        <v>103039.24</v>
      </c>
      <c r="W893" s="381">
        <v>6.4329999999999998</v>
      </c>
      <c r="X893" s="379"/>
      <c r="Y893" s="379"/>
      <c r="Z893" s="379">
        <v>1401001</v>
      </c>
      <c r="AA893" s="379" t="s">
        <v>3098</v>
      </c>
      <c r="AB893" s="380">
        <f t="shared" si="12"/>
        <v>0.53608333333333336</v>
      </c>
    </row>
    <row r="894" spans="1:28" outlineLevel="2" x14ac:dyDescent="0.3">
      <c r="A894" s="379">
        <v>431</v>
      </c>
      <c r="B894" s="379">
        <v>841000</v>
      </c>
      <c r="C894" s="379" t="s">
        <v>1629</v>
      </c>
      <c r="D894" s="379">
        <v>5344141</v>
      </c>
      <c r="E894" s="379" t="s">
        <v>3140</v>
      </c>
      <c r="F894" s="379" t="s">
        <v>2322</v>
      </c>
      <c r="G894" s="383">
        <v>32021</v>
      </c>
      <c r="H894" s="379">
        <v>28412.43</v>
      </c>
      <c r="I894" s="379">
        <v>1433.72</v>
      </c>
      <c r="J894" s="379">
        <v>3131.77</v>
      </c>
      <c r="K894" s="379">
        <v>2130.1</v>
      </c>
      <c r="L894" s="379"/>
      <c r="M894" s="379">
        <v>104.97</v>
      </c>
      <c r="N894" s="379"/>
      <c r="O894" s="379">
        <v>25115.11</v>
      </c>
      <c r="P894" s="379"/>
      <c r="Q894" s="379">
        <v>116.64</v>
      </c>
      <c r="R894" s="379"/>
      <c r="S894" s="379">
        <v>361.2</v>
      </c>
      <c r="T894" s="379">
        <v>2819.48</v>
      </c>
      <c r="U894" s="379"/>
      <c r="V894" s="380">
        <v>35212.99</v>
      </c>
      <c r="W894" s="381">
        <v>2.4</v>
      </c>
      <c r="X894" s="379"/>
      <c r="Y894" s="379"/>
      <c r="Z894" s="379">
        <v>1401001</v>
      </c>
      <c r="AA894" s="379" t="s">
        <v>3098</v>
      </c>
      <c r="AB894" s="380">
        <f t="shared" si="12"/>
        <v>0.19999999999999998</v>
      </c>
    </row>
    <row r="895" spans="1:28" outlineLevel="2" x14ac:dyDescent="0.3">
      <c r="A895" s="379">
        <v>431</v>
      </c>
      <c r="B895" s="379">
        <v>841000</v>
      </c>
      <c r="C895" s="379" t="s">
        <v>1629</v>
      </c>
      <c r="D895" s="379">
        <v>5410555</v>
      </c>
      <c r="E895" s="379" t="s">
        <v>3141</v>
      </c>
      <c r="F895" s="379" t="s">
        <v>3142</v>
      </c>
      <c r="G895" s="383">
        <v>33055</v>
      </c>
      <c r="H895" s="379">
        <v>221049.81</v>
      </c>
      <c r="I895" s="379">
        <v>14076.37</v>
      </c>
      <c r="J895" s="379">
        <v>23242.48</v>
      </c>
      <c r="K895" s="379">
        <v>16852.5</v>
      </c>
      <c r="L895" s="379"/>
      <c r="M895" s="379">
        <v>726.25</v>
      </c>
      <c r="N895" s="379"/>
      <c r="O895" s="379">
        <v>138031.19</v>
      </c>
      <c r="P895" s="379">
        <v>30604</v>
      </c>
      <c r="Q895" s="379">
        <v>2809.2</v>
      </c>
      <c r="R895" s="379">
        <v>29177.96</v>
      </c>
      <c r="S895" s="379">
        <v>5681.4</v>
      </c>
      <c r="T895" s="379">
        <v>14746.06</v>
      </c>
      <c r="U895" s="379"/>
      <c r="V895" s="380">
        <v>275947.40999999997</v>
      </c>
      <c r="W895" s="381">
        <v>12</v>
      </c>
      <c r="X895" s="379"/>
      <c r="Y895" s="379"/>
      <c r="Z895" s="379">
        <v>1401001</v>
      </c>
      <c r="AA895" s="379" t="s">
        <v>3098</v>
      </c>
      <c r="AB895" s="380">
        <f t="shared" si="12"/>
        <v>1</v>
      </c>
    </row>
    <row r="896" spans="1:28" outlineLevel="2" x14ac:dyDescent="0.3">
      <c r="A896" s="379">
        <v>431</v>
      </c>
      <c r="B896" s="379">
        <v>841000</v>
      </c>
      <c r="C896" s="379" t="s">
        <v>1629</v>
      </c>
      <c r="D896" s="379">
        <v>5568526</v>
      </c>
      <c r="E896" s="379" t="s">
        <v>3045</v>
      </c>
      <c r="F896" s="379" t="s">
        <v>3143</v>
      </c>
      <c r="G896" s="383">
        <v>31291</v>
      </c>
      <c r="H896" s="379">
        <v>225502.17</v>
      </c>
      <c r="I896" s="379">
        <v>14356.88</v>
      </c>
      <c r="J896" s="379">
        <v>23907.02</v>
      </c>
      <c r="K896" s="379">
        <v>17129.150000000001</v>
      </c>
      <c r="L896" s="379"/>
      <c r="M896" s="379">
        <v>761.75</v>
      </c>
      <c r="N896" s="379"/>
      <c r="O896" s="379">
        <v>130218.6</v>
      </c>
      <c r="P896" s="379">
        <v>53520.88</v>
      </c>
      <c r="Q896" s="379">
        <v>7993.2</v>
      </c>
      <c r="R896" s="379">
        <v>16244.96</v>
      </c>
      <c r="S896" s="379">
        <v>1988.4</v>
      </c>
      <c r="T896" s="379">
        <v>14450.13</v>
      </c>
      <c r="U896" s="379">
        <v>1086</v>
      </c>
      <c r="V896" s="380">
        <v>281656.96999999997</v>
      </c>
      <c r="W896" s="381">
        <v>12</v>
      </c>
      <c r="X896" s="379"/>
      <c r="Y896" s="379"/>
      <c r="Z896" s="379">
        <v>1401001</v>
      </c>
      <c r="AA896" s="379" t="s">
        <v>3098</v>
      </c>
      <c r="AB896" s="380">
        <f t="shared" si="12"/>
        <v>1</v>
      </c>
    </row>
    <row r="897" spans="1:28" outlineLevel="2" x14ac:dyDescent="0.3">
      <c r="A897" s="379">
        <v>431</v>
      </c>
      <c r="B897" s="379">
        <v>841000</v>
      </c>
      <c r="C897" s="379" t="s">
        <v>1629</v>
      </c>
      <c r="D897" s="379">
        <v>5569359</v>
      </c>
      <c r="E897" s="379" t="s">
        <v>2332</v>
      </c>
      <c r="F897" s="379" t="s">
        <v>2717</v>
      </c>
      <c r="G897" s="383">
        <v>43313</v>
      </c>
      <c r="H897" s="379">
        <v>121140.72</v>
      </c>
      <c r="I897" s="379">
        <v>6407.99</v>
      </c>
      <c r="J897" s="379">
        <v>24932.74</v>
      </c>
      <c r="K897" s="379">
        <v>9280.1</v>
      </c>
      <c r="L897" s="379"/>
      <c r="M897" s="379">
        <v>430.2</v>
      </c>
      <c r="N897" s="379"/>
      <c r="O897" s="379">
        <v>107554.91</v>
      </c>
      <c r="P897" s="379"/>
      <c r="Q897" s="379">
        <v>2783.91</v>
      </c>
      <c r="R897" s="379">
        <v>9953.94</v>
      </c>
      <c r="S897" s="379"/>
      <c r="T897" s="379">
        <v>787.96</v>
      </c>
      <c r="U897" s="379">
        <v>60</v>
      </c>
      <c r="V897" s="380">
        <v>162191.75</v>
      </c>
      <c r="W897" s="381">
        <v>11.48</v>
      </c>
      <c r="X897" s="379"/>
      <c r="Y897" s="379"/>
      <c r="Z897" s="379">
        <v>1401001</v>
      </c>
      <c r="AA897" s="379" t="s">
        <v>3098</v>
      </c>
      <c r="AB897" s="380">
        <f t="shared" si="12"/>
        <v>0.95666666666666667</v>
      </c>
    </row>
    <row r="898" spans="1:28" outlineLevel="2" x14ac:dyDescent="0.3">
      <c r="A898" s="379">
        <v>431</v>
      </c>
      <c r="B898" s="379">
        <v>841000</v>
      </c>
      <c r="C898" s="379" t="s">
        <v>1629</v>
      </c>
      <c r="D898" s="379">
        <v>5716515</v>
      </c>
      <c r="E898" s="379" t="s">
        <v>2807</v>
      </c>
      <c r="F898" s="379" t="s">
        <v>3045</v>
      </c>
      <c r="G898" s="383">
        <v>32417</v>
      </c>
      <c r="H898" s="379">
        <v>7020</v>
      </c>
      <c r="I898" s="379">
        <v>403.51</v>
      </c>
      <c r="J898" s="379">
        <v>718.59</v>
      </c>
      <c r="K898" s="379">
        <v>526.44000000000005</v>
      </c>
      <c r="L898" s="379"/>
      <c r="M898" s="379">
        <v>28.04</v>
      </c>
      <c r="N898" s="379"/>
      <c r="O898" s="379"/>
      <c r="P898" s="379">
        <v>5265</v>
      </c>
      <c r="Q898" s="379"/>
      <c r="R898" s="379">
        <v>1755</v>
      </c>
      <c r="S898" s="379"/>
      <c r="T898" s="379"/>
      <c r="U898" s="379"/>
      <c r="V898" s="380">
        <v>8696.58</v>
      </c>
      <c r="W898" s="381"/>
      <c r="X898" s="379">
        <v>111</v>
      </c>
      <c r="Y898" s="379" t="s">
        <v>2575</v>
      </c>
      <c r="Z898" s="379">
        <v>3311007</v>
      </c>
      <c r="AA898" s="379" t="s">
        <v>2336</v>
      </c>
      <c r="AB898" s="380">
        <f t="shared" si="12"/>
        <v>0</v>
      </c>
    </row>
    <row r="899" spans="1:28" outlineLevel="2" x14ac:dyDescent="0.3">
      <c r="A899" s="379">
        <v>431</v>
      </c>
      <c r="B899" s="379">
        <v>841000</v>
      </c>
      <c r="C899" s="379" t="s">
        <v>1629</v>
      </c>
      <c r="D899" s="379">
        <v>5833920</v>
      </c>
      <c r="E899" s="379" t="s">
        <v>3144</v>
      </c>
      <c r="F899" s="379" t="s">
        <v>2624</v>
      </c>
      <c r="G899" s="383">
        <v>32387</v>
      </c>
      <c r="H899" s="379">
        <v>62588.11</v>
      </c>
      <c r="I899" s="379">
        <v>2308.38</v>
      </c>
      <c r="J899" s="379">
        <v>6863.57</v>
      </c>
      <c r="K899" s="379">
        <v>4693.1899999999996</v>
      </c>
      <c r="L899" s="379"/>
      <c r="M899" s="379">
        <v>235.28</v>
      </c>
      <c r="N899" s="379"/>
      <c r="O899" s="379">
        <v>56263.97</v>
      </c>
      <c r="P899" s="379"/>
      <c r="Q899" s="379">
        <v>291.60000000000002</v>
      </c>
      <c r="R899" s="379"/>
      <c r="S899" s="379"/>
      <c r="T899" s="379">
        <v>6010.47</v>
      </c>
      <c r="U899" s="379">
        <v>22.07</v>
      </c>
      <c r="V899" s="380">
        <v>76688.53</v>
      </c>
      <c r="W899" s="381">
        <v>6</v>
      </c>
      <c r="X899" s="379"/>
      <c r="Y899" s="379"/>
      <c r="Z899" s="379">
        <v>1401001</v>
      </c>
      <c r="AA899" s="379" t="s">
        <v>3098</v>
      </c>
      <c r="AB899" s="380">
        <f t="shared" ref="AB899:AB967" si="13">W899/12</f>
        <v>0.5</v>
      </c>
    </row>
    <row r="900" spans="1:28" outlineLevel="2" x14ac:dyDescent="0.3">
      <c r="A900" s="379">
        <v>431</v>
      </c>
      <c r="B900" s="379">
        <v>841000</v>
      </c>
      <c r="C900" s="379" t="s">
        <v>1629</v>
      </c>
      <c r="D900" s="379">
        <v>5870939</v>
      </c>
      <c r="E900" s="379" t="s">
        <v>3145</v>
      </c>
      <c r="F900" s="379" t="s">
        <v>2998</v>
      </c>
      <c r="G900" s="383">
        <v>40513</v>
      </c>
      <c r="H900" s="379">
        <v>28642.32</v>
      </c>
      <c r="I900" s="379">
        <v>1408.04</v>
      </c>
      <c r="J900" s="379">
        <v>4658.18</v>
      </c>
      <c r="K900" s="379">
        <v>2299.67</v>
      </c>
      <c r="L900" s="379"/>
      <c r="M900" s="379">
        <v>68.27</v>
      </c>
      <c r="N900" s="379"/>
      <c r="O900" s="379">
        <v>14913.83</v>
      </c>
      <c r="P900" s="379">
        <v>1968.11</v>
      </c>
      <c r="Q900" s="379">
        <v>2898.56</v>
      </c>
      <c r="R900" s="379">
        <v>7921.62</v>
      </c>
      <c r="S900" s="379"/>
      <c r="T900" s="379">
        <v>814.2</v>
      </c>
      <c r="U900" s="379">
        <v>126</v>
      </c>
      <c r="V900" s="380">
        <v>37076.480000000003</v>
      </c>
      <c r="W900" s="381">
        <v>1.8</v>
      </c>
      <c r="X900" s="379"/>
      <c r="Y900" s="379"/>
      <c r="Z900" s="379">
        <v>1401001</v>
      </c>
      <c r="AA900" s="379" t="s">
        <v>3098</v>
      </c>
      <c r="AB900" s="380">
        <f t="shared" si="13"/>
        <v>0.15</v>
      </c>
    </row>
    <row r="901" spans="1:28" outlineLevel="2" x14ac:dyDescent="0.3">
      <c r="A901" s="379">
        <v>431</v>
      </c>
      <c r="B901" s="379">
        <v>841000</v>
      </c>
      <c r="C901" s="379" t="s">
        <v>1629</v>
      </c>
      <c r="D901" s="379">
        <v>5905985</v>
      </c>
      <c r="E901" s="379" t="s">
        <v>3146</v>
      </c>
      <c r="F901" s="379" t="s">
        <v>2319</v>
      </c>
      <c r="G901" s="383">
        <v>33909</v>
      </c>
      <c r="H901" s="379">
        <v>217726.5</v>
      </c>
      <c r="I901" s="379">
        <v>13813.62</v>
      </c>
      <c r="J901" s="379">
        <v>24188.78</v>
      </c>
      <c r="K901" s="379">
        <v>16593</v>
      </c>
      <c r="L901" s="379"/>
      <c r="M901" s="379">
        <v>761.75</v>
      </c>
      <c r="N901" s="379"/>
      <c r="O901" s="379">
        <v>132512.95000000001</v>
      </c>
      <c r="P901" s="379">
        <v>51297.17</v>
      </c>
      <c r="Q901" s="379">
        <v>2517.6</v>
      </c>
      <c r="R901" s="379">
        <v>13396.7</v>
      </c>
      <c r="S901" s="379">
        <v>3666.6</v>
      </c>
      <c r="T901" s="379">
        <v>14335.48</v>
      </c>
      <c r="U901" s="379"/>
      <c r="V901" s="380">
        <v>273083.65000000002</v>
      </c>
      <c r="W901" s="381">
        <v>12</v>
      </c>
      <c r="X901" s="379"/>
      <c r="Y901" s="379"/>
      <c r="Z901" s="379">
        <v>1401001</v>
      </c>
      <c r="AA901" s="379" t="s">
        <v>3098</v>
      </c>
      <c r="AB901" s="380">
        <f t="shared" si="13"/>
        <v>1</v>
      </c>
    </row>
    <row r="902" spans="1:28" outlineLevel="2" x14ac:dyDescent="0.3">
      <c r="A902" s="379">
        <v>431</v>
      </c>
      <c r="B902" s="379">
        <v>841000</v>
      </c>
      <c r="C902" s="379" t="s">
        <v>1629</v>
      </c>
      <c r="D902" s="379">
        <v>5918669</v>
      </c>
      <c r="E902" s="379" t="s">
        <v>2986</v>
      </c>
      <c r="F902" s="379" t="s">
        <v>3147</v>
      </c>
      <c r="G902" s="383">
        <v>35096</v>
      </c>
      <c r="H902" s="379">
        <v>116534.89</v>
      </c>
      <c r="I902" s="379">
        <v>5894.31</v>
      </c>
      <c r="J902" s="379">
        <v>10457.84</v>
      </c>
      <c r="K902" s="379">
        <v>8777.2000000000007</v>
      </c>
      <c r="L902" s="379"/>
      <c r="M902" s="379">
        <v>372.8</v>
      </c>
      <c r="N902" s="379"/>
      <c r="O902" s="379">
        <v>81920.98</v>
      </c>
      <c r="P902" s="379">
        <v>7190.09</v>
      </c>
      <c r="Q902" s="379">
        <v>2809.2</v>
      </c>
      <c r="R902" s="379">
        <v>12750.34</v>
      </c>
      <c r="S902" s="379"/>
      <c r="T902" s="379">
        <v>11864.28</v>
      </c>
      <c r="U902" s="379"/>
      <c r="V902" s="380">
        <v>142037.04</v>
      </c>
      <c r="W902" s="381">
        <v>12</v>
      </c>
      <c r="X902" s="379">
        <v>68</v>
      </c>
      <c r="Y902" s="379" t="s">
        <v>3148</v>
      </c>
      <c r="Z902" s="379">
        <v>3202002</v>
      </c>
      <c r="AA902" s="379" t="s">
        <v>2290</v>
      </c>
      <c r="AB902" s="380">
        <f t="shared" si="13"/>
        <v>1</v>
      </c>
    </row>
    <row r="903" spans="1:28" outlineLevel="2" x14ac:dyDescent="0.3">
      <c r="A903" s="379">
        <v>431</v>
      </c>
      <c r="B903" s="379">
        <v>841000</v>
      </c>
      <c r="C903" s="379" t="s">
        <v>1629</v>
      </c>
      <c r="D903" s="379">
        <v>6283601</v>
      </c>
      <c r="E903" s="379" t="s">
        <v>2983</v>
      </c>
      <c r="F903" s="379" t="s">
        <v>2310</v>
      </c>
      <c r="G903" s="383">
        <v>43160</v>
      </c>
      <c r="H903" s="379">
        <v>47291.83</v>
      </c>
      <c r="I903" s="379">
        <v>1714.49</v>
      </c>
      <c r="J903" s="379">
        <v>9283.57</v>
      </c>
      <c r="K903" s="379">
        <v>3622.25</v>
      </c>
      <c r="L903" s="379"/>
      <c r="M903" s="379">
        <v>151.34</v>
      </c>
      <c r="N903" s="379"/>
      <c r="O903" s="379">
        <v>36323.06</v>
      </c>
      <c r="P903" s="379">
        <v>1477.78</v>
      </c>
      <c r="Q903" s="379">
        <v>2006.9</v>
      </c>
      <c r="R903" s="379">
        <v>3984.75</v>
      </c>
      <c r="S903" s="379"/>
      <c r="T903" s="379">
        <v>1703.64</v>
      </c>
      <c r="U903" s="379">
        <v>1795.7</v>
      </c>
      <c r="V903" s="380">
        <v>62063.48</v>
      </c>
      <c r="W903" s="381">
        <v>5</v>
      </c>
      <c r="X903" s="379"/>
      <c r="Y903" s="379"/>
      <c r="Z903" s="379">
        <v>1401001</v>
      </c>
      <c r="AA903" s="379" t="s">
        <v>3098</v>
      </c>
      <c r="AB903" s="380">
        <f t="shared" si="13"/>
        <v>0.41666666666666669</v>
      </c>
    </row>
    <row r="904" spans="1:28" outlineLevel="2" x14ac:dyDescent="0.3">
      <c r="A904" s="379">
        <v>431</v>
      </c>
      <c r="B904" s="379">
        <v>841000</v>
      </c>
      <c r="C904" s="379" t="s">
        <v>1629</v>
      </c>
      <c r="D904" s="379">
        <v>6347036</v>
      </c>
      <c r="E904" s="379" t="s">
        <v>3149</v>
      </c>
      <c r="F904" s="379" t="s">
        <v>3150</v>
      </c>
      <c r="G904" s="383">
        <v>34029</v>
      </c>
      <c r="H904" s="379">
        <v>14635.44</v>
      </c>
      <c r="I904" s="379">
        <v>108.1</v>
      </c>
      <c r="J904" s="379">
        <v>1319.73</v>
      </c>
      <c r="K904" s="379">
        <v>1097.6500000000001</v>
      </c>
      <c r="L904" s="379"/>
      <c r="M904" s="379">
        <v>56.65</v>
      </c>
      <c r="N904" s="379"/>
      <c r="O904" s="379">
        <v>14167.24</v>
      </c>
      <c r="P904" s="379"/>
      <c r="Q904" s="379">
        <v>468.2</v>
      </c>
      <c r="R904" s="379"/>
      <c r="S904" s="379"/>
      <c r="T904" s="379"/>
      <c r="U904" s="379"/>
      <c r="V904" s="380">
        <v>17217.57</v>
      </c>
      <c r="W904" s="381">
        <v>2</v>
      </c>
      <c r="X904" s="379"/>
      <c r="Y904" s="379"/>
      <c r="Z904" s="379">
        <v>1403002</v>
      </c>
      <c r="AA904" s="379" t="s">
        <v>3137</v>
      </c>
      <c r="AB904" s="380">
        <f t="shared" si="13"/>
        <v>0.16666666666666666</v>
      </c>
    </row>
    <row r="905" spans="1:28" outlineLevel="2" x14ac:dyDescent="0.3">
      <c r="A905" s="379">
        <v>431</v>
      </c>
      <c r="B905" s="379">
        <v>841000</v>
      </c>
      <c r="C905" s="379" t="s">
        <v>1629</v>
      </c>
      <c r="D905" s="379">
        <v>6739119</v>
      </c>
      <c r="E905" s="379" t="s">
        <v>2720</v>
      </c>
      <c r="F905" s="379" t="s">
        <v>2696</v>
      </c>
      <c r="G905" s="383">
        <v>43101</v>
      </c>
      <c r="H905" s="379">
        <v>619.5</v>
      </c>
      <c r="I905" s="379">
        <v>20.13</v>
      </c>
      <c r="J905" s="379">
        <v>83.64</v>
      </c>
      <c r="K905" s="379">
        <v>46.46</v>
      </c>
      <c r="L905" s="379"/>
      <c r="M905" s="379"/>
      <c r="N905" s="379"/>
      <c r="O905" s="379"/>
      <c r="P905" s="379">
        <v>619.5</v>
      </c>
      <c r="Q905" s="379"/>
      <c r="R905" s="379"/>
      <c r="S905" s="379"/>
      <c r="T905" s="379"/>
      <c r="U905" s="379"/>
      <c r="V905" s="380">
        <v>769.73</v>
      </c>
      <c r="W905" s="381"/>
      <c r="X905" s="379"/>
      <c r="Y905" s="379"/>
      <c r="Z905" s="379">
        <v>5923001</v>
      </c>
      <c r="AA905" s="379" t="s">
        <v>2354</v>
      </c>
      <c r="AB905" s="380">
        <f t="shared" si="13"/>
        <v>0</v>
      </c>
    </row>
    <row r="906" spans="1:28" outlineLevel="2" x14ac:dyDescent="0.3">
      <c r="A906" s="379">
        <v>431</v>
      </c>
      <c r="B906" s="379">
        <v>841000</v>
      </c>
      <c r="C906" s="379" t="s">
        <v>1629</v>
      </c>
      <c r="D906" s="379">
        <v>6760025</v>
      </c>
      <c r="E906" s="379" t="s">
        <v>3151</v>
      </c>
      <c r="F906" s="379" t="s">
        <v>2843</v>
      </c>
      <c r="G906" s="383">
        <v>33208</v>
      </c>
      <c r="H906" s="379">
        <v>166437.57</v>
      </c>
      <c r="I906" s="379">
        <v>9064.26</v>
      </c>
      <c r="J906" s="379">
        <v>17035.29</v>
      </c>
      <c r="K906" s="379">
        <v>12729.7</v>
      </c>
      <c r="L906" s="379"/>
      <c r="M906" s="379">
        <v>551.45000000000005</v>
      </c>
      <c r="N906" s="379"/>
      <c r="O906" s="379">
        <v>123592.82</v>
      </c>
      <c r="P906" s="379">
        <v>8241.4</v>
      </c>
      <c r="Q906" s="379">
        <v>2809.2</v>
      </c>
      <c r="R906" s="379">
        <v>10260.84</v>
      </c>
      <c r="S906" s="379">
        <v>7575.6</v>
      </c>
      <c r="T906" s="379">
        <v>13784.01</v>
      </c>
      <c r="U906" s="379">
        <v>173.7</v>
      </c>
      <c r="V906" s="380">
        <v>205818.27</v>
      </c>
      <c r="W906" s="381">
        <v>12</v>
      </c>
      <c r="X906" s="379"/>
      <c r="Y906" s="379"/>
      <c r="Z906" s="379">
        <v>1401001</v>
      </c>
      <c r="AA906" s="379" t="s">
        <v>3098</v>
      </c>
      <c r="AB906" s="380">
        <f t="shared" si="13"/>
        <v>1</v>
      </c>
    </row>
    <row r="907" spans="1:28" outlineLevel="2" x14ac:dyDescent="0.3">
      <c r="A907" s="379">
        <v>431</v>
      </c>
      <c r="B907" s="379">
        <v>841000</v>
      </c>
      <c r="C907" s="379" t="s">
        <v>1629</v>
      </c>
      <c r="D907" s="379">
        <v>20024198</v>
      </c>
      <c r="E907" s="379" t="s">
        <v>2723</v>
      </c>
      <c r="F907" s="379" t="s">
        <v>3152</v>
      </c>
      <c r="G907" s="383">
        <v>41487</v>
      </c>
      <c r="H907" s="379">
        <v>134686.45000000001</v>
      </c>
      <c r="I907" s="379">
        <v>7076.4</v>
      </c>
      <c r="J907" s="379">
        <v>24694.51</v>
      </c>
      <c r="K907" s="379">
        <v>9986.65</v>
      </c>
      <c r="L907" s="379"/>
      <c r="M907" s="379">
        <v>411.15</v>
      </c>
      <c r="N907" s="379"/>
      <c r="O907" s="379">
        <v>101650.44</v>
      </c>
      <c r="P907" s="379">
        <v>966</v>
      </c>
      <c r="Q907" s="379">
        <v>2736.36</v>
      </c>
      <c r="R907" s="379">
        <v>10613.59</v>
      </c>
      <c r="S907" s="379"/>
      <c r="T907" s="379">
        <v>4686.24</v>
      </c>
      <c r="U907" s="379">
        <v>14033.82</v>
      </c>
      <c r="V907" s="380">
        <v>176855.16</v>
      </c>
      <c r="W907" s="381">
        <v>12</v>
      </c>
      <c r="X907" s="379"/>
      <c r="Y907" s="379"/>
      <c r="Z907" s="379">
        <v>1401001</v>
      </c>
      <c r="AA907" s="379" t="s">
        <v>3098</v>
      </c>
      <c r="AB907" s="380">
        <f t="shared" si="13"/>
        <v>1</v>
      </c>
    </row>
    <row r="908" spans="1:28" outlineLevel="2" x14ac:dyDescent="0.3">
      <c r="A908" s="379">
        <v>431</v>
      </c>
      <c r="B908" s="379">
        <v>841000</v>
      </c>
      <c r="C908" s="379" t="s">
        <v>1629</v>
      </c>
      <c r="D908" s="379">
        <v>20141063</v>
      </c>
      <c r="E908" s="379" t="s">
        <v>2612</v>
      </c>
      <c r="F908" s="379" t="s">
        <v>2872</v>
      </c>
      <c r="G908" s="383">
        <v>43070</v>
      </c>
      <c r="H908" s="379">
        <v>63840.25</v>
      </c>
      <c r="I908" s="379">
        <v>3206.49</v>
      </c>
      <c r="J908" s="379">
        <v>6296.37</v>
      </c>
      <c r="K908" s="379">
        <v>4782.37</v>
      </c>
      <c r="L908" s="379"/>
      <c r="M908" s="379">
        <v>201.35</v>
      </c>
      <c r="N908" s="379"/>
      <c r="O908" s="379">
        <v>50341.22</v>
      </c>
      <c r="P908" s="379"/>
      <c r="Q908" s="379">
        <v>1541.5</v>
      </c>
      <c r="R908" s="379">
        <v>7281.89</v>
      </c>
      <c r="S908" s="379"/>
      <c r="T908" s="379">
        <v>4581.34</v>
      </c>
      <c r="U908" s="379">
        <v>94.3</v>
      </c>
      <c r="V908" s="380">
        <v>78326.83</v>
      </c>
      <c r="W908" s="381">
        <v>8</v>
      </c>
      <c r="X908" s="379"/>
      <c r="Y908" s="379"/>
      <c r="Z908" s="379">
        <v>1401001</v>
      </c>
      <c r="AA908" s="379" t="s">
        <v>3098</v>
      </c>
      <c r="AB908" s="380">
        <f t="shared" si="13"/>
        <v>0.66666666666666663</v>
      </c>
    </row>
    <row r="909" spans="1:28" outlineLevel="2" x14ac:dyDescent="0.3">
      <c r="A909" s="379">
        <v>431</v>
      </c>
      <c r="B909" s="379">
        <v>841000</v>
      </c>
      <c r="C909" s="379" t="s">
        <v>1629</v>
      </c>
      <c r="D909" s="379">
        <v>20143215</v>
      </c>
      <c r="E909" s="379" t="s">
        <v>3153</v>
      </c>
      <c r="F909" s="379" t="s">
        <v>3154</v>
      </c>
      <c r="G909" s="383">
        <v>42795</v>
      </c>
      <c r="H909" s="379">
        <v>64630.54</v>
      </c>
      <c r="I909" s="379">
        <v>3375.62</v>
      </c>
      <c r="J909" s="379">
        <v>12587.45</v>
      </c>
      <c r="K909" s="379">
        <v>4968.97</v>
      </c>
      <c r="L909" s="379"/>
      <c r="M909" s="379">
        <v>202.33</v>
      </c>
      <c r="N909" s="379"/>
      <c r="O909" s="379">
        <v>50255.39</v>
      </c>
      <c r="P909" s="379"/>
      <c r="Q909" s="379">
        <v>2636.12</v>
      </c>
      <c r="R909" s="379">
        <v>8097.83</v>
      </c>
      <c r="S909" s="379"/>
      <c r="T909" s="379">
        <v>2498</v>
      </c>
      <c r="U909" s="379">
        <v>1143.2</v>
      </c>
      <c r="V909" s="380">
        <v>85764.91</v>
      </c>
      <c r="W909" s="381">
        <v>6</v>
      </c>
      <c r="X909" s="379"/>
      <c r="Y909" s="379"/>
      <c r="Z909" s="379">
        <v>1401001</v>
      </c>
      <c r="AA909" s="379" t="s">
        <v>3098</v>
      </c>
      <c r="AB909" s="380">
        <f t="shared" si="13"/>
        <v>0.5</v>
      </c>
    </row>
    <row r="910" spans="1:28" outlineLevel="2" x14ac:dyDescent="0.3">
      <c r="A910" s="379">
        <v>431</v>
      </c>
      <c r="B910" s="379">
        <v>841000</v>
      </c>
      <c r="C910" s="379" t="s">
        <v>1629</v>
      </c>
      <c r="D910" s="379">
        <v>20143244</v>
      </c>
      <c r="E910" s="379" t="s">
        <v>3155</v>
      </c>
      <c r="F910" s="379" t="s">
        <v>2701</v>
      </c>
      <c r="G910" s="383">
        <v>42339</v>
      </c>
      <c r="H910" s="379">
        <v>67286.210000000006</v>
      </c>
      <c r="I910" s="379">
        <v>3708.08</v>
      </c>
      <c r="J910" s="379">
        <v>12864.96</v>
      </c>
      <c r="K910" s="379">
        <v>5143.8900000000003</v>
      </c>
      <c r="L910" s="379"/>
      <c r="M910" s="379">
        <v>203.25</v>
      </c>
      <c r="N910" s="379"/>
      <c r="O910" s="379">
        <v>50597.01</v>
      </c>
      <c r="P910" s="379">
        <v>208</v>
      </c>
      <c r="Q910" s="379">
        <v>4472.12</v>
      </c>
      <c r="R910" s="379">
        <v>5248.32</v>
      </c>
      <c r="S910" s="379">
        <v>589.5</v>
      </c>
      <c r="T910" s="379">
        <v>3003.26</v>
      </c>
      <c r="U910" s="379">
        <v>3168</v>
      </c>
      <c r="V910" s="380">
        <v>89206.39</v>
      </c>
      <c r="W910" s="381">
        <v>6</v>
      </c>
      <c r="X910" s="379"/>
      <c r="Y910" s="379"/>
      <c r="Z910" s="379">
        <v>1401001</v>
      </c>
      <c r="AA910" s="379" t="s">
        <v>3098</v>
      </c>
      <c r="AB910" s="380">
        <f t="shared" si="13"/>
        <v>0.5</v>
      </c>
    </row>
    <row r="911" spans="1:28" outlineLevel="2" x14ac:dyDescent="0.3">
      <c r="A911" s="379">
        <v>431</v>
      </c>
      <c r="B911" s="379">
        <v>841000</v>
      </c>
      <c r="C911" s="379" t="s">
        <v>1629</v>
      </c>
      <c r="D911" s="379">
        <v>20382562</v>
      </c>
      <c r="E911" s="379" t="s">
        <v>3156</v>
      </c>
      <c r="F911" s="379" t="s">
        <v>2998</v>
      </c>
      <c r="G911" s="383">
        <v>43435</v>
      </c>
      <c r="H911" s="379">
        <v>9804</v>
      </c>
      <c r="I911" s="379">
        <v>348.05</v>
      </c>
      <c r="J911" s="379">
        <v>1323.54</v>
      </c>
      <c r="K911" s="379">
        <v>735.3</v>
      </c>
      <c r="L911" s="379"/>
      <c r="M911" s="379"/>
      <c r="N911" s="379"/>
      <c r="O911" s="379"/>
      <c r="P911" s="379">
        <v>9804</v>
      </c>
      <c r="Q911" s="379"/>
      <c r="R911" s="379"/>
      <c r="S911" s="379"/>
      <c r="T911" s="379"/>
      <c r="U911" s="379"/>
      <c r="V911" s="380">
        <v>12210.89</v>
      </c>
      <c r="W911" s="381"/>
      <c r="X911" s="379"/>
      <c r="Y911" s="379"/>
      <c r="Z911" s="379">
        <v>953001</v>
      </c>
      <c r="AA911" s="379" t="s">
        <v>2902</v>
      </c>
      <c r="AB911" s="380">
        <f t="shared" si="13"/>
        <v>0</v>
      </c>
    </row>
    <row r="912" spans="1:28" outlineLevel="2" x14ac:dyDescent="0.3">
      <c r="A912" s="379">
        <v>431</v>
      </c>
      <c r="B912" s="379">
        <v>841000</v>
      </c>
      <c r="C912" s="379" t="s">
        <v>1629</v>
      </c>
      <c r="D912" s="379">
        <v>20468538</v>
      </c>
      <c r="E912" s="379" t="s">
        <v>3157</v>
      </c>
      <c r="F912" s="379" t="s">
        <v>3024</v>
      </c>
      <c r="G912" s="383">
        <v>43344</v>
      </c>
      <c r="H912" s="379">
        <v>4199</v>
      </c>
      <c r="I912" s="379">
        <v>149.06</v>
      </c>
      <c r="J912" s="379">
        <v>566.87</v>
      </c>
      <c r="K912" s="379">
        <v>314.95</v>
      </c>
      <c r="L912" s="379"/>
      <c r="M912" s="379"/>
      <c r="N912" s="379"/>
      <c r="O912" s="379"/>
      <c r="P912" s="379">
        <v>4199</v>
      </c>
      <c r="Q912" s="379"/>
      <c r="R912" s="379"/>
      <c r="S912" s="379"/>
      <c r="T912" s="379"/>
      <c r="U912" s="379"/>
      <c r="V912" s="380">
        <v>5229.88</v>
      </c>
      <c r="W912" s="381"/>
      <c r="X912" s="379"/>
      <c r="Y912" s="379"/>
      <c r="Z912" s="379">
        <v>951001</v>
      </c>
      <c r="AA912" s="379" t="s">
        <v>2364</v>
      </c>
      <c r="AB912" s="380">
        <f t="shared" si="13"/>
        <v>0</v>
      </c>
    </row>
    <row r="913" spans="1:28" outlineLevel="2" x14ac:dyDescent="0.3">
      <c r="A913" s="379">
        <v>431</v>
      </c>
      <c r="B913" s="379">
        <v>841000</v>
      </c>
      <c r="C913" s="379" t="s">
        <v>1629</v>
      </c>
      <c r="D913" s="379">
        <v>30185612</v>
      </c>
      <c r="E913" s="379" t="s">
        <v>2907</v>
      </c>
      <c r="F913" s="379" t="s">
        <v>2600</v>
      </c>
      <c r="G913" s="383">
        <v>40664</v>
      </c>
      <c r="H913" s="379">
        <v>36294.71</v>
      </c>
      <c r="I913" s="379">
        <v>1288.47</v>
      </c>
      <c r="J913" s="379">
        <v>6954.54</v>
      </c>
      <c r="K913" s="379">
        <v>2722.1</v>
      </c>
      <c r="L913" s="379"/>
      <c r="M913" s="379">
        <v>117.2</v>
      </c>
      <c r="N913" s="379"/>
      <c r="O913" s="379">
        <v>29228.53</v>
      </c>
      <c r="P913" s="379"/>
      <c r="Q913" s="379">
        <v>1601.78</v>
      </c>
      <c r="R913" s="379"/>
      <c r="S913" s="379"/>
      <c r="T913" s="379">
        <v>2930</v>
      </c>
      <c r="U913" s="379">
        <v>2534.4</v>
      </c>
      <c r="V913" s="380">
        <v>47377.02</v>
      </c>
      <c r="W913" s="381">
        <v>4.8</v>
      </c>
      <c r="X913" s="379"/>
      <c r="Y913" s="379"/>
      <c r="Z913" s="379">
        <v>3121501</v>
      </c>
      <c r="AA913" s="379" t="s">
        <v>3158</v>
      </c>
      <c r="AB913" s="380">
        <f t="shared" si="13"/>
        <v>0.39999999999999997</v>
      </c>
    </row>
    <row r="914" spans="1:28" outlineLevel="2" x14ac:dyDescent="0.3">
      <c r="A914" s="379">
        <v>431</v>
      </c>
      <c r="B914" s="379">
        <v>841000</v>
      </c>
      <c r="C914" s="379" t="s">
        <v>1629</v>
      </c>
      <c r="D914" s="379">
        <v>30190032</v>
      </c>
      <c r="E914" s="379" t="s">
        <v>3159</v>
      </c>
      <c r="F914" s="379" t="s">
        <v>3069</v>
      </c>
      <c r="G914" s="383">
        <v>43040</v>
      </c>
      <c r="H914" s="379">
        <v>74631.399999999994</v>
      </c>
      <c r="I914" s="379">
        <v>3664.67</v>
      </c>
      <c r="J914" s="379">
        <v>8648.91</v>
      </c>
      <c r="K914" s="379">
        <v>5592.37</v>
      </c>
      <c r="L914" s="379"/>
      <c r="M914" s="379">
        <v>236.25</v>
      </c>
      <c r="N914" s="379"/>
      <c r="O914" s="379">
        <v>59070.239999999998</v>
      </c>
      <c r="P914" s="379"/>
      <c r="Q914" s="379">
        <v>1775.6</v>
      </c>
      <c r="R914" s="379">
        <v>8722.56</v>
      </c>
      <c r="S914" s="379"/>
      <c r="T914" s="379">
        <v>4996</v>
      </c>
      <c r="U914" s="379">
        <v>67</v>
      </c>
      <c r="V914" s="380">
        <v>92773.6</v>
      </c>
      <c r="W914" s="381">
        <v>8</v>
      </c>
      <c r="X914" s="379"/>
      <c r="Y914" s="379"/>
      <c r="Z914" s="379">
        <v>1401001</v>
      </c>
      <c r="AA914" s="379" t="s">
        <v>3098</v>
      </c>
      <c r="AB914" s="380">
        <f t="shared" si="13"/>
        <v>0.66666666666666663</v>
      </c>
    </row>
    <row r="915" spans="1:28" outlineLevel="2" x14ac:dyDescent="0.3">
      <c r="A915" s="379">
        <v>431</v>
      </c>
      <c r="B915" s="379">
        <v>841000</v>
      </c>
      <c r="C915" s="379" t="s">
        <v>1629</v>
      </c>
      <c r="D915" s="379">
        <v>30541563</v>
      </c>
      <c r="E915" s="379" t="s">
        <v>3160</v>
      </c>
      <c r="F915" s="379" t="s">
        <v>3069</v>
      </c>
      <c r="G915" s="383">
        <v>43009</v>
      </c>
      <c r="H915" s="379">
        <v>111434.1</v>
      </c>
      <c r="I915" s="379">
        <v>5630.11</v>
      </c>
      <c r="J915" s="379">
        <v>22987.78</v>
      </c>
      <c r="K915" s="379">
        <v>8516.25</v>
      </c>
      <c r="L915" s="379"/>
      <c r="M915" s="379">
        <v>371.6</v>
      </c>
      <c r="N915" s="379"/>
      <c r="O915" s="379">
        <v>92588.62</v>
      </c>
      <c r="P915" s="379">
        <v>271.75</v>
      </c>
      <c r="Q915" s="379">
        <v>3086.82</v>
      </c>
      <c r="R915" s="379">
        <v>10172.57</v>
      </c>
      <c r="S915" s="379"/>
      <c r="T915" s="379">
        <v>4936.04</v>
      </c>
      <c r="U915" s="379">
        <v>378.3</v>
      </c>
      <c r="V915" s="380">
        <v>148939.84</v>
      </c>
      <c r="W915" s="381">
        <v>11.55</v>
      </c>
      <c r="X915" s="379"/>
      <c r="Y915" s="379"/>
      <c r="Z915" s="379">
        <v>1401001</v>
      </c>
      <c r="AA915" s="379" t="s">
        <v>3098</v>
      </c>
      <c r="AB915" s="380">
        <f t="shared" si="13"/>
        <v>0.96250000000000002</v>
      </c>
    </row>
    <row r="916" spans="1:28" outlineLevel="2" x14ac:dyDescent="0.3">
      <c r="A916" s="379">
        <v>431</v>
      </c>
      <c r="B916" s="379">
        <v>841000</v>
      </c>
      <c r="C916" s="379" t="s">
        <v>1629</v>
      </c>
      <c r="D916" s="379">
        <v>30573000</v>
      </c>
      <c r="E916" s="379" t="s">
        <v>3161</v>
      </c>
      <c r="F916" s="379" t="s">
        <v>3162</v>
      </c>
      <c r="G916" s="383">
        <v>43770</v>
      </c>
      <c r="H916" s="379">
        <v>912</v>
      </c>
      <c r="I916" s="379">
        <v>32.380000000000003</v>
      </c>
      <c r="J916" s="379">
        <v>123.12</v>
      </c>
      <c r="K916" s="379">
        <v>68.400000000000006</v>
      </c>
      <c r="L916" s="379"/>
      <c r="M916" s="379"/>
      <c r="N916" s="379"/>
      <c r="O916" s="379"/>
      <c r="P916" s="379">
        <v>912</v>
      </c>
      <c r="Q916" s="379"/>
      <c r="R916" s="379"/>
      <c r="S916" s="379"/>
      <c r="T916" s="379"/>
      <c r="U916" s="379"/>
      <c r="V916" s="380">
        <v>1135.9000000000001</v>
      </c>
      <c r="W916" s="381"/>
      <c r="X916" s="379"/>
      <c r="Y916" s="379"/>
      <c r="Z916" s="379">
        <v>951001</v>
      </c>
      <c r="AA916" s="379" t="s">
        <v>2364</v>
      </c>
      <c r="AB916" s="380">
        <f t="shared" si="13"/>
        <v>0</v>
      </c>
    </row>
    <row r="917" spans="1:28" outlineLevel="2" x14ac:dyDescent="0.3">
      <c r="A917" s="379">
        <v>431</v>
      </c>
      <c r="B917" s="379">
        <v>841000</v>
      </c>
      <c r="C917" s="379" t="s">
        <v>1629</v>
      </c>
      <c r="D917" s="379">
        <v>30636828</v>
      </c>
      <c r="E917" s="379" t="s">
        <v>3163</v>
      </c>
      <c r="F917" s="379" t="s">
        <v>2697</v>
      </c>
      <c r="G917" s="383">
        <v>43070</v>
      </c>
      <c r="H917" s="379">
        <v>98339.43</v>
      </c>
      <c r="I917" s="379">
        <v>4636.72</v>
      </c>
      <c r="J917" s="379">
        <v>19411.55</v>
      </c>
      <c r="K917" s="379">
        <v>7195.15</v>
      </c>
      <c r="L917" s="379"/>
      <c r="M917" s="379">
        <v>327.85</v>
      </c>
      <c r="N917" s="379"/>
      <c r="O917" s="379">
        <v>81883.48</v>
      </c>
      <c r="P917" s="379"/>
      <c r="Q917" s="379">
        <v>2634.24</v>
      </c>
      <c r="R917" s="379">
        <v>8442.51</v>
      </c>
      <c r="S917" s="379"/>
      <c r="T917" s="379">
        <v>5379.2</v>
      </c>
      <c r="U917" s="379"/>
      <c r="V917" s="380">
        <v>129910.7</v>
      </c>
      <c r="W917" s="381">
        <v>9.6</v>
      </c>
      <c r="X917" s="379"/>
      <c r="Y917" s="379"/>
      <c r="Z917" s="379">
        <v>1403001</v>
      </c>
      <c r="AA917" s="379" t="s">
        <v>2896</v>
      </c>
      <c r="AB917" s="380">
        <f t="shared" si="13"/>
        <v>0.79999999999999993</v>
      </c>
    </row>
    <row r="918" spans="1:28" outlineLevel="2" x14ac:dyDescent="0.3">
      <c r="A918" s="379">
        <v>431</v>
      </c>
      <c r="B918" s="379">
        <v>841000</v>
      </c>
      <c r="C918" s="379" t="s">
        <v>1629</v>
      </c>
      <c r="D918" s="379">
        <v>30693884</v>
      </c>
      <c r="E918" s="379" t="s">
        <v>3164</v>
      </c>
      <c r="F918" s="379" t="s">
        <v>3129</v>
      </c>
      <c r="G918" s="383">
        <v>36312</v>
      </c>
      <c r="H918" s="379">
        <v>101279.66</v>
      </c>
      <c r="I918" s="379">
        <v>476.56</v>
      </c>
      <c r="J918" s="379">
        <v>9925.35</v>
      </c>
      <c r="K918" s="379">
        <v>7633.2</v>
      </c>
      <c r="L918" s="379"/>
      <c r="M918" s="379">
        <v>354.85</v>
      </c>
      <c r="N918" s="379"/>
      <c r="O918" s="379">
        <v>88648.35</v>
      </c>
      <c r="P918" s="379">
        <v>1775.4</v>
      </c>
      <c r="Q918" s="379">
        <v>2809.2</v>
      </c>
      <c r="R918" s="379">
        <v>0</v>
      </c>
      <c r="S918" s="379"/>
      <c r="T918" s="379">
        <v>7247.71</v>
      </c>
      <c r="U918" s="379">
        <v>799</v>
      </c>
      <c r="V918" s="380">
        <v>119669.62</v>
      </c>
      <c r="W918" s="381">
        <v>12</v>
      </c>
      <c r="X918" s="379"/>
      <c r="Y918" s="379"/>
      <c r="Z918" s="379">
        <v>1403002</v>
      </c>
      <c r="AA918" s="379" t="s">
        <v>3137</v>
      </c>
      <c r="AB918" s="380">
        <f t="shared" si="13"/>
        <v>1</v>
      </c>
    </row>
    <row r="919" spans="1:28" outlineLevel="2" x14ac:dyDescent="0.3">
      <c r="A919" s="379">
        <v>431</v>
      </c>
      <c r="B919" s="379">
        <v>841000</v>
      </c>
      <c r="C919" s="379" t="s">
        <v>1629</v>
      </c>
      <c r="D919" s="379">
        <v>30790604</v>
      </c>
      <c r="E919" s="379" t="s">
        <v>3165</v>
      </c>
      <c r="F919" s="379" t="s">
        <v>2379</v>
      </c>
      <c r="G919" s="383">
        <v>43405</v>
      </c>
      <c r="H919" s="379">
        <v>13490</v>
      </c>
      <c r="I919" s="379">
        <v>478.91</v>
      </c>
      <c r="J919" s="379">
        <v>1821.16</v>
      </c>
      <c r="K919" s="379">
        <v>1011.8</v>
      </c>
      <c r="L919" s="379"/>
      <c r="M919" s="379"/>
      <c r="N919" s="379"/>
      <c r="O919" s="379"/>
      <c r="P919" s="379">
        <v>13490</v>
      </c>
      <c r="Q919" s="379"/>
      <c r="R919" s="379"/>
      <c r="S919" s="379"/>
      <c r="T919" s="379"/>
      <c r="U919" s="379"/>
      <c r="V919" s="380">
        <v>16801.87</v>
      </c>
      <c r="W919" s="381"/>
      <c r="X919" s="379"/>
      <c r="Y919" s="379"/>
      <c r="Z919" s="379">
        <v>1411001</v>
      </c>
      <c r="AA919" s="379" t="s">
        <v>3101</v>
      </c>
      <c r="AB919" s="380">
        <f t="shared" si="13"/>
        <v>0</v>
      </c>
    </row>
    <row r="920" spans="1:28" outlineLevel="2" x14ac:dyDescent="0.3">
      <c r="A920" s="379">
        <v>431</v>
      </c>
      <c r="B920" s="379">
        <v>841000</v>
      </c>
      <c r="C920" s="379" t="s">
        <v>1629</v>
      </c>
      <c r="D920" s="379">
        <v>30797506</v>
      </c>
      <c r="E920" s="379" t="s">
        <v>2644</v>
      </c>
      <c r="F920" s="379" t="s">
        <v>2361</v>
      </c>
      <c r="G920" s="383">
        <v>43435</v>
      </c>
      <c r="H920" s="379">
        <v>6517</v>
      </c>
      <c r="I920" s="379">
        <v>231.35</v>
      </c>
      <c r="J920" s="379">
        <v>879.81</v>
      </c>
      <c r="K920" s="379">
        <v>488.85</v>
      </c>
      <c r="L920" s="379"/>
      <c r="M920" s="379"/>
      <c r="N920" s="379"/>
      <c r="O920" s="379"/>
      <c r="P920" s="379">
        <v>6517</v>
      </c>
      <c r="Q920" s="379"/>
      <c r="R920" s="379"/>
      <c r="S920" s="379"/>
      <c r="T920" s="379"/>
      <c r="U920" s="379"/>
      <c r="V920" s="380">
        <v>8117.01</v>
      </c>
      <c r="W920" s="381"/>
      <c r="X920" s="379"/>
      <c r="Y920" s="379"/>
      <c r="Z920" s="379">
        <v>951001</v>
      </c>
      <c r="AA920" s="379" t="s">
        <v>2364</v>
      </c>
      <c r="AB920" s="380">
        <f t="shared" si="13"/>
        <v>0</v>
      </c>
    </row>
    <row r="921" spans="1:28" outlineLevel="2" x14ac:dyDescent="0.3">
      <c r="A921" s="379">
        <v>431</v>
      </c>
      <c r="B921" s="379">
        <v>841000</v>
      </c>
      <c r="C921" s="379" t="s">
        <v>1629</v>
      </c>
      <c r="D921" s="379">
        <v>30877033</v>
      </c>
      <c r="E921" s="379" t="s">
        <v>2775</v>
      </c>
      <c r="F921" s="379" t="s">
        <v>3166</v>
      </c>
      <c r="G921" s="383">
        <v>42186</v>
      </c>
      <c r="H921" s="379">
        <v>74238.8</v>
      </c>
      <c r="I921" s="379">
        <v>3559.71</v>
      </c>
      <c r="J921" s="379">
        <v>15121.96</v>
      </c>
      <c r="K921" s="379">
        <v>5658.1</v>
      </c>
      <c r="L921" s="379"/>
      <c r="M921" s="379">
        <v>234.95</v>
      </c>
      <c r="N921" s="379"/>
      <c r="O921" s="379">
        <v>57955.98</v>
      </c>
      <c r="P921" s="379">
        <v>669.77</v>
      </c>
      <c r="Q921" s="379">
        <v>1865.92</v>
      </c>
      <c r="R921" s="379">
        <v>6044.99</v>
      </c>
      <c r="S921" s="379"/>
      <c r="T921" s="379">
        <v>4688</v>
      </c>
      <c r="U921" s="379">
        <v>3014.14</v>
      </c>
      <c r="V921" s="380">
        <v>98813.52</v>
      </c>
      <c r="W921" s="381">
        <v>6.8</v>
      </c>
      <c r="X921" s="379"/>
      <c r="Y921" s="379"/>
      <c r="Z921" s="379">
        <v>1401001</v>
      </c>
      <c r="AA921" s="379" t="s">
        <v>3098</v>
      </c>
      <c r="AB921" s="380">
        <f t="shared" si="13"/>
        <v>0.56666666666666665</v>
      </c>
    </row>
    <row r="922" spans="1:28" outlineLevel="2" x14ac:dyDescent="0.3">
      <c r="A922" s="379">
        <v>431</v>
      </c>
      <c r="B922" s="379">
        <v>841000</v>
      </c>
      <c r="C922" s="379" t="s">
        <v>1629</v>
      </c>
      <c r="D922" s="379">
        <v>31002781</v>
      </c>
      <c r="E922" s="379" t="s">
        <v>2398</v>
      </c>
      <c r="F922" s="379" t="s">
        <v>2376</v>
      </c>
      <c r="G922" s="383">
        <v>34090</v>
      </c>
      <c r="H922" s="379">
        <v>125704.5</v>
      </c>
      <c r="I922" s="379">
        <v>6564.83</v>
      </c>
      <c r="J922" s="379">
        <v>10404.65</v>
      </c>
      <c r="K922" s="379">
        <v>9441.4500000000007</v>
      </c>
      <c r="L922" s="379"/>
      <c r="M922" s="379">
        <v>368.1</v>
      </c>
      <c r="N922" s="379"/>
      <c r="O922" s="379">
        <v>87518.99</v>
      </c>
      <c r="P922" s="379"/>
      <c r="Q922" s="379">
        <v>2809.2</v>
      </c>
      <c r="R922" s="379">
        <v>19470.3</v>
      </c>
      <c r="S922" s="379"/>
      <c r="T922" s="379">
        <v>12269.41</v>
      </c>
      <c r="U922" s="379">
        <v>3636.6</v>
      </c>
      <c r="V922" s="380">
        <v>152483.53</v>
      </c>
      <c r="W922" s="381">
        <v>12</v>
      </c>
      <c r="X922" s="379">
        <v>61</v>
      </c>
      <c r="Y922" s="379" t="s">
        <v>2430</v>
      </c>
      <c r="Z922" s="379">
        <v>3202002</v>
      </c>
      <c r="AA922" s="379" t="s">
        <v>2290</v>
      </c>
      <c r="AB922" s="380">
        <f t="shared" si="13"/>
        <v>1</v>
      </c>
    </row>
    <row r="923" spans="1:28" outlineLevel="2" x14ac:dyDescent="0.3">
      <c r="A923" s="379">
        <v>431</v>
      </c>
      <c r="B923" s="379">
        <v>841000</v>
      </c>
      <c r="C923" s="379" t="s">
        <v>1629</v>
      </c>
      <c r="D923" s="379">
        <v>33255135</v>
      </c>
      <c r="E923" s="379" t="s">
        <v>2571</v>
      </c>
      <c r="F923" s="379" t="s">
        <v>3167</v>
      </c>
      <c r="G923" s="383">
        <v>41334</v>
      </c>
      <c r="H923" s="379">
        <v>17868</v>
      </c>
      <c r="I923" s="379">
        <v>634.54</v>
      </c>
      <c r="J923" s="379">
        <v>2091.64</v>
      </c>
      <c r="K923" s="379">
        <v>1340.34</v>
      </c>
      <c r="L923" s="379"/>
      <c r="M923" s="379"/>
      <c r="N923" s="379"/>
      <c r="O923" s="379">
        <v>13981.84</v>
      </c>
      <c r="P923" s="379"/>
      <c r="Q923" s="379">
        <v>2376.66</v>
      </c>
      <c r="R923" s="379"/>
      <c r="S923" s="379"/>
      <c r="T923" s="379">
        <v>1509.5</v>
      </c>
      <c r="U923" s="379"/>
      <c r="V923" s="380">
        <v>21934.52</v>
      </c>
      <c r="W923" s="381">
        <v>3.1</v>
      </c>
      <c r="X923" s="379"/>
      <c r="Y923" s="379"/>
      <c r="Z923" s="379">
        <v>5302001</v>
      </c>
      <c r="AA923" s="379" t="s">
        <v>2367</v>
      </c>
      <c r="AB923" s="380">
        <f t="shared" si="13"/>
        <v>0.25833333333333336</v>
      </c>
    </row>
    <row r="924" spans="1:28" outlineLevel="2" x14ac:dyDescent="0.3">
      <c r="A924" s="379">
        <v>654</v>
      </c>
      <c r="B924" s="379">
        <v>841000</v>
      </c>
      <c r="C924" s="379" t="s">
        <v>1629</v>
      </c>
      <c r="D924" s="379">
        <v>2200401</v>
      </c>
      <c r="E924" s="379" t="s">
        <v>2922</v>
      </c>
      <c r="F924" s="379" t="s">
        <v>2349</v>
      </c>
      <c r="G924" s="383">
        <v>43435</v>
      </c>
      <c r="H924" s="379">
        <v>3099</v>
      </c>
      <c r="I924" s="379">
        <v>110</v>
      </c>
      <c r="J924" s="379">
        <v>398.25</v>
      </c>
      <c r="K924" s="379">
        <v>232.4</v>
      </c>
      <c r="L924" s="379"/>
      <c r="M924" s="379">
        <v>11.79</v>
      </c>
      <c r="N924" s="379"/>
      <c r="O924" s="379"/>
      <c r="P924" s="379">
        <v>2950</v>
      </c>
      <c r="Q924" s="379">
        <v>149</v>
      </c>
      <c r="R924" s="379"/>
      <c r="S924" s="379"/>
      <c r="T924" s="379"/>
      <c r="U924" s="379"/>
      <c r="V924" s="380">
        <v>3851.44</v>
      </c>
      <c r="W924" s="381"/>
      <c r="X924" s="379"/>
      <c r="Y924" s="379"/>
      <c r="Z924" s="379">
        <v>5923001</v>
      </c>
      <c r="AA924" s="379" t="s">
        <v>2354</v>
      </c>
      <c r="AB924" s="380">
        <f t="shared" si="13"/>
        <v>0</v>
      </c>
    </row>
    <row r="925" spans="1:28" outlineLevel="2" x14ac:dyDescent="0.3">
      <c r="A925" s="379">
        <v>654</v>
      </c>
      <c r="B925" s="379">
        <v>841000</v>
      </c>
      <c r="C925" s="379" t="s">
        <v>1629</v>
      </c>
      <c r="D925" s="379">
        <v>5080476</v>
      </c>
      <c r="E925" s="379" t="s">
        <v>2857</v>
      </c>
      <c r="F925" s="379" t="s">
        <v>2333</v>
      </c>
      <c r="G925" s="383">
        <v>34759</v>
      </c>
      <c r="H925" s="379">
        <v>4484</v>
      </c>
      <c r="I925" s="379">
        <v>21.43</v>
      </c>
      <c r="J925" s="379">
        <v>410.21</v>
      </c>
      <c r="K925" s="379">
        <v>336.25</v>
      </c>
      <c r="L925" s="379"/>
      <c r="M925" s="379">
        <v>17.899999999999999</v>
      </c>
      <c r="N925" s="379"/>
      <c r="O925" s="379"/>
      <c r="P925" s="379">
        <v>4484</v>
      </c>
      <c r="Q925" s="379"/>
      <c r="R925" s="379"/>
      <c r="S925" s="379"/>
      <c r="T925" s="379"/>
      <c r="U925" s="379"/>
      <c r="V925" s="380">
        <v>5269.79</v>
      </c>
      <c r="W925" s="381"/>
      <c r="X925" s="379"/>
      <c r="Y925" s="379"/>
      <c r="Z925" s="379">
        <v>5923001</v>
      </c>
      <c r="AA925" s="379" t="s">
        <v>2354</v>
      </c>
      <c r="AB925" s="380">
        <f t="shared" si="13"/>
        <v>0</v>
      </c>
    </row>
    <row r="926" spans="1:28" outlineLevel="2" x14ac:dyDescent="0.3">
      <c r="A926" s="379">
        <v>654</v>
      </c>
      <c r="B926" s="379">
        <v>841000</v>
      </c>
      <c r="C926" s="379" t="s">
        <v>1629</v>
      </c>
      <c r="D926" s="379">
        <v>5746004</v>
      </c>
      <c r="E926" s="379" t="s">
        <v>2340</v>
      </c>
      <c r="F926" s="379" t="s">
        <v>2379</v>
      </c>
      <c r="G926" s="383">
        <v>41487</v>
      </c>
      <c r="H926" s="379">
        <v>2006</v>
      </c>
      <c r="I926" s="379">
        <v>71.19</v>
      </c>
      <c r="J926" s="379">
        <v>100.26</v>
      </c>
      <c r="K926" s="379">
        <v>150.41999999999999</v>
      </c>
      <c r="L926" s="379"/>
      <c r="M926" s="379"/>
      <c r="N926" s="379"/>
      <c r="O926" s="379"/>
      <c r="P926" s="379">
        <v>2006</v>
      </c>
      <c r="Q926" s="379"/>
      <c r="R926" s="379"/>
      <c r="S926" s="379"/>
      <c r="T926" s="379"/>
      <c r="U926" s="379"/>
      <c r="V926" s="380">
        <v>2327.87</v>
      </c>
      <c r="W926" s="381"/>
      <c r="X926" s="379"/>
      <c r="Y926" s="379"/>
      <c r="Z926" s="379">
        <v>1401202</v>
      </c>
      <c r="AA926" s="379" t="s">
        <v>2380</v>
      </c>
      <c r="AB926" s="380">
        <f t="shared" si="13"/>
        <v>0</v>
      </c>
    </row>
    <row r="927" spans="1:28" outlineLevel="2" x14ac:dyDescent="0.3">
      <c r="A927" s="379">
        <v>654</v>
      </c>
      <c r="B927" s="379">
        <v>841000</v>
      </c>
      <c r="C927" s="379" t="s">
        <v>1629</v>
      </c>
      <c r="D927" s="379">
        <v>6777597</v>
      </c>
      <c r="E927" s="379" t="s">
        <v>2384</v>
      </c>
      <c r="F927" s="379" t="s">
        <v>2385</v>
      </c>
      <c r="G927" s="383">
        <v>42278</v>
      </c>
      <c r="H927" s="379">
        <v>1504.5</v>
      </c>
      <c r="I927" s="379">
        <v>53.39</v>
      </c>
      <c r="J927" s="379">
        <v>203.11</v>
      </c>
      <c r="K927" s="379">
        <v>112.82</v>
      </c>
      <c r="L927" s="379"/>
      <c r="M927" s="379"/>
      <c r="N927" s="379"/>
      <c r="O927" s="379"/>
      <c r="P927" s="379">
        <v>1504.5</v>
      </c>
      <c r="Q927" s="379"/>
      <c r="R927" s="379"/>
      <c r="S927" s="379"/>
      <c r="T927" s="379"/>
      <c r="U927" s="379"/>
      <c r="V927" s="380">
        <v>1873.82</v>
      </c>
      <c r="W927" s="381"/>
      <c r="X927" s="379">
        <v>1</v>
      </c>
      <c r="Y927" s="379" t="s">
        <v>2353</v>
      </c>
      <c r="Z927" s="379">
        <v>5923001</v>
      </c>
      <c r="AA927" s="379" t="s">
        <v>2354</v>
      </c>
      <c r="AB927" s="380">
        <f t="shared" si="13"/>
        <v>0</v>
      </c>
    </row>
    <row r="928" spans="1:28" outlineLevel="1" x14ac:dyDescent="0.3">
      <c r="A928" s="379"/>
      <c r="B928" s="384" t="s">
        <v>3168</v>
      </c>
      <c r="C928" s="379"/>
      <c r="D928" s="379"/>
      <c r="E928" s="379"/>
      <c r="F928" s="379"/>
      <c r="G928" s="383"/>
      <c r="H928" s="379"/>
      <c r="I928" s="379"/>
      <c r="J928" s="379"/>
      <c r="K928" s="379"/>
      <c r="L928" s="379"/>
      <c r="M928" s="379"/>
      <c r="N928" s="379"/>
      <c r="O928" s="379"/>
      <c r="P928" s="379"/>
      <c r="Q928" s="379"/>
      <c r="R928" s="379"/>
      <c r="S928" s="379"/>
      <c r="T928" s="379"/>
      <c r="U928" s="379"/>
      <c r="V928" s="380">
        <f>SUBTOTAL(9,V868:V927)</f>
        <v>6401654.3500000034</v>
      </c>
      <c r="W928" s="381">
        <f>SUBTOTAL(9,W868:W927)</f>
        <v>409.86000000000007</v>
      </c>
      <c r="X928" s="379"/>
      <c r="Y928" s="379"/>
      <c r="Z928" s="379"/>
      <c r="AA928" s="379"/>
      <c r="AB928" s="380">
        <f>SUBTOTAL(9,AB868:AB927)</f>
        <v>34.155000000000001</v>
      </c>
    </row>
    <row r="929" spans="1:28" outlineLevel="2" x14ac:dyDescent="0.3">
      <c r="A929" s="379">
        <v>431</v>
      </c>
      <c r="B929" s="379">
        <v>842400</v>
      </c>
      <c r="C929" s="379" t="s">
        <v>1669</v>
      </c>
      <c r="D929" s="379">
        <v>2487795</v>
      </c>
      <c r="E929" s="379" t="s">
        <v>3124</v>
      </c>
      <c r="F929" s="379" t="s">
        <v>2789</v>
      </c>
      <c r="G929" s="383">
        <v>43221</v>
      </c>
      <c r="H929" s="379">
        <v>10710.73</v>
      </c>
      <c r="I929" s="379">
        <v>380.93</v>
      </c>
      <c r="J929" s="379">
        <v>2611.54</v>
      </c>
      <c r="K929" s="379">
        <v>819.87</v>
      </c>
      <c r="L929" s="379"/>
      <c r="M929" s="379">
        <v>38.15</v>
      </c>
      <c r="N929" s="379"/>
      <c r="O929" s="379">
        <v>9538.84</v>
      </c>
      <c r="P929" s="379"/>
      <c r="Q929" s="379">
        <v>419.6</v>
      </c>
      <c r="R929" s="379">
        <v>752.29</v>
      </c>
      <c r="S929" s="379"/>
      <c r="T929" s="379"/>
      <c r="U929" s="379"/>
      <c r="V929" s="380">
        <v>14561.22</v>
      </c>
      <c r="W929" s="381">
        <v>1</v>
      </c>
      <c r="X929" s="379"/>
      <c r="Y929" s="379"/>
      <c r="Z929" s="379">
        <v>1401001</v>
      </c>
      <c r="AA929" s="379" t="s">
        <v>3098</v>
      </c>
      <c r="AB929" s="380">
        <f t="shared" si="13"/>
        <v>8.3333333333333329E-2</v>
      </c>
    </row>
    <row r="930" spans="1:28" outlineLevel="2" x14ac:dyDescent="0.3">
      <c r="A930" s="379">
        <v>431</v>
      </c>
      <c r="B930" s="379">
        <v>842400</v>
      </c>
      <c r="C930" s="379" t="s">
        <v>1669</v>
      </c>
      <c r="D930" s="379">
        <v>5344141</v>
      </c>
      <c r="E930" s="379" t="s">
        <v>3140</v>
      </c>
      <c r="F930" s="379" t="s">
        <v>2322</v>
      </c>
      <c r="G930" s="383">
        <v>32021</v>
      </c>
      <c r="H930" s="379">
        <v>118029.23</v>
      </c>
      <c r="I930" s="379">
        <v>6236.75</v>
      </c>
      <c r="J930" s="379">
        <v>12614.69</v>
      </c>
      <c r="K930" s="379">
        <v>9097.85</v>
      </c>
      <c r="L930" s="379"/>
      <c r="M930" s="379">
        <v>418.38</v>
      </c>
      <c r="N930" s="379"/>
      <c r="O930" s="379">
        <v>94663.44</v>
      </c>
      <c r="P930" s="379">
        <v>4509.53</v>
      </c>
      <c r="Q930" s="379">
        <v>904.56</v>
      </c>
      <c r="R930" s="379">
        <v>5143.1899999999996</v>
      </c>
      <c r="S930" s="379">
        <v>1453.8</v>
      </c>
      <c r="T930" s="379">
        <v>11322.71</v>
      </c>
      <c r="U930" s="379">
        <v>32</v>
      </c>
      <c r="V930" s="380">
        <v>146396.9</v>
      </c>
      <c r="W930" s="381">
        <v>9.6</v>
      </c>
      <c r="X930" s="379"/>
      <c r="Y930" s="379"/>
      <c r="Z930" s="379">
        <v>1401001</v>
      </c>
      <c r="AA930" s="379" t="s">
        <v>3098</v>
      </c>
      <c r="AB930" s="380">
        <f t="shared" si="13"/>
        <v>0.79999999999999993</v>
      </c>
    </row>
    <row r="931" spans="1:28" outlineLevel="2" x14ac:dyDescent="0.3">
      <c r="A931" s="379">
        <v>431</v>
      </c>
      <c r="B931" s="379">
        <v>842400</v>
      </c>
      <c r="C931" s="379" t="s">
        <v>1669</v>
      </c>
      <c r="D931" s="379">
        <v>20050730</v>
      </c>
      <c r="E931" s="379" t="s">
        <v>3169</v>
      </c>
      <c r="F931" s="379" t="s">
        <v>3170</v>
      </c>
      <c r="G931" s="383">
        <v>43132</v>
      </c>
      <c r="H931" s="379">
        <v>52988.03</v>
      </c>
      <c r="I931" s="379">
        <v>1916.01</v>
      </c>
      <c r="J931" s="379">
        <v>10770.59</v>
      </c>
      <c r="K931" s="379">
        <v>4048</v>
      </c>
      <c r="L931" s="379"/>
      <c r="M931" s="379">
        <v>175</v>
      </c>
      <c r="N931" s="379"/>
      <c r="O931" s="379">
        <v>43368.45</v>
      </c>
      <c r="P931" s="379">
        <v>373.46</v>
      </c>
      <c r="Q931" s="379">
        <v>2455.6799999999998</v>
      </c>
      <c r="R931" s="379">
        <v>4724</v>
      </c>
      <c r="S931" s="379"/>
      <c r="T931" s="379">
        <v>1948.44</v>
      </c>
      <c r="U931" s="379">
        <v>118</v>
      </c>
      <c r="V931" s="380">
        <v>69897.63</v>
      </c>
      <c r="W931" s="381">
        <v>5.4</v>
      </c>
      <c r="X931" s="379"/>
      <c r="Y931" s="379"/>
      <c r="Z931" s="379">
        <v>1401001</v>
      </c>
      <c r="AA931" s="379" t="s">
        <v>3098</v>
      </c>
      <c r="AB931" s="380">
        <f t="shared" si="13"/>
        <v>0.45</v>
      </c>
    </row>
    <row r="932" spans="1:28" outlineLevel="2" x14ac:dyDescent="0.3">
      <c r="A932" s="379">
        <v>431</v>
      </c>
      <c r="B932" s="379">
        <v>842400</v>
      </c>
      <c r="C932" s="379" t="s">
        <v>1669</v>
      </c>
      <c r="D932" s="379">
        <v>30596217</v>
      </c>
      <c r="E932" s="379" t="s">
        <v>3171</v>
      </c>
      <c r="F932" s="379" t="s">
        <v>3172</v>
      </c>
      <c r="G932" s="383">
        <v>43132</v>
      </c>
      <c r="H932" s="379">
        <v>76326.45</v>
      </c>
      <c r="I932" s="379">
        <v>4010.91</v>
      </c>
      <c r="J932" s="379">
        <v>15732.21</v>
      </c>
      <c r="K932" s="379">
        <v>6904.35</v>
      </c>
      <c r="L932" s="379"/>
      <c r="M932" s="379">
        <v>247.3</v>
      </c>
      <c r="N932" s="379"/>
      <c r="O932" s="379">
        <v>60727.199999999997</v>
      </c>
      <c r="P932" s="379">
        <v>1097.23</v>
      </c>
      <c r="Q932" s="379">
        <v>2557.6799999999998</v>
      </c>
      <c r="R932" s="379">
        <v>8645.16</v>
      </c>
      <c r="S932" s="379"/>
      <c r="T932" s="379">
        <v>3299.18</v>
      </c>
      <c r="U932" s="379"/>
      <c r="V932" s="380">
        <v>103221.22</v>
      </c>
      <c r="W932" s="381">
        <v>7.8</v>
      </c>
      <c r="X932" s="379"/>
      <c r="Y932" s="379"/>
      <c r="Z932" s="379">
        <v>1401001</v>
      </c>
      <c r="AA932" s="379" t="s">
        <v>3098</v>
      </c>
      <c r="AB932" s="380">
        <f t="shared" si="13"/>
        <v>0.65</v>
      </c>
    </row>
    <row r="933" spans="1:28" outlineLevel="2" x14ac:dyDescent="0.3">
      <c r="A933" s="379">
        <v>654</v>
      </c>
      <c r="B933" s="379">
        <v>842400</v>
      </c>
      <c r="C933" s="379" t="s">
        <v>1669</v>
      </c>
      <c r="D933" s="379">
        <v>5753966</v>
      </c>
      <c r="E933" s="379" t="s">
        <v>2398</v>
      </c>
      <c r="F933" s="379" t="s">
        <v>3002</v>
      </c>
      <c r="G933" s="383">
        <v>34486</v>
      </c>
      <c r="H933" s="379">
        <v>21810.5</v>
      </c>
      <c r="I933" s="379">
        <v>774.73</v>
      </c>
      <c r="J933" s="379">
        <v>1992.15</v>
      </c>
      <c r="K933" s="379">
        <v>1636.7</v>
      </c>
      <c r="L933" s="379"/>
      <c r="M933" s="379">
        <v>80.52</v>
      </c>
      <c r="N933" s="379"/>
      <c r="O933" s="379">
        <v>19893.939999999999</v>
      </c>
      <c r="P933" s="379"/>
      <c r="Q933" s="379">
        <v>127.56</v>
      </c>
      <c r="R933" s="379"/>
      <c r="S933" s="379"/>
      <c r="T933" s="379">
        <v>1789</v>
      </c>
      <c r="U933" s="379"/>
      <c r="V933" s="380">
        <v>26294.6</v>
      </c>
      <c r="W933" s="381">
        <v>3</v>
      </c>
      <c r="X933" s="379"/>
      <c r="Y933" s="379"/>
      <c r="Z933" s="379">
        <v>5923001</v>
      </c>
      <c r="AA933" s="379" t="s">
        <v>2354</v>
      </c>
      <c r="AB933" s="380">
        <f t="shared" si="13"/>
        <v>0.25</v>
      </c>
    </row>
    <row r="934" spans="1:28" outlineLevel="1" x14ac:dyDescent="0.3">
      <c r="A934" s="379"/>
      <c r="B934" s="384" t="s">
        <v>3173</v>
      </c>
      <c r="C934" s="379"/>
      <c r="D934" s="379"/>
      <c r="E934" s="379"/>
      <c r="F934" s="379"/>
      <c r="G934" s="383"/>
      <c r="H934" s="379"/>
      <c r="I934" s="379"/>
      <c r="J934" s="379"/>
      <c r="K934" s="379"/>
      <c r="L934" s="379"/>
      <c r="M934" s="379"/>
      <c r="N934" s="379"/>
      <c r="O934" s="379"/>
      <c r="P934" s="379"/>
      <c r="Q934" s="379"/>
      <c r="R934" s="379"/>
      <c r="S934" s="379"/>
      <c r="T934" s="379"/>
      <c r="U934" s="379"/>
      <c r="V934" s="380">
        <f>SUBTOTAL(9,V929:V933)</f>
        <v>360371.56999999995</v>
      </c>
      <c r="W934" s="381">
        <f>SUBTOTAL(9,W929:W933)</f>
        <v>26.8</v>
      </c>
      <c r="X934" s="379"/>
      <c r="Y934" s="379"/>
      <c r="Z934" s="379"/>
      <c r="AA934" s="379"/>
      <c r="AB934" s="380">
        <f>SUBTOTAL(9,AB929:AB933)</f>
        <v>2.2333333333333334</v>
      </c>
    </row>
    <row r="935" spans="1:28" outlineLevel="2" x14ac:dyDescent="0.3">
      <c r="A935" s="379">
        <v>431</v>
      </c>
      <c r="B935" s="379">
        <v>843500</v>
      </c>
      <c r="C935" s="379" t="s">
        <v>3174</v>
      </c>
      <c r="D935" s="379">
        <v>1601262</v>
      </c>
      <c r="E935" s="379" t="s">
        <v>3115</v>
      </c>
      <c r="F935" s="379" t="s">
        <v>3116</v>
      </c>
      <c r="G935" s="383">
        <v>42675</v>
      </c>
      <c r="H935" s="379">
        <v>16743.080000000002</v>
      </c>
      <c r="I935" s="379">
        <v>876.62</v>
      </c>
      <c r="J935" s="379">
        <v>3876.82</v>
      </c>
      <c r="K935" s="379">
        <v>1255.24</v>
      </c>
      <c r="L935" s="379"/>
      <c r="M935" s="379">
        <v>59.72</v>
      </c>
      <c r="N935" s="379"/>
      <c r="O935" s="379">
        <v>15009.7</v>
      </c>
      <c r="P935" s="379"/>
      <c r="Q935" s="379">
        <v>74.41</v>
      </c>
      <c r="R935" s="379"/>
      <c r="S935" s="379">
        <v>174.65</v>
      </c>
      <c r="T935" s="379">
        <v>1249</v>
      </c>
      <c r="U935" s="379">
        <v>235.32</v>
      </c>
      <c r="V935" s="380">
        <v>22811.48</v>
      </c>
      <c r="W935" s="381">
        <v>1.75</v>
      </c>
      <c r="X935" s="379"/>
      <c r="Y935" s="379"/>
      <c r="Z935" s="379">
        <v>1401001</v>
      </c>
      <c r="AA935" s="379" t="s">
        <v>3098</v>
      </c>
      <c r="AB935" s="380">
        <f t="shared" si="13"/>
        <v>0.14583333333333334</v>
      </c>
    </row>
    <row r="936" spans="1:28" outlineLevel="2" x14ac:dyDescent="0.3">
      <c r="A936" s="379">
        <v>431</v>
      </c>
      <c r="B936" s="379">
        <v>843500</v>
      </c>
      <c r="C936" s="379" t="s">
        <v>3174</v>
      </c>
      <c r="D936" s="379">
        <v>5833920</v>
      </c>
      <c r="E936" s="379" t="s">
        <v>3144</v>
      </c>
      <c r="F936" s="379" t="s">
        <v>2624</v>
      </c>
      <c r="G936" s="383">
        <v>32387</v>
      </c>
      <c r="H936" s="379">
        <v>6799.27</v>
      </c>
      <c r="I936" s="379">
        <v>303.39999999999998</v>
      </c>
      <c r="J936" s="379">
        <v>122.34</v>
      </c>
      <c r="K936" s="379">
        <v>605.05999999999995</v>
      </c>
      <c r="L936" s="379"/>
      <c r="M936" s="379">
        <v>9.6199999999999992</v>
      </c>
      <c r="N936" s="379"/>
      <c r="O936" s="379">
        <v>784.27</v>
      </c>
      <c r="P936" s="379">
        <v>1436.24</v>
      </c>
      <c r="Q936" s="379">
        <v>2226</v>
      </c>
      <c r="R936" s="379">
        <v>2180.7600000000002</v>
      </c>
      <c r="S936" s="379"/>
      <c r="T936" s="379"/>
      <c r="U936" s="379">
        <v>172</v>
      </c>
      <c r="V936" s="380">
        <v>7839.69</v>
      </c>
      <c r="W936" s="381"/>
      <c r="X936" s="379"/>
      <c r="Y936" s="379"/>
      <c r="Z936" s="379">
        <v>1401001</v>
      </c>
      <c r="AA936" s="379" t="s">
        <v>3098</v>
      </c>
      <c r="AB936" s="380">
        <f t="shared" si="13"/>
        <v>0</v>
      </c>
    </row>
    <row r="937" spans="1:28" outlineLevel="2" x14ac:dyDescent="0.3">
      <c r="A937" s="379">
        <v>431</v>
      </c>
      <c r="B937" s="379">
        <v>843500</v>
      </c>
      <c r="C937" s="379" t="s">
        <v>3174</v>
      </c>
      <c r="D937" s="379">
        <v>6283601</v>
      </c>
      <c r="E937" s="379" t="s">
        <v>2983</v>
      </c>
      <c r="F937" s="379" t="s">
        <v>2310</v>
      </c>
      <c r="G937" s="383">
        <v>43160</v>
      </c>
      <c r="H937" s="379">
        <v>9375.01</v>
      </c>
      <c r="I937" s="379">
        <v>339.17</v>
      </c>
      <c r="J937" s="379">
        <v>1837.14</v>
      </c>
      <c r="K937" s="379">
        <v>716.55</v>
      </c>
      <c r="L937" s="379"/>
      <c r="M937" s="379">
        <v>31.21</v>
      </c>
      <c r="N937" s="379"/>
      <c r="O937" s="379">
        <v>7677.05</v>
      </c>
      <c r="P937" s="379">
        <v>140.49</v>
      </c>
      <c r="Q937" s="379">
        <v>401.38</v>
      </c>
      <c r="R937" s="379">
        <v>796.95</v>
      </c>
      <c r="S937" s="379"/>
      <c r="T937" s="379"/>
      <c r="U937" s="379">
        <v>359.14</v>
      </c>
      <c r="V937" s="380">
        <v>12299.08</v>
      </c>
      <c r="W937" s="381">
        <v>1</v>
      </c>
      <c r="X937" s="379"/>
      <c r="Y937" s="379"/>
      <c r="Z937" s="379">
        <v>1401001</v>
      </c>
      <c r="AA937" s="379" t="s">
        <v>3098</v>
      </c>
      <c r="AB937" s="380">
        <f t="shared" si="13"/>
        <v>8.3333333333333329E-2</v>
      </c>
    </row>
    <row r="938" spans="1:28" outlineLevel="2" x14ac:dyDescent="0.3">
      <c r="A938" s="379">
        <v>431</v>
      </c>
      <c r="B938" s="379">
        <v>843500</v>
      </c>
      <c r="C938" s="379" t="s">
        <v>3174</v>
      </c>
      <c r="D938" s="379">
        <v>20143215</v>
      </c>
      <c r="E938" s="379" t="s">
        <v>3153</v>
      </c>
      <c r="F938" s="379" t="s">
        <v>3154</v>
      </c>
      <c r="G938" s="383">
        <v>42795</v>
      </c>
      <c r="H938" s="379">
        <v>53615.94</v>
      </c>
      <c r="I938" s="379">
        <v>2731.31</v>
      </c>
      <c r="J938" s="379">
        <v>12494.46</v>
      </c>
      <c r="K938" s="379">
        <v>4020.28</v>
      </c>
      <c r="L938" s="379"/>
      <c r="M938" s="379">
        <v>203.07</v>
      </c>
      <c r="N938" s="379"/>
      <c r="O938" s="379">
        <v>50862.82</v>
      </c>
      <c r="P938" s="379"/>
      <c r="Q938" s="379">
        <v>255.12</v>
      </c>
      <c r="R938" s="379"/>
      <c r="S938" s="379"/>
      <c r="T938" s="379">
        <v>2498</v>
      </c>
      <c r="U938" s="379"/>
      <c r="V938" s="380">
        <v>73065.06</v>
      </c>
      <c r="W938" s="381">
        <v>6</v>
      </c>
      <c r="X938" s="379"/>
      <c r="Y938" s="379"/>
      <c r="Z938" s="379">
        <v>1401001</v>
      </c>
      <c r="AA938" s="379" t="s">
        <v>3098</v>
      </c>
      <c r="AB938" s="380">
        <f t="shared" si="13"/>
        <v>0.5</v>
      </c>
    </row>
    <row r="939" spans="1:28" outlineLevel="1" x14ac:dyDescent="0.3">
      <c r="A939" s="379"/>
      <c r="B939" s="384" t="s">
        <v>3175</v>
      </c>
      <c r="C939" s="379"/>
      <c r="D939" s="379"/>
      <c r="E939" s="379"/>
      <c r="F939" s="379"/>
      <c r="G939" s="383"/>
      <c r="H939" s="379"/>
      <c r="I939" s="379"/>
      <c r="J939" s="379"/>
      <c r="K939" s="379"/>
      <c r="L939" s="379"/>
      <c r="M939" s="379"/>
      <c r="N939" s="379"/>
      <c r="O939" s="379"/>
      <c r="P939" s="379"/>
      <c r="Q939" s="379"/>
      <c r="R939" s="379"/>
      <c r="S939" s="379"/>
      <c r="T939" s="379"/>
      <c r="U939" s="379"/>
      <c r="V939" s="380">
        <f>SUBTOTAL(9,V935:V938)</f>
        <v>116015.31</v>
      </c>
      <c r="W939" s="381">
        <f>SUBTOTAL(9,W935:W938)</f>
        <v>8.75</v>
      </c>
      <c r="X939" s="379"/>
      <c r="Y939" s="379"/>
      <c r="Z939" s="379"/>
      <c r="AA939" s="379"/>
      <c r="AB939" s="380">
        <f>SUBTOTAL(9,AB935:AB938)</f>
        <v>0.72916666666666674</v>
      </c>
    </row>
    <row r="940" spans="1:28" outlineLevel="2" x14ac:dyDescent="0.3">
      <c r="A940" s="379">
        <v>431</v>
      </c>
      <c r="B940" s="379">
        <v>845200</v>
      </c>
      <c r="C940" s="379" t="s">
        <v>1675</v>
      </c>
      <c r="D940" s="379">
        <v>2273202</v>
      </c>
      <c r="E940" s="379" t="s">
        <v>2303</v>
      </c>
      <c r="F940" s="379" t="s">
        <v>2324</v>
      </c>
      <c r="G940" s="383">
        <v>36923</v>
      </c>
      <c r="H940" s="379">
        <v>58360.72</v>
      </c>
      <c r="I940" s="379">
        <v>2087.85</v>
      </c>
      <c r="J940" s="379">
        <v>12166.44</v>
      </c>
      <c r="K940" s="379">
        <v>4414.3</v>
      </c>
      <c r="L940" s="379"/>
      <c r="M940" s="379">
        <v>205.5</v>
      </c>
      <c r="N940" s="379"/>
      <c r="O940" s="379">
        <v>51203.040000000001</v>
      </c>
      <c r="P940" s="379"/>
      <c r="Q940" s="379">
        <v>2787.08</v>
      </c>
      <c r="R940" s="379"/>
      <c r="S940" s="379"/>
      <c r="T940" s="379">
        <v>4370.6000000000004</v>
      </c>
      <c r="U940" s="379"/>
      <c r="V940" s="380">
        <v>77234.81</v>
      </c>
      <c r="W940" s="381">
        <v>7.8</v>
      </c>
      <c r="X940" s="379">
        <v>1</v>
      </c>
      <c r="Y940" s="379" t="s">
        <v>2353</v>
      </c>
      <c r="Z940" s="379">
        <v>5921001</v>
      </c>
      <c r="AA940" s="379" t="s">
        <v>2374</v>
      </c>
      <c r="AB940" s="380">
        <f t="shared" si="13"/>
        <v>0.65</v>
      </c>
    </row>
    <row r="941" spans="1:28" outlineLevel="2" x14ac:dyDescent="0.3">
      <c r="A941" s="379">
        <v>431</v>
      </c>
      <c r="B941" s="379">
        <v>845200</v>
      </c>
      <c r="C941" s="379" t="s">
        <v>1675</v>
      </c>
      <c r="D941" s="379">
        <v>2564631</v>
      </c>
      <c r="E941" s="379" t="s">
        <v>2726</v>
      </c>
      <c r="F941" s="379" t="s">
        <v>2729</v>
      </c>
      <c r="G941" s="383">
        <v>42401</v>
      </c>
      <c r="H941" s="379">
        <v>6299.31</v>
      </c>
      <c r="I941" s="379">
        <v>229.1</v>
      </c>
      <c r="J941" s="379">
        <v>1273.69</v>
      </c>
      <c r="K941" s="379">
        <v>472.45</v>
      </c>
      <c r="L941" s="379"/>
      <c r="M941" s="379">
        <v>24.25</v>
      </c>
      <c r="N941" s="379"/>
      <c r="O941" s="379">
        <v>6065.21</v>
      </c>
      <c r="P941" s="379"/>
      <c r="Q941" s="379">
        <v>234.1</v>
      </c>
      <c r="R941" s="379"/>
      <c r="S941" s="379"/>
      <c r="T941" s="379"/>
      <c r="U941" s="379"/>
      <c r="V941" s="380">
        <v>8298.7999999999993</v>
      </c>
      <c r="W941" s="381">
        <v>1</v>
      </c>
      <c r="X941" s="379"/>
      <c r="Y941" s="379"/>
      <c r="Z941" s="379">
        <v>1421001</v>
      </c>
      <c r="AA941" s="379" t="s">
        <v>3176</v>
      </c>
      <c r="AB941" s="380">
        <f t="shared" si="13"/>
        <v>8.3333333333333329E-2</v>
      </c>
    </row>
    <row r="942" spans="1:28" outlineLevel="2" x14ac:dyDescent="0.3">
      <c r="A942" s="379">
        <v>431</v>
      </c>
      <c r="B942" s="379">
        <v>845200</v>
      </c>
      <c r="C942" s="379" t="s">
        <v>1675</v>
      </c>
      <c r="D942" s="379">
        <v>2944925</v>
      </c>
      <c r="E942" s="379" t="s">
        <v>2888</v>
      </c>
      <c r="F942" s="379" t="s">
        <v>2889</v>
      </c>
      <c r="G942" s="383">
        <v>43739</v>
      </c>
      <c r="H942" s="379">
        <v>7196.52</v>
      </c>
      <c r="I942" s="379">
        <v>297.29000000000002</v>
      </c>
      <c r="J942" s="379">
        <v>872.84</v>
      </c>
      <c r="K942" s="379">
        <v>539.75</v>
      </c>
      <c r="L942" s="379"/>
      <c r="M942" s="379">
        <v>27.85</v>
      </c>
      <c r="N942" s="379"/>
      <c r="O942" s="379">
        <v>6968.49</v>
      </c>
      <c r="P942" s="379"/>
      <c r="Q942" s="379">
        <v>228.03</v>
      </c>
      <c r="R942" s="379"/>
      <c r="S942" s="379"/>
      <c r="T942" s="379"/>
      <c r="U942" s="379"/>
      <c r="V942" s="380">
        <v>8934.25</v>
      </c>
      <c r="W942" s="381">
        <v>1</v>
      </c>
      <c r="X942" s="379"/>
      <c r="Y942" s="379"/>
      <c r="Z942" s="379">
        <v>1421001</v>
      </c>
      <c r="AA942" s="379" t="s">
        <v>3176</v>
      </c>
      <c r="AB942" s="380">
        <f t="shared" si="13"/>
        <v>8.3333333333333329E-2</v>
      </c>
    </row>
    <row r="943" spans="1:28" outlineLevel="2" x14ac:dyDescent="0.3">
      <c r="A943" s="379">
        <v>431</v>
      </c>
      <c r="B943" s="379">
        <v>845200</v>
      </c>
      <c r="C943" s="379" t="s">
        <v>1675</v>
      </c>
      <c r="D943" s="379">
        <v>3330802</v>
      </c>
      <c r="E943" s="379" t="s">
        <v>2303</v>
      </c>
      <c r="F943" s="379" t="s">
        <v>2808</v>
      </c>
      <c r="G943" s="383">
        <v>35827</v>
      </c>
      <c r="H943" s="379">
        <v>92230.91</v>
      </c>
      <c r="I943" s="379">
        <v>4048.42</v>
      </c>
      <c r="J943" s="379">
        <v>8678.1</v>
      </c>
      <c r="K943" s="379">
        <v>6954.5</v>
      </c>
      <c r="L943" s="379"/>
      <c r="M943" s="379">
        <v>328.25</v>
      </c>
      <c r="N943" s="379"/>
      <c r="O943" s="379">
        <v>81158.05</v>
      </c>
      <c r="P943" s="379">
        <v>929.66</v>
      </c>
      <c r="Q943" s="379">
        <v>2809.2</v>
      </c>
      <c r="R943" s="379"/>
      <c r="S943" s="379"/>
      <c r="T943" s="379">
        <v>7334</v>
      </c>
      <c r="U943" s="379"/>
      <c r="V943" s="380">
        <v>112240.18</v>
      </c>
      <c r="W943" s="381">
        <v>12</v>
      </c>
      <c r="X943" s="379">
        <v>10</v>
      </c>
      <c r="Y943" s="379" t="s">
        <v>3176</v>
      </c>
      <c r="Z943" s="379">
        <v>1421001</v>
      </c>
      <c r="AA943" s="379" t="s">
        <v>3176</v>
      </c>
      <c r="AB943" s="380">
        <f t="shared" si="13"/>
        <v>1</v>
      </c>
    </row>
    <row r="944" spans="1:28" outlineLevel="2" x14ac:dyDescent="0.3">
      <c r="A944" s="379">
        <v>431</v>
      </c>
      <c r="B944" s="379">
        <v>845200</v>
      </c>
      <c r="C944" s="379" t="s">
        <v>1675</v>
      </c>
      <c r="D944" s="379">
        <v>5646423</v>
      </c>
      <c r="E944" s="379" t="s">
        <v>3040</v>
      </c>
      <c r="F944" s="379" t="s">
        <v>3177</v>
      </c>
      <c r="G944" s="383">
        <v>28642</v>
      </c>
      <c r="H944" s="379">
        <v>183542.71</v>
      </c>
      <c r="I944" s="379">
        <v>10986.06</v>
      </c>
      <c r="J944" s="379">
        <v>15921.44</v>
      </c>
      <c r="K944" s="379">
        <v>13802.8</v>
      </c>
      <c r="L944" s="379"/>
      <c r="M944" s="379">
        <v>644.35</v>
      </c>
      <c r="N944" s="379"/>
      <c r="O944" s="379">
        <v>148041.64000000001</v>
      </c>
      <c r="P944" s="379">
        <v>2338.35</v>
      </c>
      <c r="Q944" s="379">
        <v>4685.6000000000004</v>
      </c>
      <c r="R944" s="379">
        <v>11837.74</v>
      </c>
      <c r="S944" s="379"/>
      <c r="T944" s="379">
        <v>15153.38</v>
      </c>
      <c r="U944" s="379">
        <v>1486</v>
      </c>
      <c r="V944" s="380">
        <v>224897.36</v>
      </c>
      <c r="W944" s="381">
        <v>12</v>
      </c>
      <c r="X944" s="379">
        <v>12</v>
      </c>
      <c r="Y944" s="379" t="s">
        <v>3178</v>
      </c>
      <c r="Z944" s="379">
        <v>1421004</v>
      </c>
      <c r="AA944" s="379" t="s">
        <v>3179</v>
      </c>
      <c r="AB944" s="380">
        <f t="shared" si="13"/>
        <v>1</v>
      </c>
    </row>
    <row r="945" spans="1:28" outlineLevel="2" x14ac:dyDescent="0.3">
      <c r="A945" s="379">
        <v>431</v>
      </c>
      <c r="B945" s="379">
        <v>845200</v>
      </c>
      <c r="C945" s="379" t="s">
        <v>1675</v>
      </c>
      <c r="D945" s="379">
        <v>5789609</v>
      </c>
      <c r="E945" s="379" t="s">
        <v>2626</v>
      </c>
      <c r="F945" s="379" t="s">
        <v>2810</v>
      </c>
      <c r="G945" s="383">
        <v>31503</v>
      </c>
      <c r="H945" s="379">
        <v>117162.32</v>
      </c>
      <c r="I945" s="379">
        <v>5941.79</v>
      </c>
      <c r="J945" s="379">
        <v>10604.97</v>
      </c>
      <c r="K945" s="379">
        <v>8824.2999999999993</v>
      </c>
      <c r="L945" s="379"/>
      <c r="M945" s="379">
        <v>412.5</v>
      </c>
      <c r="N945" s="379"/>
      <c r="O945" s="379">
        <v>95825.93</v>
      </c>
      <c r="P945" s="379"/>
      <c r="Q945" s="379">
        <v>2809.2</v>
      </c>
      <c r="R945" s="379">
        <v>5945.47</v>
      </c>
      <c r="S945" s="379"/>
      <c r="T945" s="379">
        <v>12581.72</v>
      </c>
      <c r="U945" s="379"/>
      <c r="V945" s="380">
        <v>142945.88</v>
      </c>
      <c r="W945" s="381">
        <v>12</v>
      </c>
      <c r="X945" s="379"/>
      <c r="Y945" s="379"/>
      <c r="Z945" s="379">
        <v>1421001</v>
      </c>
      <c r="AA945" s="379" t="s">
        <v>3176</v>
      </c>
      <c r="AB945" s="380">
        <f t="shared" si="13"/>
        <v>1</v>
      </c>
    </row>
    <row r="946" spans="1:28" outlineLevel="2" x14ac:dyDescent="0.3">
      <c r="A946" s="379">
        <v>431</v>
      </c>
      <c r="B946" s="379">
        <v>845200</v>
      </c>
      <c r="C946" s="379" t="s">
        <v>1675</v>
      </c>
      <c r="D946" s="379">
        <v>6750162</v>
      </c>
      <c r="E946" s="379" t="s">
        <v>2858</v>
      </c>
      <c r="F946" s="379" t="s">
        <v>2366</v>
      </c>
      <c r="G946" s="383">
        <v>35370</v>
      </c>
      <c r="H946" s="379">
        <v>93561.75</v>
      </c>
      <c r="I946" s="379">
        <v>4149.58</v>
      </c>
      <c r="J946" s="379">
        <v>8869.4</v>
      </c>
      <c r="K946" s="379">
        <v>7054.35</v>
      </c>
      <c r="L946" s="379"/>
      <c r="M946" s="379">
        <v>333.65</v>
      </c>
      <c r="N946" s="379"/>
      <c r="O946" s="379">
        <v>81386.5</v>
      </c>
      <c r="P946" s="379"/>
      <c r="Q946" s="379">
        <v>2809.2</v>
      </c>
      <c r="R946" s="379">
        <v>2032.05</v>
      </c>
      <c r="S946" s="379"/>
      <c r="T946" s="379">
        <v>7334</v>
      </c>
      <c r="U946" s="379"/>
      <c r="V946" s="380">
        <v>113968.73</v>
      </c>
      <c r="W946" s="381">
        <v>12</v>
      </c>
      <c r="X946" s="379"/>
      <c r="Y946" s="379"/>
      <c r="Z946" s="379">
        <v>5105001</v>
      </c>
      <c r="AA946" s="379" t="s">
        <v>3180</v>
      </c>
      <c r="AB946" s="380">
        <f t="shared" si="13"/>
        <v>1</v>
      </c>
    </row>
    <row r="947" spans="1:28" outlineLevel="1" x14ac:dyDescent="0.3">
      <c r="A947" s="379"/>
      <c r="B947" s="384" t="s">
        <v>3181</v>
      </c>
      <c r="C947" s="379"/>
      <c r="D947" s="379"/>
      <c r="E947" s="379"/>
      <c r="F947" s="379"/>
      <c r="G947" s="383"/>
      <c r="H947" s="379"/>
      <c r="I947" s="379"/>
      <c r="J947" s="379"/>
      <c r="K947" s="379"/>
      <c r="L947" s="379"/>
      <c r="M947" s="379"/>
      <c r="N947" s="379"/>
      <c r="O947" s="379"/>
      <c r="P947" s="379"/>
      <c r="Q947" s="379"/>
      <c r="R947" s="379"/>
      <c r="S947" s="379"/>
      <c r="T947" s="379"/>
      <c r="U947" s="379"/>
      <c r="V947" s="380">
        <f>SUBTOTAL(9,V940:V946)</f>
        <v>688520.01</v>
      </c>
      <c r="W947" s="381">
        <f>SUBTOTAL(9,W940:W946)</f>
        <v>57.8</v>
      </c>
      <c r="X947" s="379"/>
      <c r="Y947" s="379"/>
      <c r="Z947" s="379"/>
      <c r="AA947" s="379"/>
      <c r="AB947" s="380">
        <f>SUBTOTAL(9,AB940:AB946)</f>
        <v>4.8166666666666664</v>
      </c>
    </row>
    <row r="948" spans="1:28" outlineLevel="2" x14ac:dyDescent="0.3">
      <c r="A948" s="379">
        <v>431</v>
      </c>
      <c r="B948" s="379">
        <v>845210</v>
      </c>
      <c r="C948" s="379" t="s">
        <v>1685</v>
      </c>
      <c r="D948" s="379">
        <v>2246222</v>
      </c>
      <c r="E948" s="379" t="s">
        <v>2303</v>
      </c>
      <c r="F948" s="379" t="s">
        <v>2878</v>
      </c>
      <c r="G948" s="383">
        <v>41640</v>
      </c>
      <c r="H948" s="379">
        <v>46117.72</v>
      </c>
      <c r="I948" s="379">
        <v>1654.82</v>
      </c>
      <c r="J948" s="379">
        <v>9070.24</v>
      </c>
      <c r="K948" s="379">
        <v>3496.04</v>
      </c>
      <c r="L948" s="379"/>
      <c r="M948" s="379">
        <v>153.49</v>
      </c>
      <c r="N948" s="379"/>
      <c r="O948" s="379">
        <v>37489.589999999997</v>
      </c>
      <c r="P948" s="379">
        <v>3396.53</v>
      </c>
      <c r="Q948" s="379">
        <v>2517.6</v>
      </c>
      <c r="R948" s="379"/>
      <c r="S948" s="379"/>
      <c r="T948" s="379">
        <v>2714</v>
      </c>
      <c r="U948" s="379"/>
      <c r="V948" s="380">
        <v>60492.31</v>
      </c>
      <c r="W948" s="381">
        <v>6</v>
      </c>
      <c r="X948" s="379"/>
      <c r="Y948" s="379"/>
      <c r="Z948" s="379">
        <v>5421002</v>
      </c>
      <c r="AA948" s="379" t="s">
        <v>2879</v>
      </c>
      <c r="AB948" s="380">
        <f t="shared" si="13"/>
        <v>0.5</v>
      </c>
    </row>
    <row r="949" spans="1:28" outlineLevel="2" x14ac:dyDescent="0.3">
      <c r="A949" s="379">
        <v>431</v>
      </c>
      <c r="B949" s="379">
        <v>845210</v>
      </c>
      <c r="C949" s="379" t="s">
        <v>1685</v>
      </c>
      <c r="D949" s="379">
        <v>2304015</v>
      </c>
      <c r="E949" s="379" t="s">
        <v>2899</v>
      </c>
      <c r="F949" s="379" t="s">
        <v>2450</v>
      </c>
      <c r="G949" s="383">
        <v>42309</v>
      </c>
      <c r="H949" s="379">
        <v>45016.9</v>
      </c>
      <c r="I949" s="379">
        <v>1615.72</v>
      </c>
      <c r="J949" s="379">
        <v>8502.4</v>
      </c>
      <c r="K949" s="379">
        <v>3413.4</v>
      </c>
      <c r="L949" s="379"/>
      <c r="M949" s="379">
        <v>154.69999999999999</v>
      </c>
      <c r="N949" s="379"/>
      <c r="O949" s="379">
        <v>37657.300000000003</v>
      </c>
      <c r="P949" s="379">
        <v>1830</v>
      </c>
      <c r="Q949" s="379">
        <v>2815.6</v>
      </c>
      <c r="R949" s="379"/>
      <c r="S949" s="379"/>
      <c r="T949" s="379">
        <v>2714</v>
      </c>
      <c r="U949" s="379"/>
      <c r="V949" s="380">
        <v>58703.12</v>
      </c>
      <c r="W949" s="381">
        <v>6</v>
      </c>
      <c r="X949" s="379"/>
      <c r="Y949" s="379"/>
      <c r="Z949" s="379">
        <v>5421002</v>
      </c>
      <c r="AA949" s="379" t="s">
        <v>2879</v>
      </c>
      <c r="AB949" s="380">
        <f t="shared" si="13"/>
        <v>0.5</v>
      </c>
    </row>
    <row r="950" spans="1:28" outlineLevel="2" x14ac:dyDescent="0.3">
      <c r="A950" s="379">
        <v>431</v>
      </c>
      <c r="B950" s="379">
        <v>845210</v>
      </c>
      <c r="C950" s="379" t="s">
        <v>1685</v>
      </c>
      <c r="D950" s="379">
        <v>2564631</v>
      </c>
      <c r="E950" s="379" t="s">
        <v>2726</v>
      </c>
      <c r="F950" s="379" t="s">
        <v>2729</v>
      </c>
      <c r="G950" s="383">
        <v>42401</v>
      </c>
      <c r="H950" s="379">
        <v>27004.240000000002</v>
      </c>
      <c r="I950" s="379">
        <v>1107.03</v>
      </c>
      <c r="J950" s="379">
        <v>5206.04</v>
      </c>
      <c r="K950" s="379">
        <v>2025.75</v>
      </c>
      <c r="L950" s="379"/>
      <c r="M950" s="379">
        <v>99.26</v>
      </c>
      <c r="N950" s="379"/>
      <c r="O950" s="379">
        <v>24724.48</v>
      </c>
      <c r="P950" s="379"/>
      <c r="Q950" s="379"/>
      <c r="R950" s="379"/>
      <c r="S950" s="379"/>
      <c r="T950" s="379">
        <v>2279.7600000000002</v>
      </c>
      <c r="U950" s="379"/>
      <c r="V950" s="380">
        <v>35442.32</v>
      </c>
      <c r="W950" s="381">
        <v>4</v>
      </c>
      <c r="X950" s="379"/>
      <c r="Y950" s="379"/>
      <c r="Z950" s="379">
        <v>1422001</v>
      </c>
      <c r="AA950" s="379" t="s">
        <v>2648</v>
      </c>
      <c r="AB950" s="380">
        <f t="shared" si="13"/>
        <v>0.33333333333333331</v>
      </c>
    </row>
    <row r="951" spans="1:28" outlineLevel="2" x14ac:dyDescent="0.3">
      <c r="A951" s="379">
        <v>431</v>
      </c>
      <c r="B951" s="379">
        <v>845210</v>
      </c>
      <c r="C951" s="379" t="s">
        <v>1685</v>
      </c>
      <c r="D951" s="379">
        <v>3594477</v>
      </c>
      <c r="E951" s="379" t="s">
        <v>2576</v>
      </c>
      <c r="F951" s="379" t="s">
        <v>2577</v>
      </c>
      <c r="G951" s="383">
        <v>41306</v>
      </c>
      <c r="H951" s="379">
        <v>11966.67</v>
      </c>
      <c r="I951" s="379">
        <v>537.42999999999995</v>
      </c>
      <c r="J951" s="379">
        <v>1560.12</v>
      </c>
      <c r="K951" s="379">
        <v>898</v>
      </c>
      <c r="L951" s="379"/>
      <c r="M951" s="379">
        <v>45.52</v>
      </c>
      <c r="N951" s="379"/>
      <c r="O951" s="379"/>
      <c r="P951" s="379">
        <v>651.79999999999995</v>
      </c>
      <c r="Q951" s="379"/>
      <c r="R951" s="379">
        <v>11314.87</v>
      </c>
      <c r="S951" s="379"/>
      <c r="T951" s="379"/>
      <c r="U951" s="379"/>
      <c r="V951" s="380">
        <v>15007.74</v>
      </c>
      <c r="W951" s="381"/>
      <c r="X951" s="379">
        <v>111</v>
      </c>
      <c r="Y951" s="379" t="s">
        <v>2575</v>
      </c>
      <c r="Z951" s="379">
        <v>9921001</v>
      </c>
      <c r="AA951" s="379" t="s">
        <v>2464</v>
      </c>
      <c r="AB951" s="380">
        <f t="shared" si="13"/>
        <v>0</v>
      </c>
    </row>
    <row r="952" spans="1:28" outlineLevel="2" x14ac:dyDescent="0.3">
      <c r="A952" s="379">
        <v>431</v>
      </c>
      <c r="B952" s="379">
        <v>845210</v>
      </c>
      <c r="C952" s="379" t="s">
        <v>1685</v>
      </c>
      <c r="D952" s="379">
        <v>5399646</v>
      </c>
      <c r="E952" s="379" t="s">
        <v>2880</v>
      </c>
      <c r="F952" s="379" t="s">
        <v>2366</v>
      </c>
      <c r="G952" s="383">
        <v>43040</v>
      </c>
      <c r="H952" s="379">
        <v>37425.56</v>
      </c>
      <c r="I952" s="379">
        <v>1232.48</v>
      </c>
      <c r="J952" s="379">
        <v>6606.07</v>
      </c>
      <c r="K952" s="379">
        <v>2844.13</v>
      </c>
      <c r="L952" s="379"/>
      <c r="M952" s="379">
        <v>46.95</v>
      </c>
      <c r="N952" s="379"/>
      <c r="O952" s="379">
        <v>34710.800000000003</v>
      </c>
      <c r="P952" s="379">
        <v>708</v>
      </c>
      <c r="Q952" s="379">
        <v>2006.76</v>
      </c>
      <c r="R952" s="379"/>
      <c r="S952" s="379"/>
      <c r="T952" s="379"/>
      <c r="U952" s="379"/>
      <c r="V952" s="380">
        <v>48155.19</v>
      </c>
      <c r="W952" s="381">
        <v>6</v>
      </c>
      <c r="X952" s="379"/>
      <c r="Y952" s="379"/>
      <c r="Z952" s="379">
        <v>1031001</v>
      </c>
      <c r="AA952" s="379" t="s">
        <v>2328</v>
      </c>
      <c r="AB952" s="380">
        <f t="shared" si="13"/>
        <v>0.5</v>
      </c>
    </row>
    <row r="953" spans="1:28" outlineLevel="2" x14ac:dyDescent="0.3">
      <c r="A953" s="379">
        <v>431</v>
      </c>
      <c r="B953" s="379">
        <v>845210</v>
      </c>
      <c r="C953" s="379" t="s">
        <v>1685</v>
      </c>
      <c r="D953" s="379">
        <v>5495774</v>
      </c>
      <c r="E953" s="379" t="s">
        <v>2881</v>
      </c>
      <c r="F953" s="379" t="s">
        <v>2882</v>
      </c>
      <c r="G953" s="383">
        <v>41821</v>
      </c>
      <c r="H953" s="379">
        <v>3731.89</v>
      </c>
      <c r="I953" s="379">
        <v>132.49</v>
      </c>
      <c r="J953" s="379">
        <v>680.68</v>
      </c>
      <c r="K953" s="379">
        <v>279.92</v>
      </c>
      <c r="L953" s="379"/>
      <c r="M953" s="379">
        <v>14.1</v>
      </c>
      <c r="N953" s="379"/>
      <c r="O953" s="379">
        <v>2879.37</v>
      </c>
      <c r="P953" s="379">
        <v>642.72</v>
      </c>
      <c r="Q953" s="379">
        <v>209.8</v>
      </c>
      <c r="R953" s="379"/>
      <c r="S953" s="379"/>
      <c r="T953" s="379"/>
      <c r="U953" s="379"/>
      <c r="V953" s="380">
        <v>4839.08</v>
      </c>
      <c r="W953" s="381">
        <v>0.5</v>
      </c>
      <c r="X953" s="379"/>
      <c r="Y953" s="379"/>
      <c r="Z953" s="379">
        <v>1041001</v>
      </c>
      <c r="AA953" s="379" t="s">
        <v>2677</v>
      </c>
      <c r="AB953" s="380">
        <f t="shared" si="13"/>
        <v>4.1666666666666664E-2</v>
      </c>
    </row>
    <row r="954" spans="1:28" outlineLevel="2" x14ac:dyDescent="0.3">
      <c r="A954" s="379">
        <v>431</v>
      </c>
      <c r="B954" s="379">
        <v>845210</v>
      </c>
      <c r="C954" s="379" t="s">
        <v>1685</v>
      </c>
      <c r="D954" s="379">
        <v>5495774</v>
      </c>
      <c r="E954" s="379" t="s">
        <v>2881</v>
      </c>
      <c r="F954" s="379" t="s">
        <v>2882</v>
      </c>
      <c r="G954" s="383">
        <v>41821</v>
      </c>
      <c r="H954" s="379">
        <v>40877.64</v>
      </c>
      <c r="I954" s="379">
        <v>1428.11</v>
      </c>
      <c r="J954" s="379">
        <v>7669.02</v>
      </c>
      <c r="K954" s="379">
        <v>3103.08</v>
      </c>
      <c r="L954" s="379"/>
      <c r="M954" s="379">
        <v>137.1</v>
      </c>
      <c r="N954" s="379"/>
      <c r="O954" s="379">
        <v>34312.85</v>
      </c>
      <c r="P954" s="379">
        <v>1254.3699999999999</v>
      </c>
      <c r="Q954" s="379">
        <v>2307.8000000000002</v>
      </c>
      <c r="R954" s="379"/>
      <c r="S954" s="379"/>
      <c r="T954" s="379">
        <v>3002.62</v>
      </c>
      <c r="U954" s="379"/>
      <c r="V954" s="380">
        <v>53214.95</v>
      </c>
      <c r="W954" s="381">
        <v>5.5</v>
      </c>
      <c r="X954" s="379"/>
      <c r="Y954" s="379"/>
      <c r="Z954" s="379">
        <v>5421002</v>
      </c>
      <c r="AA954" s="379" t="s">
        <v>2879</v>
      </c>
      <c r="AB954" s="380">
        <f t="shared" si="13"/>
        <v>0.45833333333333331</v>
      </c>
    </row>
    <row r="955" spans="1:28" outlineLevel="2" x14ac:dyDescent="0.3">
      <c r="A955" s="379">
        <v>431</v>
      </c>
      <c r="B955" s="379">
        <v>845210</v>
      </c>
      <c r="C955" s="379" t="s">
        <v>1685</v>
      </c>
      <c r="D955" s="379">
        <v>5547590</v>
      </c>
      <c r="E955" s="379" t="s">
        <v>2645</v>
      </c>
      <c r="F955" s="379" t="s">
        <v>2644</v>
      </c>
      <c r="G955" s="383">
        <v>43101</v>
      </c>
      <c r="H955" s="379">
        <v>11808.59</v>
      </c>
      <c r="I955" s="379">
        <v>505.41</v>
      </c>
      <c r="J955" s="379">
        <v>1474.82</v>
      </c>
      <c r="K955" s="379">
        <v>996.25</v>
      </c>
      <c r="L955" s="379"/>
      <c r="M955" s="379"/>
      <c r="N955" s="379"/>
      <c r="O955" s="379">
        <v>8679.9</v>
      </c>
      <c r="P955" s="379">
        <v>2478</v>
      </c>
      <c r="Q955" s="379">
        <v>650.69000000000005</v>
      </c>
      <c r="R955" s="379"/>
      <c r="S955" s="379"/>
      <c r="T955" s="379"/>
      <c r="U955" s="379"/>
      <c r="V955" s="380">
        <v>14785.07</v>
      </c>
      <c r="W955" s="381">
        <v>1</v>
      </c>
      <c r="X955" s="379"/>
      <c r="Y955" s="379"/>
      <c r="Z955" s="379">
        <v>5421002</v>
      </c>
      <c r="AA955" s="379" t="s">
        <v>2879</v>
      </c>
      <c r="AB955" s="380">
        <f t="shared" si="13"/>
        <v>8.3333333333333329E-2</v>
      </c>
    </row>
    <row r="956" spans="1:28" outlineLevel="2" x14ac:dyDescent="0.3">
      <c r="A956" s="379">
        <v>431</v>
      </c>
      <c r="B956" s="379">
        <v>845210</v>
      </c>
      <c r="C956" s="379" t="s">
        <v>1685</v>
      </c>
      <c r="D956" s="379">
        <v>5870939</v>
      </c>
      <c r="E956" s="379" t="s">
        <v>3145</v>
      </c>
      <c r="F956" s="379" t="s">
        <v>2998</v>
      </c>
      <c r="G956" s="383">
        <v>40513</v>
      </c>
      <c r="H956" s="379">
        <v>68055.649999999994</v>
      </c>
      <c r="I956" s="379">
        <v>3096.03</v>
      </c>
      <c r="J956" s="379">
        <v>15926.88</v>
      </c>
      <c r="K956" s="379">
        <v>5103.33</v>
      </c>
      <c r="L956" s="379"/>
      <c r="M956" s="379">
        <v>257.18</v>
      </c>
      <c r="N956" s="379"/>
      <c r="O956" s="379">
        <v>64448.93</v>
      </c>
      <c r="P956" s="379"/>
      <c r="Q956" s="379">
        <v>349.92</v>
      </c>
      <c r="R956" s="379"/>
      <c r="S956" s="379"/>
      <c r="T956" s="379">
        <v>3256.8</v>
      </c>
      <c r="U956" s="379"/>
      <c r="V956" s="380">
        <v>92439.07</v>
      </c>
      <c r="W956" s="381">
        <v>7.2</v>
      </c>
      <c r="X956" s="379"/>
      <c r="Y956" s="379"/>
      <c r="Z956" s="379">
        <v>1401001</v>
      </c>
      <c r="AA956" s="379" t="s">
        <v>3098</v>
      </c>
      <c r="AB956" s="380">
        <f t="shared" si="13"/>
        <v>0.6</v>
      </c>
    </row>
    <row r="957" spans="1:28" outlineLevel="2" x14ac:dyDescent="0.3">
      <c r="A957" s="379">
        <v>431</v>
      </c>
      <c r="B957" s="379">
        <v>845210</v>
      </c>
      <c r="C957" s="379" t="s">
        <v>1685</v>
      </c>
      <c r="D957" s="379">
        <v>5873721</v>
      </c>
      <c r="E957" s="379" t="s">
        <v>2806</v>
      </c>
      <c r="F957" s="379" t="s">
        <v>2644</v>
      </c>
      <c r="G957" s="383">
        <v>40909</v>
      </c>
      <c r="H957" s="379">
        <v>45185.41</v>
      </c>
      <c r="I957" s="379">
        <v>1626.87</v>
      </c>
      <c r="J957" s="379">
        <v>9009.66</v>
      </c>
      <c r="K957" s="379">
        <v>3425.49</v>
      </c>
      <c r="L957" s="379"/>
      <c r="M957" s="379">
        <v>159.46</v>
      </c>
      <c r="N957" s="379"/>
      <c r="O957" s="379">
        <v>39380.660000000003</v>
      </c>
      <c r="P957" s="379">
        <v>573.15</v>
      </c>
      <c r="Q957" s="379">
        <v>2517.6</v>
      </c>
      <c r="R957" s="379"/>
      <c r="S957" s="379"/>
      <c r="T957" s="379">
        <v>2714</v>
      </c>
      <c r="U957" s="379"/>
      <c r="V957" s="380">
        <v>59406.89</v>
      </c>
      <c r="W957" s="381">
        <v>6</v>
      </c>
      <c r="X957" s="379"/>
      <c r="Y957" s="379"/>
      <c r="Z957" s="379">
        <v>5421002</v>
      </c>
      <c r="AA957" s="379" t="s">
        <v>2879</v>
      </c>
      <c r="AB957" s="380">
        <f t="shared" si="13"/>
        <v>0.5</v>
      </c>
    </row>
    <row r="958" spans="1:28" outlineLevel="2" x14ac:dyDescent="0.3">
      <c r="A958" s="379">
        <v>431</v>
      </c>
      <c r="B958" s="379">
        <v>845210</v>
      </c>
      <c r="C958" s="379" t="s">
        <v>1685</v>
      </c>
      <c r="D958" s="379">
        <v>6238633</v>
      </c>
      <c r="E958" s="379" t="s">
        <v>2486</v>
      </c>
      <c r="F958" s="379" t="s">
        <v>2696</v>
      </c>
      <c r="G958" s="383">
        <v>42095</v>
      </c>
      <c r="H958" s="379">
        <v>44160.81</v>
      </c>
      <c r="I958" s="379">
        <v>214.38</v>
      </c>
      <c r="J958" s="379">
        <v>8531.65</v>
      </c>
      <c r="K958" s="379">
        <v>3349.25</v>
      </c>
      <c r="L958" s="379"/>
      <c r="M958" s="379">
        <v>155.1</v>
      </c>
      <c r="N958" s="379"/>
      <c r="O958" s="379">
        <v>37744.230000000003</v>
      </c>
      <c r="P958" s="379">
        <v>1052.98</v>
      </c>
      <c r="Q958" s="379">
        <v>2649.6</v>
      </c>
      <c r="R958" s="379"/>
      <c r="S958" s="379"/>
      <c r="T958" s="379">
        <v>2714</v>
      </c>
      <c r="U958" s="379"/>
      <c r="V958" s="380">
        <v>56411.19</v>
      </c>
      <c r="W958" s="381">
        <v>6</v>
      </c>
      <c r="X958" s="379"/>
      <c r="Y958" s="379"/>
      <c r="Z958" s="379">
        <v>5421002</v>
      </c>
      <c r="AA958" s="379" t="s">
        <v>2879</v>
      </c>
      <c r="AB958" s="380">
        <f t="shared" si="13"/>
        <v>0.5</v>
      </c>
    </row>
    <row r="959" spans="1:28" outlineLevel="2" x14ac:dyDescent="0.3">
      <c r="A959" s="379">
        <v>431</v>
      </c>
      <c r="B959" s="379">
        <v>845210</v>
      </c>
      <c r="C959" s="379" t="s">
        <v>1685</v>
      </c>
      <c r="D959" s="379">
        <v>7927694</v>
      </c>
      <c r="E959" s="379" t="s">
        <v>2442</v>
      </c>
      <c r="F959" s="379" t="s">
        <v>2913</v>
      </c>
      <c r="G959" s="383">
        <v>38018</v>
      </c>
      <c r="H959" s="379">
        <v>32610.33</v>
      </c>
      <c r="I959" s="379">
        <v>158.91999999999999</v>
      </c>
      <c r="J959" s="379">
        <v>5943.22</v>
      </c>
      <c r="K959" s="379">
        <v>2482.96</v>
      </c>
      <c r="L959" s="379"/>
      <c r="M959" s="379">
        <v>114.01</v>
      </c>
      <c r="N959" s="379"/>
      <c r="O959" s="379">
        <v>24205.37</v>
      </c>
      <c r="P959" s="379">
        <v>1296.5999999999999</v>
      </c>
      <c r="Q959" s="379">
        <v>1280</v>
      </c>
      <c r="R959" s="379">
        <v>3114.36</v>
      </c>
      <c r="S959" s="379"/>
      <c r="T959" s="379">
        <v>2714</v>
      </c>
      <c r="U959" s="379"/>
      <c r="V959" s="380">
        <v>41309.440000000002</v>
      </c>
      <c r="W959" s="381">
        <v>4</v>
      </c>
      <c r="X959" s="379"/>
      <c r="Y959" s="379"/>
      <c r="Z959" s="379">
        <v>9992001</v>
      </c>
      <c r="AA959" s="379" t="s">
        <v>2914</v>
      </c>
      <c r="AB959" s="380">
        <f t="shared" si="13"/>
        <v>0.33333333333333331</v>
      </c>
    </row>
    <row r="960" spans="1:28" outlineLevel="2" x14ac:dyDescent="0.3">
      <c r="A960" s="379">
        <v>654</v>
      </c>
      <c r="B960" s="379">
        <v>845210</v>
      </c>
      <c r="C960" s="379" t="s">
        <v>1685</v>
      </c>
      <c r="D960" s="379">
        <v>2226254</v>
      </c>
      <c r="E960" s="379" t="s">
        <v>2540</v>
      </c>
      <c r="F960" s="379" t="s">
        <v>2883</v>
      </c>
      <c r="G960" s="383">
        <v>36404</v>
      </c>
      <c r="H960" s="379">
        <v>6327.75</v>
      </c>
      <c r="I960" s="379">
        <v>304.35000000000002</v>
      </c>
      <c r="J960" s="379">
        <v>854.25</v>
      </c>
      <c r="K960" s="379">
        <v>474.53</v>
      </c>
      <c r="L960" s="379"/>
      <c r="M960" s="379"/>
      <c r="N960" s="379"/>
      <c r="O960" s="379"/>
      <c r="P960" s="379">
        <v>6327.75</v>
      </c>
      <c r="Q960" s="379"/>
      <c r="R960" s="379"/>
      <c r="S960" s="379"/>
      <c r="T960" s="379"/>
      <c r="U960" s="379"/>
      <c r="V960" s="380">
        <v>7960.88</v>
      </c>
      <c r="W960" s="381"/>
      <c r="X960" s="379">
        <v>8</v>
      </c>
      <c r="Y960" s="379" t="s">
        <v>2383</v>
      </c>
      <c r="Z960" s="379">
        <v>1422001</v>
      </c>
      <c r="AA960" s="379" t="s">
        <v>2648</v>
      </c>
      <c r="AB960" s="380">
        <f t="shared" si="13"/>
        <v>0</v>
      </c>
    </row>
    <row r="961" spans="1:31" outlineLevel="2" x14ac:dyDescent="0.3">
      <c r="A961" s="379">
        <v>654</v>
      </c>
      <c r="B961" s="379">
        <v>845210</v>
      </c>
      <c r="C961" s="379" t="s">
        <v>1685</v>
      </c>
      <c r="D961" s="379">
        <v>2244464</v>
      </c>
      <c r="E961" s="379" t="s">
        <v>2916</v>
      </c>
      <c r="F961" s="379" t="s">
        <v>2808</v>
      </c>
      <c r="G961" s="383">
        <v>43009</v>
      </c>
      <c r="H961" s="379">
        <v>3674.8</v>
      </c>
      <c r="I961" s="379">
        <v>130.51</v>
      </c>
      <c r="J961" s="379">
        <v>683.12</v>
      </c>
      <c r="K961" s="379">
        <v>275.66000000000003</v>
      </c>
      <c r="L961" s="379"/>
      <c r="M961" s="379"/>
      <c r="N961" s="379"/>
      <c r="O961" s="379">
        <v>3318.38</v>
      </c>
      <c r="P961" s="379">
        <v>191.75</v>
      </c>
      <c r="Q961" s="379">
        <v>164.67</v>
      </c>
      <c r="R961" s="379"/>
      <c r="S961" s="379"/>
      <c r="T961" s="379"/>
      <c r="U961" s="379"/>
      <c r="V961" s="380">
        <v>4764.09</v>
      </c>
      <c r="W961" s="381">
        <v>0.43</v>
      </c>
      <c r="X961" s="379"/>
      <c r="Y961" s="379"/>
      <c r="Z961" s="379">
        <v>1401202</v>
      </c>
      <c r="AA961" s="379" t="s">
        <v>2380</v>
      </c>
      <c r="AB961" s="380">
        <f t="shared" si="13"/>
        <v>3.5833333333333335E-2</v>
      </c>
    </row>
    <row r="962" spans="1:31" outlineLevel="2" x14ac:dyDescent="0.3">
      <c r="A962" s="379">
        <v>654</v>
      </c>
      <c r="B962" s="379">
        <v>845210</v>
      </c>
      <c r="C962" s="379" t="s">
        <v>1685</v>
      </c>
      <c r="D962" s="379">
        <v>5323168</v>
      </c>
      <c r="E962" s="379" t="s">
        <v>2581</v>
      </c>
      <c r="F962" s="379" t="s">
        <v>2895</v>
      </c>
      <c r="G962" s="383">
        <v>34608</v>
      </c>
      <c r="H962" s="379">
        <v>194.7</v>
      </c>
      <c r="I962" s="379">
        <v>8.1999999999999993</v>
      </c>
      <c r="J962" s="379">
        <v>9.73</v>
      </c>
      <c r="K962" s="379">
        <v>14.6</v>
      </c>
      <c r="L962" s="379"/>
      <c r="M962" s="379"/>
      <c r="N962" s="379"/>
      <c r="O962" s="379"/>
      <c r="P962" s="379">
        <v>194.7</v>
      </c>
      <c r="Q962" s="379"/>
      <c r="R962" s="379"/>
      <c r="S962" s="379"/>
      <c r="T962" s="379"/>
      <c r="U962" s="379"/>
      <c r="V962" s="380">
        <v>227.23</v>
      </c>
      <c r="W962" s="381"/>
      <c r="X962" s="379">
        <v>8</v>
      </c>
      <c r="Y962" s="379" t="s">
        <v>2383</v>
      </c>
      <c r="Z962" s="379">
        <v>1422001</v>
      </c>
      <c r="AA962" s="379" t="s">
        <v>2648</v>
      </c>
      <c r="AB962" s="380">
        <f t="shared" si="13"/>
        <v>0</v>
      </c>
    </row>
    <row r="963" spans="1:31" outlineLevel="2" x14ac:dyDescent="0.3">
      <c r="A963" s="379">
        <v>654</v>
      </c>
      <c r="B963" s="379">
        <v>845210</v>
      </c>
      <c r="C963" s="379" t="s">
        <v>1685</v>
      </c>
      <c r="D963" s="379">
        <v>6751880</v>
      </c>
      <c r="E963" s="379" t="s">
        <v>2901</v>
      </c>
      <c r="F963" s="379" t="s">
        <v>2692</v>
      </c>
      <c r="G963" s="383">
        <v>35370</v>
      </c>
      <c r="H963" s="379">
        <v>177</v>
      </c>
      <c r="I963" s="379">
        <v>7.4</v>
      </c>
      <c r="J963" s="379">
        <v>8.84</v>
      </c>
      <c r="K963" s="379">
        <v>13.27</v>
      </c>
      <c r="L963" s="379"/>
      <c r="M963" s="379"/>
      <c r="N963" s="379"/>
      <c r="O963" s="379"/>
      <c r="P963" s="379">
        <v>177</v>
      </c>
      <c r="Q963" s="379"/>
      <c r="R963" s="379"/>
      <c r="S963" s="379"/>
      <c r="T963" s="379"/>
      <c r="U963" s="379"/>
      <c r="V963" s="380">
        <v>206.51</v>
      </c>
      <c r="W963" s="381"/>
      <c r="X963" s="379">
        <v>8</v>
      </c>
      <c r="Y963" s="379" t="s">
        <v>2383</v>
      </c>
      <c r="Z963" s="379">
        <v>953001</v>
      </c>
      <c r="AA963" s="379" t="s">
        <v>2902</v>
      </c>
      <c r="AB963" s="380">
        <f t="shared" si="13"/>
        <v>0</v>
      </c>
    </row>
    <row r="964" spans="1:31" outlineLevel="2" x14ac:dyDescent="0.3">
      <c r="A964" s="379">
        <v>654</v>
      </c>
      <c r="B964" s="379">
        <v>845210</v>
      </c>
      <c r="C964" s="379" t="s">
        <v>1685</v>
      </c>
      <c r="D964" s="379">
        <v>30715549</v>
      </c>
      <c r="E964" s="379" t="s">
        <v>2908</v>
      </c>
      <c r="F964" s="379" t="s">
        <v>2909</v>
      </c>
      <c r="G964" s="383">
        <v>33970</v>
      </c>
      <c r="H964" s="379">
        <v>23706.3</v>
      </c>
      <c r="I964" s="379">
        <v>1346.92</v>
      </c>
      <c r="J964" s="379">
        <v>2260.56</v>
      </c>
      <c r="K964" s="379">
        <v>1778.76</v>
      </c>
      <c r="L964" s="379"/>
      <c r="M964" s="379">
        <v>87.24</v>
      </c>
      <c r="N964" s="379"/>
      <c r="O964" s="379"/>
      <c r="P964" s="379">
        <v>23706.3</v>
      </c>
      <c r="Q964" s="379"/>
      <c r="R964" s="379"/>
      <c r="S964" s="379"/>
      <c r="T964" s="379"/>
      <c r="U964" s="379"/>
      <c r="V964" s="380">
        <v>29179.78</v>
      </c>
      <c r="W964" s="381"/>
      <c r="X964" s="379"/>
      <c r="Y964" s="379"/>
      <c r="Z964" s="379">
        <v>1422001</v>
      </c>
      <c r="AA964" s="379" t="s">
        <v>2648</v>
      </c>
      <c r="AB964" s="380">
        <f t="shared" si="13"/>
        <v>0</v>
      </c>
    </row>
    <row r="965" spans="1:31" outlineLevel="1" x14ac:dyDescent="0.3">
      <c r="A965" s="379"/>
      <c r="B965" s="384" t="s">
        <v>3182</v>
      </c>
      <c r="C965" s="379"/>
      <c r="D965" s="379"/>
      <c r="E965" s="379"/>
      <c r="F965" s="379"/>
      <c r="G965" s="383"/>
      <c r="H965" s="379"/>
      <c r="I965" s="379"/>
      <c r="J965" s="379"/>
      <c r="K965" s="379"/>
      <c r="L965" s="379"/>
      <c r="M965" s="379"/>
      <c r="N965" s="379"/>
      <c r="O965" s="379"/>
      <c r="P965" s="379"/>
      <c r="Q965" s="379"/>
      <c r="R965" s="379"/>
      <c r="S965" s="379"/>
      <c r="T965" s="379"/>
      <c r="U965" s="379"/>
      <c r="V965" s="380">
        <f>SUBTOTAL(9,V948:V964)</f>
        <v>582544.86</v>
      </c>
      <c r="W965" s="381">
        <f>SUBTOTAL(9,W948:W964)</f>
        <v>52.63</v>
      </c>
      <c r="X965" s="379"/>
      <c r="Y965" s="379"/>
      <c r="Z965" s="379"/>
      <c r="AA965" s="379"/>
      <c r="AB965" s="380">
        <f>SUBTOTAL(9,AB948:AB964)</f>
        <v>4.3858333333333341</v>
      </c>
    </row>
    <row r="966" spans="1:31" outlineLevel="2" x14ac:dyDescent="0.3">
      <c r="A966" s="379">
        <v>431</v>
      </c>
      <c r="B966" s="379">
        <v>846300</v>
      </c>
      <c r="C966" s="379" t="s">
        <v>1691</v>
      </c>
      <c r="D966" s="379">
        <v>5429321</v>
      </c>
      <c r="E966" s="379" t="s">
        <v>2431</v>
      </c>
      <c r="F966" s="379" t="s">
        <v>2413</v>
      </c>
      <c r="G966" s="383">
        <v>40087</v>
      </c>
      <c r="H966" s="379">
        <v>98116.38</v>
      </c>
      <c r="I966" s="379">
        <v>4495.91</v>
      </c>
      <c r="J966" s="379">
        <v>18568.34</v>
      </c>
      <c r="K966" s="379">
        <v>7395.9</v>
      </c>
      <c r="L966" s="379"/>
      <c r="M966" s="379">
        <v>302.89999999999998</v>
      </c>
      <c r="N966" s="379"/>
      <c r="O966" s="379">
        <v>73779.070000000007</v>
      </c>
      <c r="P966" s="379">
        <v>1750.9</v>
      </c>
      <c r="Q966" s="379">
        <v>2809.2</v>
      </c>
      <c r="R966" s="379">
        <v>12875.21</v>
      </c>
      <c r="S966" s="379"/>
      <c r="T966" s="379">
        <v>6902</v>
      </c>
      <c r="U966" s="379"/>
      <c r="V966" s="380">
        <v>128879.43</v>
      </c>
      <c r="W966" s="381">
        <v>12</v>
      </c>
      <c r="X966" s="379">
        <v>28</v>
      </c>
      <c r="Y966" s="379" t="s">
        <v>2350</v>
      </c>
      <c r="Z966" s="379">
        <v>1410002</v>
      </c>
      <c r="AA966" s="379" t="s">
        <v>3183</v>
      </c>
      <c r="AB966" s="380">
        <f t="shared" si="13"/>
        <v>1</v>
      </c>
    </row>
    <row r="967" spans="1:31" outlineLevel="2" x14ac:dyDescent="0.3">
      <c r="A967" s="379">
        <v>654</v>
      </c>
      <c r="B967" s="379">
        <v>846300</v>
      </c>
      <c r="C967" s="379" t="s">
        <v>1691</v>
      </c>
      <c r="D967" s="379">
        <v>5618651</v>
      </c>
      <c r="E967" s="379" t="s">
        <v>2436</v>
      </c>
      <c r="F967" s="379" t="s">
        <v>2843</v>
      </c>
      <c r="G967" s="383">
        <v>34639</v>
      </c>
      <c r="H967" s="379">
        <v>19737.3</v>
      </c>
      <c r="I967" s="379">
        <v>708.96</v>
      </c>
      <c r="J967" s="379">
        <v>1807.14</v>
      </c>
      <c r="K967" s="379">
        <v>1481.05</v>
      </c>
      <c r="L967" s="379"/>
      <c r="M967" s="379">
        <v>72.95</v>
      </c>
      <c r="N967" s="379"/>
      <c r="O967" s="379">
        <v>18056.3</v>
      </c>
      <c r="P967" s="379"/>
      <c r="Q967" s="379"/>
      <c r="R967" s="379"/>
      <c r="S967" s="379"/>
      <c r="T967" s="379">
        <v>1681</v>
      </c>
      <c r="U967" s="379"/>
      <c r="V967" s="380">
        <v>23807.4</v>
      </c>
      <c r="W967" s="381">
        <v>3</v>
      </c>
      <c r="X967" s="379"/>
      <c r="Y967" s="379"/>
      <c r="Z967" s="379">
        <v>5923001</v>
      </c>
      <c r="AA967" s="379" t="s">
        <v>2354</v>
      </c>
      <c r="AB967" s="380">
        <f t="shared" si="13"/>
        <v>0.25</v>
      </c>
    </row>
    <row r="968" spans="1:31" outlineLevel="1" x14ac:dyDescent="0.3">
      <c r="A968" s="379"/>
      <c r="B968" s="384" t="s">
        <v>3184</v>
      </c>
      <c r="C968" s="379"/>
      <c r="D968" s="379"/>
      <c r="E968" s="379"/>
      <c r="F968" s="379"/>
      <c r="G968" s="383"/>
      <c r="H968" s="379"/>
      <c r="I968" s="379"/>
      <c r="J968" s="379"/>
      <c r="K968" s="379"/>
      <c r="L968" s="379"/>
      <c r="M968" s="379"/>
      <c r="N968" s="379"/>
      <c r="O968" s="379"/>
      <c r="P968" s="379"/>
      <c r="Q968" s="379"/>
      <c r="R968" s="379"/>
      <c r="S968" s="379"/>
      <c r="T968" s="379"/>
      <c r="U968" s="379"/>
      <c r="V968" s="380">
        <f>SUBTOTAL(9,V966:V967)</f>
        <v>152686.82999999999</v>
      </c>
      <c r="W968" s="381">
        <f>SUBTOTAL(9,W966:W967)</f>
        <v>15</v>
      </c>
      <c r="X968" s="379"/>
      <c r="Y968" s="379"/>
      <c r="Z968" s="379"/>
      <c r="AA968" s="379"/>
      <c r="AB968" s="380">
        <f>SUBTOTAL(9,AB966:AB967)</f>
        <v>1.25</v>
      </c>
    </row>
    <row r="969" spans="1:31" outlineLevel="2" x14ac:dyDescent="0.3">
      <c r="A969" s="379">
        <v>431</v>
      </c>
      <c r="B969" s="379">
        <v>847100</v>
      </c>
      <c r="C969" s="379" t="s">
        <v>209</v>
      </c>
      <c r="D969" s="379">
        <v>30285315</v>
      </c>
      <c r="E969" s="379" t="s">
        <v>3185</v>
      </c>
      <c r="F969" s="379" t="s">
        <v>2552</v>
      </c>
      <c r="G969" s="383">
        <v>43101</v>
      </c>
      <c r="H969" s="379">
        <v>4904</v>
      </c>
      <c r="I969" s="379">
        <v>174.09</v>
      </c>
      <c r="J969" s="379">
        <v>607.5</v>
      </c>
      <c r="K969" s="379">
        <v>367.85</v>
      </c>
      <c r="L969" s="379"/>
      <c r="M969" s="379"/>
      <c r="N969" s="379"/>
      <c r="O969" s="379">
        <v>4500</v>
      </c>
      <c r="P969" s="379"/>
      <c r="Q969" s="379">
        <v>404</v>
      </c>
      <c r="R969" s="379"/>
      <c r="S969" s="379"/>
      <c r="T969" s="379"/>
      <c r="U969" s="379"/>
      <c r="V969" s="380">
        <v>6053.44</v>
      </c>
      <c r="W969" s="381"/>
      <c r="X969" s="379"/>
      <c r="Y969" s="379"/>
      <c r="Z969" s="379">
        <v>1411001</v>
      </c>
      <c r="AA969" s="379" t="s">
        <v>3101</v>
      </c>
      <c r="AB969" s="380">
        <f t="shared" ref="AB969:AB1048" si="14">W969/12</f>
        <v>0</v>
      </c>
    </row>
    <row r="970" spans="1:31" outlineLevel="1" x14ac:dyDescent="0.3">
      <c r="A970" s="379"/>
      <c r="B970" s="384" t="s">
        <v>3186</v>
      </c>
      <c r="C970" s="379"/>
      <c r="D970" s="379"/>
      <c r="E970" s="379"/>
      <c r="F970" s="379"/>
      <c r="G970" s="383"/>
      <c r="H970" s="379"/>
      <c r="I970" s="379"/>
      <c r="J970" s="379"/>
      <c r="K970" s="379"/>
      <c r="L970" s="379"/>
      <c r="M970" s="379"/>
      <c r="N970" s="379"/>
      <c r="O970" s="379"/>
      <c r="P970" s="379"/>
      <c r="Q970" s="379"/>
      <c r="R970" s="379"/>
      <c r="S970" s="379"/>
      <c r="T970" s="379"/>
      <c r="U970" s="379"/>
      <c r="V970" s="380">
        <f>SUBTOTAL(9,V969:V969)</f>
        <v>6053.44</v>
      </c>
      <c r="W970" s="381">
        <f>SUBTOTAL(9,W969:W969)</f>
        <v>0</v>
      </c>
      <c r="X970" s="379"/>
      <c r="Y970" s="379"/>
      <c r="Z970" s="379"/>
      <c r="AA970" s="379"/>
      <c r="AB970" s="380">
        <f>SUBTOTAL(9,AB969:AB969)</f>
        <v>0</v>
      </c>
      <c r="AC970" s="385">
        <f>V970+V968+V965+V947+V939+V934+V928</f>
        <v>8307846.3700000029</v>
      </c>
      <c r="AD970" s="385">
        <f>W970+W968+W965+W947+W939+W934+W928</f>
        <v>570.84000000000015</v>
      </c>
      <c r="AE970" s="385">
        <f>AB970+AB968+AB965+AB947+AB939+AB934+AB928</f>
        <v>47.57</v>
      </c>
    </row>
    <row r="971" spans="1:31" outlineLevel="2" x14ac:dyDescent="0.3">
      <c r="A971" s="379">
        <v>431</v>
      </c>
      <c r="B971" s="379">
        <v>861000</v>
      </c>
      <c r="C971" s="379" t="s">
        <v>1693</v>
      </c>
      <c r="D971" s="379">
        <v>3270791</v>
      </c>
      <c r="E971" s="379" t="s">
        <v>3187</v>
      </c>
      <c r="F971" s="379" t="s">
        <v>2729</v>
      </c>
      <c r="G971" s="383">
        <v>43009</v>
      </c>
      <c r="H971" s="379">
        <v>47382.54</v>
      </c>
      <c r="I971" s="379">
        <v>1699.7</v>
      </c>
      <c r="J971" s="379">
        <v>8883.9699999999993</v>
      </c>
      <c r="K971" s="379">
        <v>3590.8</v>
      </c>
      <c r="L971" s="379"/>
      <c r="M971" s="379"/>
      <c r="N971" s="379"/>
      <c r="O971" s="379">
        <v>41183.82</v>
      </c>
      <c r="P971" s="379"/>
      <c r="Q971" s="379">
        <v>2575.92</v>
      </c>
      <c r="R971" s="379"/>
      <c r="S971" s="379"/>
      <c r="T971" s="379">
        <v>3622.8</v>
      </c>
      <c r="U971" s="379"/>
      <c r="V971" s="380">
        <v>61557.01</v>
      </c>
      <c r="W971" s="381">
        <v>7.2</v>
      </c>
      <c r="X971" s="379"/>
      <c r="Y971" s="379"/>
      <c r="Z971" s="379">
        <v>953001</v>
      </c>
      <c r="AA971" s="379" t="s">
        <v>2902</v>
      </c>
      <c r="AB971" s="380">
        <f t="shared" si="14"/>
        <v>0.6</v>
      </c>
    </row>
    <row r="972" spans="1:31" outlineLevel="2" x14ac:dyDescent="0.3">
      <c r="A972" s="379">
        <v>431</v>
      </c>
      <c r="B972" s="379">
        <v>861000</v>
      </c>
      <c r="C972" s="379" t="s">
        <v>1693</v>
      </c>
      <c r="D972" s="379">
        <v>33255135</v>
      </c>
      <c r="E972" s="379" t="s">
        <v>2571</v>
      </c>
      <c r="F972" s="379" t="s">
        <v>3167</v>
      </c>
      <c r="G972" s="383">
        <v>41334</v>
      </c>
      <c r="H972" s="379">
        <v>11559.14</v>
      </c>
      <c r="I972" s="379">
        <v>410.12</v>
      </c>
      <c r="J972" s="379">
        <v>1560.19</v>
      </c>
      <c r="K972" s="379">
        <v>866.76</v>
      </c>
      <c r="L972" s="379"/>
      <c r="M972" s="379"/>
      <c r="N972" s="379"/>
      <c r="O972" s="379">
        <v>10653.44</v>
      </c>
      <c r="P972" s="379"/>
      <c r="Q972" s="379"/>
      <c r="R972" s="379"/>
      <c r="S972" s="379"/>
      <c r="T972" s="379">
        <v>905.7</v>
      </c>
      <c r="U972" s="379"/>
      <c r="V972" s="380">
        <v>14396.21</v>
      </c>
      <c r="W972" s="381">
        <v>1.8</v>
      </c>
      <c r="X972" s="379"/>
      <c r="Y972" s="379"/>
      <c r="Z972" s="379">
        <v>5302001</v>
      </c>
      <c r="AA972" s="379" t="s">
        <v>2367</v>
      </c>
      <c r="AB972" s="380">
        <f t="shared" si="14"/>
        <v>0.15</v>
      </c>
    </row>
    <row r="973" spans="1:31" outlineLevel="1" x14ac:dyDescent="0.3">
      <c r="A973" s="379"/>
      <c r="B973" s="384" t="s">
        <v>3188</v>
      </c>
      <c r="C973" s="379"/>
      <c r="D973" s="379"/>
      <c r="E973" s="379"/>
      <c r="F973" s="379"/>
      <c r="G973" s="383"/>
      <c r="H973" s="379"/>
      <c r="I973" s="379"/>
      <c r="J973" s="379"/>
      <c r="K973" s="379"/>
      <c r="L973" s="379"/>
      <c r="M973" s="379"/>
      <c r="N973" s="379"/>
      <c r="O973" s="379"/>
      <c r="P973" s="379"/>
      <c r="Q973" s="379"/>
      <c r="R973" s="379"/>
      <c r="S973" s="379"/>
      <c r="T973" s="379"/>
      <c r="U973" s="379"/>
      <c r="V973" s="380">
        <f>SUBTOTAL(9,V971:V972)</f>
        <v>75953.22</v>
      </c>
      <c r="W973" s="381">
        <f>SUBTOTAL(9,W971:W972)</f>
        <v>9</v>
      </c>
      <c r="X973" s="379"/>
      <c r="Y973" s="379"/>
      <c r="Z973" s="379"/>
      <c r="AA973" s="379"/>
      <c r="AB973" s="380">
        <f>SUBTOTAL(9,AB971:AB972)</f>
        <v>0.75</v>
      </c>
      <c r="AC973" s="385">
        <f>V973</f>
        <v>75953.22</v>
      </c>
      <c r="AD973" s="385">
        <f>W973</f>
        <v>9</v>
      </c>
      <c r="AE973" s="385">
        <f>AB973</f>
        <v>0.75</v>
      </c>
    </row>
    <row r="974" spans="1:31" outlineLevel="2" x14ac:dyDescent="0.3">
      <c r="A974" s="379">
        <v>431</v>
      </c>
      <c r="B974" s="379">
        <v>871000</v>
      </c>
      <c r="C974" s="379" t="s">
        <v>571</v>
      </c>
      <c r="D974" s="379">
        <v>2273244</v>
      </c>
      <c r="E974" s="379" t="s">
        <v>2645</v>
      </c>
      <c r="F974" s="379" t="s">
        <v>2643</v>
      </c>
      <c r="G974" s="383">
        <v>35400</v>
      </c>
      <c r="H974" s="379">
        <v>216963.01</v>
      </c>
      <c r="I974" s="379">
        <v>13497.28</v>
      </c>
      <c r="J974" s="379">
        <v>19680.04</v>
      </c>
      <c r="K974" s="379">
        <v>16285</v>
      </c>
      <c r="L974" s="379"/>
      <c r="M974" s="379">
        <v>683.45</v>
      </c>
      <c r="N974" s="379"/>
      <c r="O974" s="379">
        <v>133933.98000000001</v>
      </c>
      <c r="P974" s="379">
        <v>29620.52</v>
      </c>
      <c r="Q974" s="379">
        <v>2517.6</v>
      </c>
      <c r="R974" s="379">
        <v>24782.11</v>
      </c>
      <c r="S974" s="379">
        <v>10509.2</v>
      </c>
      <c r="T974" s="379">
        <v>15055.1</v>
      </c>
      <c r="U974" s="379">
        <v>544.5</v>
      </c>
      <c r="V974" s="380">
        <v>267108.78000000003</v>
      </c>
      <c r="W974" s="381">
        <v>12</v>
      </c>
      <c r="X974" s="379"/>
      <c r="Y974" s="379"/>
      <c r="Z974" s="379">
        <v>1414001</v>
      </c>
      <c r="AA974" s="379" t="s">
        <v>3032</v>
      </c>
      <c r="AB974" s="380">
        <f t="shared" si="14"/>
        <v>1</v>
      </c>
    </row>
    <row r="975" spans="1:31" outlineLevel="2" x14ac:dyDescent="0.3">
      <c r="A975" s="379">
        <v>431</v>
      </c>
      <c r="B975" s="379">
        <v>871000</v>
      </c>
      <c r="C975" s="379" t="s">
        <v>571</v>
      </c>
      <c r="D975" s="379">
        <v>3368659</v>
      </c>
      <c r="E975" s="379" t="s">
        <v>2546</v>
      </c>
      <c r="F975" s="379" t="s">
        <v>3189</v>
      </c>
      <c r="G975" s="383">
        <v>37073</v>
      </c>
      <c r="H975" s="379">
        <v>132620.85999999999</v>
      </c>
      <c r="I975" s="379">
        <v>9323.65</v>
      </c>
      <c r="J975" s="379">
        <v>24986.87</v>
      </c>
      <c r="K975" s="379">
        <v>12161.8</v>
      </c>
      <c r="L975" s="379"/>
      <c r="M975" s="379">
        <v>490.65</v>
      </c>
      <c r="N975" s="379"/>
      <c r="O975" s="379">
        <v>85717.86</v>
      </c>
      <c r="P975" s="379">
        <v>24906.91</v>
      </c>
      <c r="Q975" s="379">
        <v>1319.2</v>
      </c>
      <c r="R975" s="379">
        <v>12025.29</v>
      </c>
      <c r="S975" s="379"/>
      <c r="T975" s="379">
        <v>7334</v>
      </c>
      <c r="U975" s="379">
        <v>1317.6</v>
      </c>
      <c r="V975" s="380">
        <v>179583.83</v>
      </c>
      <c r="W975" s="381">
        <v>12</v>
      </c>
      <c r="X975" s="379"/>
      <c r="Y975" s="379"/>
      <c r="Z975" s="379">
        <v>3011001</v>
      </c>
      <c r="AA975" s="379" t="s">
        <v>2461</v>
      </c>
      <c r="AB975" s="380">
        <f t="shared" si="14"/>
        <v>1</v>
      </c>
    </row>
    <row r="976" spans="1:31" outlineLevel="2" x14ac:dyDescent="0.3">
      <c r="A976" s="379">
        <v>431</v>
      </c>
      <c r="B976" s="379">
        <v>871000</v>
      </c>
      <c r="C976" s="379" t="s">
        <v>571</v>
      </c>
      <c r="D976" s="379">
        <v>5268120</v>
      </c>
      <c r="E976" s="379" t="s">
        <v>2623</v>
      </c>
      <c r="F976" s="379" t="s">
        <v>2624</v>
      </c>
      <c r="G976" s="383">
        <v>42248</v>
      </c>
      <c r="H976" s="379">
        <v>371.5</v>
      </c>
      <c r="I976" s="379">
        <v>13.38</v>
      </c>
      <c r="J976" s="379">
        <v>18.55</v>
      </c>
      <c r="K976" s="379">
        <v>27.84</v>
      </c>
      <c r="L976" s="379"/>
      <c r="M976" s="379"/>
      <c r="N976" s="379"/>
      <c r="O976" s="379"/>
      <c r="P976" s="379"/>
      <c r="Q976" s="379">
        <v>185.5</v>
      </c>
      <c r="R976" s="379"/>
      <c r="S976" s="379"/>
      <c r="T976" s="379"/>
      <c r="U976" s="379">
        <v>186</v>
      </c>
      <c r="V976" s="380">
        <v>431.27</v>
      </c>
      <c r="W976" s="381"/>
      <c r="X976" s="379"/>
      <c r="Y976" s="379"/>
      <c r="Z976" s="379">
        <v>1123014</v>
      </c>
      <c r="AA976" s="379" t="s">
        <v>2625</v>
      </c>
      <c r="AB976" s="380">
        <f t="shared" si="14"/>
        <v>0</v>
      </c>
    </row>
    <row r="977" spans="1:31" outlineLevel="2" x14ac:dyDescent="0.3">
      <c r="A977" s="379">
        <v>431</v>
      </c>
      <c r="B977" s="379">
        <v>871000</v>
      </c>
      <c r="C977" s="379" t="s">
        <v>571</v>
      </c>
      <c r="D977" s="379">
        <v>30185276</v>
      </c>
      <c r="E977" s="379" t="s">
        <v>3190</v>
      </c>
      <c r="F977" s="379" t="s">
        <v>3191</v>
      </c>
      <c r="G977" s="383">
        <v>42614</v>
      </c>
      <c r="H977" s="379">
        <v>109700.17</v>
      </c>
      <c r="I977" s="379">
        <v>5354.06</v>
      </c>
      <c r="J977" s="379">
        <v>21350.71</v>
      </c>
      <c r="K977" s="379">
        <v>8242.85</v>
      </c>
      <c r="L977" s="379"/>
      <c r="M977" s="379">
        <v>277.55</v>
      </c>
      <c r="N977" s="379"/>
      <c r="O977" s="379">
        <v>69049.240000000005</v>
      </c>
      <c r="P977" s="379"/>
      <c r="Q977" s="379">
        <v>2079.6</v>
      </c>
      <c r="R977" s="379">
        <v>17151.810000000001</v>
      </c>
      <c r="S977" s="379">
        <v>19145.400000000001</v>
      </c>
      <c r="T977" s="379">
        <v>1807.52</v>
      </c>
      <c r="U977" s="379">
        <v>466.6</v>
      </c>
      <c r="V977" s="380">
        <v>144925.34</v>
      </c>
      <c r="W977" s="381">
        <v>12</v>
      </c>
      <c r="X977" s="379"/>
      <c r="Y977" s="379"/>
      <c r="Z977" s="379">
        <v>953001</v>
      </c>
      <c r="AA977" s="379" t="s">
        <v>2902</v>
      </c>
      <c r="AB977" s="380">
        <f t="shared" si="14"/>
        <v>1</v>
      </c>
    </row>
    <row r="978" spans="1:31" outlineLevel="2" x14ac:dyDescent="0.3">
      <c r="A978" s="379">
        <v>431</v>
      </c>
      <c r="B978" s="379">
        <v>871000</v>
      </c>
      <c r="C978" s="379" t="s">
        <v>571</v>
      </c>
      <c r="D978" s="379">
        <v>30262977</v>
      </c>
      <c r="E978" s="379" t="s">
        <v>2415</v>
      </c>
      <c r="F978" s="379" t="s">
        <v>3192</v>
      </c>
      <c r="G978" s="383">
        <v>43497</v>
      </c>
      <c r="H978" s="379">
        <v>69174.929999999993</v>
      </c>
      <c r="I978" s="379">
        <v>2747.93</v>
      </c>
      <c r="J978" s="379">
        <v>12136.16</v>
      </c>
      <c r="K978" s="379">
        <v>5225.3</v>
      </c>
      <c r="L978" s="379"/>
      <c r="M978" s="379">
        <v>220.5</v>
      </c>
      <c r="N978" s="379"/>
      <c r="O978" s="379">
        <v>55025.29</v>
      </c>
      <c r="P978" s="379"/>
      <c r="Q978" s="379">
        <v>2011.28</v>
      </c>
      <c r="R978" s="379">
        <v>11231.63</v>
      </c>
      <c r="S978" s="379"/>
      <c r="T978" s="379">
        <v>74.709999999999994</v>
      </c>
      <c r="U978" s="379">
        <v>832.02</v>
      </c>
      <c r="V978" s="380">
        <v>89504.82</v>
      </c>
      <c r="W978" s="381">
        <v>9.9420000000000002</v>
      </c>
      <c r="X978" s="379"/>
      <c r="Y978" s="379"/>
      <c r="Z978" s="379">
        <v>971001</v>
      </c>
      <c r="AA978" s="379" t="s">
        <v>2371</v>
      </c>
      <c r="AB978" s="380">
        <f t="shared" si="14"/>
        <v>0.82850000000000001</v>
      </c>
    </row>
    <row r="979" spans="1:31" outlineLevel="1" x14ac:dyDescent="0.3">
      <c r="A979" s="379"/>
      <c r="B979" s="384" t="s">
        <v>3193</v>
      </c>
      <c r="C979" s="379"/>
      <c r="D979" s="379"/>
      <c r="E979" s="379"/>
      <c r="F979" s="379"/>
      <c r="G979" s="383"/>
      <c r="H979" s="379"/>
      <c r="I979" s="379"/>
      <c r="J979" s="379"/>
      <c r="K979" s="379"/>
      <c r="L979" s="379"/>
      <c r="M979" s="379"/>
      <c r="N979" s="379"/>
      <c r="O979" s="379"/>
      <c r="P979" s="379"/>
      <c r="Q979" s="379"/>
      <c r="R979" s="379"/>
      <c r="S979" s="379"/>
      <c r="T979" s="379"/>
      <c r="U979" s="379"/>
      <c r="V979" s="380">
        <f>SUBTOTAL(9,V974:V978)</f>
        <v>681554.04</v>
      </c>
      <c r="W979" s="381">
        <f>SUBTOTAL(9,W974:W978)</f>
        <v>45.942</v>
      </c>
      <c r="X979" s="379"/>
      <c r="Y979" s="379"/>
      <c r="Z979" s="379"/>
      <c r="AA979" s="379"/>
      <c r="AB979" s="380">
        <f>SUBTOTAL(9,AB974:AB978)</f>
        <v>3.8285</v>
      </c>
      <c r="AC979" s="385">
        <f>V979</f>
        <v>681554.04</v>
      </c>
      <c r="AD979" s="385">
        <f>W979</f>
        <v>45.942</v>
      </c>
      <c r="AE979" s="385">
        <f>AB979</f>
        <v>3.8285</v>
      </c>
    </row>
    <row r="980" spans="1:31" outlineLevel="2" x14ac:dyDescent="0.3">
      <c r="A980" s="379">
        <v>431</v>
      </c>
      <c r="B980" s="379">
        <v>978100</v>
      </c>
      <c r="C980" s="379" t="s">
        <v>1238</v>
      </c>
      <c r="D980" s="379">
        <v>6739119</v>
      </c>
      <c r="E980" s="379" t="s">
        <v>2720</v>
      </c>
      <c r="F980" s="379" t="s">
        <v>2696</v>
      </c>
      <c r="G980" s="383">
        <v>43101</v>
      </c>
      <c r="H980" s="379">
        <v>2422</v>
      </c>
      <c r="I980" s="379">
        <v>78.73</v>
      </c>
      <c r="J980" s="379">
        <v>286.74</v>
      </c>
      <c r="K980" s="379">
        <v>181.65</v>
      </c>
      <c r="L980" s="379"/>
      <c r="M980" s="379"/>
      <c r="N980" s="379"/>
      <c r="O980" s="379"/>
      <c r="P980" s="379">
        <v>2124</v>
      </c>
      <c r="Q980" s="379">
        <v>298</v>
      </c>
      <c r="R980" s="379"/>
      <c r="S980" s="379"/>
      <c r="T980" s="379"/>
      <c r="U980" s="379"/>
      <c r="V980" s="380">
        <v>2969.12</v>
      </c>
      <c r="W980" s="381"/>
      <c r="X980" s="379"/>
      <c r="Y980" s="379"/>
      <c r="Z980" s="379">
        <v>5923001</v>
      </c>
      <c r="AA980" s="379" t="s">
        <v>2354</v>
      </c>
      <c r="AB980" s="380">
        <f t="shared" si="14"/>
        <v>0</v>
      </c>
    </row>
    <row r="981" spans="1:31" outlineLevel="1" x14ac:dyDescent="0.3">
      <c r="A981" s="379"/>
      <c r="B981" s="384" t="s">
        <v>3194</v>
      </c>
      <c r="C981" s="379"/>
      <c r="D981" s="379"/>
      <c r="E981" s="379"/>
      <c r="F981" s="379"/>
      <c r="G981" s="383"/>
      <c r="H981" s="379"/>
      <c r="I981" s="379"/>
      <c r="J981" s="379"/>
      <c r="K981" s="379"/>
      <c r="L981" s="379"/>
      <c r="M981" s="379"/>
      <c r="N981" s="379"/>
      <c r="O981" s="379"/>
      <c r="P981" s="379"/>
      <c r="Q981" s="379"/>
      <c r="R981" s="379"/>
      <c r="S981" s="379"/>
      <c r="T981" s="379"/>
      <c r="U981" s="379"/>
      <c r="V981" s="380">
        <f>SUBTOTAL(9,V980:V980)</f>
        <v>2969.12</v>
      </c>
      <c r="W981" s="381">
        <f>SUBTOTAL(9,W980:W980)</f>
        <v>0</v>
      </c>
      <c r="X981" s="379"/>
      <c r="Y981" s="379"/>
      <c r="Z981" s="379"/>
      <c r="AA981" s="379"/>
      <c r="AB981" s="380">
        <f>SUBTOTAL(9,AB980:AB980)</f>
        <v>0</v>
      </c>
    </row>
    <row r="982" spans="1:31" outlineLevel="2" x14ac:dyDescent="0.3">
      <c r="A982" s="379">
        <v>654</v>
      </c>
      <c r="B982" s="379">
        <v>981100</v>
      </c>
      <c r="C982" s="379" t="s">
        <v>3195</v>
      </c>
      <c r="D982" s="379">
        <v>2459743</v>
      </c>
      <c r="E982" s="379" t="s">
        <v>2770</v>
      </c>
      <c r="F982" s="379" t="s">
        <v>2346</v>
      </c>
      <c r="G982" s="383">
        <v>41395</v>
      </c>
      <c r="H982" s="379">
        <v>708</v>
      </c>
      <c r="I982" s="379">
        <v>25.13</v>
      </c>
      <c r="J982" s="379">
        <v>95.58</v>
      </c>
      <c r="K982" s="379">
        <v>53.1</v>
      </c>
      <c r="L982" s="379"/>
      <c r="M982" s="379"/>
      <c r="N982" s="379"/>
      <c r="O982" s="379"/>
      <c r="P982" s="379">
        <v>708</v>
      </c>
      <c r="Q982" s="379"/>
      <c r="R982" s="379"/>
      <c r="S982" s="379"/>
      <c r="T982" s="379"/>
      <c r="U982" s="379"/>
      <c r="V982" s="380">
        <v>881.81</v>
      </c>
      <c r="W982" s="381"/>
      <c r="X982" s="379"/>
      <c r="Y982" s="379"/>
      <c r="Z982" s="379">
        <v>5923001</v>
      </c>
      <c r="AA982" s="379" t="s">
        <v>2354</v>
      </c>
      <c r="AB982" s="380">
        <f t="shared" si="14"/>
        <v>0</v>
      </c>
    </row>
    <row r="983" spans="1:31" outlineLevel="1" x14ac:dyDescent="0.3">
      <c r="A983" s="379"/>
      <c r="B983" s="384" t="s">
        <v>3196</v>
      </c>
      <c r="C983" s="379"/>
      <c r="D983" s="379"/>
      <c r="E983" s="379"/>
      <c r="F983" s="379"/>
      <c r="G983" s="383"/>
      <c r="H983" s="379"/>
      <c r="I983" s="379"/>
      <c r="J983" s="379"/>
      <c r="K983" s="379"/>
      <c r="L983" s="379"/>
      <c r="M983" s="379"/>
      <c r="N983" s="379"/>
      <c r="O983" s="379"/>
      <c r="P983" s="379"/>
      <c r="Q983" s="379"/>
      <c r="R983" s="379"/>
      <c r="S983" s="379"/>
      <c r="T983" s="379"/>
      <c r="U983" s="379"/>
      <c r="V983" s="380">
        <f>SUBTOTAL(9,V982:V982)</f>
        <v>881.81</v>
      </c>
      <c r="W983" s="381">
        <f>SUBTOTAL(9,W982:W982)</f>
        <v>0</v>
      </c>
      <c r="X983" s="379"/>
      <c r="Y983" s="379"/>
      <c r="Z983" s="379"/>
      <c r="AA983" s="379"/>
      <c r="AB983" s="380">
        <f>SUBTOTAL(9,AB982:AB982)</f>
        <v>0</v>
      </c>
    </row>
    <row r="984" spans="1:31" outlineLevel="2" x14ac:dyDescent="0.3">
      <c r="A984" s="379">
        <v>654</v>
      </c>
      <c r="B984" s="379">
        <v>981220</v>
      </c>
      <c r="C984" s="379" t="s">
        <v>963</v>
      </c>
      <c r="D984" s="379">
        <v>2458074</v>
      </c>
      <c r="E984" s="379" t="s">
        <v>2675</v>
      </c>
      <c r="F984" s="379" t="s">
        <v>2673</v>
      </c>
      <c r="G984" s="383">
        <v>42401</v>
      </c>
      <c r="H984" s="379">
        <v>642</v>
      </c>
      <c r="I984" s="379">
        <v>22.8</v>
      </c>
      <c r="J984" s="379">
        <v>63.72</v>
      </c>
      <c r="K984" s="379">
        <v>48.19</v>
      </c>
      <c r="L984" s="379"/>
      <c r="M984" s="379"/>
      <c r="N984" s="379"/>
      <c r="O984" s="379"/>
      <c r="P984" s="379">
        <v>472</v>
      </c>
      <c r="Q984" s="379">
        <v>170</v>
      </c>
      <c r="R984" s="379"/>
      <c r="S984" s="379"/>
      <c r="T984" s="379"/>
      <c r="U984" s="379"/>
      <c r="V984" s="380">
        <v>776.71</v>
      </c>
      <c r="W984" s="381"/>
      <c r="X984" s="379"/>
      <c r="Y984" s="379"/>
      <c r="Z984" s="379">
        <v>5821001</v>
      </c>
      <c r="AA984" s="379" t="s">
        <v>2427</v>
      </c>
      <c r="AB984" s="380">
        <f t="shared" si="14"/>
        <v>0</v>
      </c>
    </row>
    <row r="985" spans="1:31" outlineLevel="2" x14ac:dyDescent="0.3">
      <c r="A985" s="379">
        <v>654</v>
      </c>
      <c r="B985" s="379">
        <v>981220</v>
      </c>
      <c r="C985" s="379" t="s">
        <v>963</v>
      </c>
      <c r="D985" s="379">
        <v>2458101</v>
      </c>
      <c r="E985" s="379" t="s">
        <v>2387</v>
      </c>
      <c r="F985" s="379" t="s">
        <v>2676</v>
      </c>
      <c r="G985" s="383">
        <v>41974</v>
      </c>
      <c r="H985" s="379">
        <v>739</v>
      </c>
      <c r="I985" s="379">
        <v>26.24</v>
      </c>
      <c r="J985" s="379">
        <v>79.650000000000006</v>
      </c>
      <c r="K985" s="379">
        <v>55.44</v>
      </c>
      <c r="L985" s="379"/>
      <c r="M985" s="379"/>
      <c r="N985" s="379"/>
      <c r="O985" s="379"/>
      <c r="P985" s="379">
        <v>590</v>
      </c>
      <c r="Q985" s="379">
        <v>149</v>
      </c>
      <c r="R985" s="379"/>
      <c r="S985" s="379"/>
      <c r="T985" s="379"/>
      <c r="U985" s="379"/>
      <c r="V985" s="380">
        <v>900.33</v>
      </c>
      <c r="W985" s="381"/>
      <c r="X985" s="379"/>
      <c r="Y985" s="379"/>
      <c r="Z985" s="379">
        <v>1041001</v>
      </c>
      <c r="AA985" s="379" t="s">
        <v>2677</v>
      </c>
      <c r="AB985" s="380">
        <f t="shared" si="14"/>
        <v>0</v>
      </c>
    </row>
    <row r="986" spans="1:31" outlineLevel="2" x14ac:dyDescent="0.3">
      <c r="A986" s="379">
        <v>654</v>
      </c>
      <c r="B986" s="379">
        <v>981220</v>
      </c>
      <c r="C986" s="379" t="s">
        <v>963</v>
      </c>
      <c r="D986" s="379">
        <v>2541377</v>
      </c>
      <c r="E986" s="379" t="s">
        <v>2682</v>
      </c>
      <c r="F986" s="379" t="s">
        <v>2512</v>
      </c>
      <c r="G986" s="383">
        <v>41244</v>
      </c>
      <c r="H986" s="379">
        <v>2066.25</v>
      </c>
      <c r="I986" s="379">
        <v>73.349999999999994</v>
      </c>
      <c r="J986" s="379">
        <v>268.82</v>
      </c>
      <c r="K986" s="379">
        <v>155</v>
      </c>
      <c r="L986" s="379"/>
      <c r="M986" s="379"/>
      <c r="N986" s="379"/>
      <c r="O986" s="379"/>
      <c r="P986" s="379">
        <v>1991.25</v>
      </c>
      <c r="Q986" s="379">
        <v>75</v>
      </c>
      <c r="R986" s="379"/>
      <c r="S986" s="379"/>
      <c r="T986" s="379"/>
      <c r="U986" s="379"/>
      <c r="V986" s="380">
        <v>2563.42</v>
      </c>
      <c r="W986" s="381"/>
      <c r="X986" s="379"/>
      <c r="Y986" s="379"/>
      <c r="Z986" s="379">
        <v>5821001</v>
      </c>
      <c r="AA986" s="379" t="s">
        <v>2427</v>
      </c>
      <c r="AB986" s="380">
        <f t="shared" si="14"/>
        <v>0</v>
      </c>
    </row>
    <row r="987" spans="1:31" outlineLevel="2" x14ac:dyDescent="0.3">
      <c r="A987" s="379">
        <v>654</v>
      </c>
      <c r="B987" s="379">
        <v>981220</v>
      </c>
      <c r="C987" s="379" t="s">
        <v>963</v>
      </c>
      <c r="D987" s="379">
        <v>2565111</v>
      </c>
      <c r="E987" s="379" t="s">
        <v>2323</v>
      </c>
      <c r="F987" s="379" t="s">
        <v>2310</v>
      </c>
      <c r="G987" s="383">
        <v>42887</v>
      </c>
      <c r="H987" s="379">
        <v>4330.75</v>
      </c>
      <c r="I987" s="379">
        <v>153.74</v>
      </c>
      <c r="J987" s="379">
        <v>551.6</v>
      </c>
      <c r="K987" s="379">
        <v>324.82</v>
      </c>
      <c r="L987" s="379"/>
      <c r="M987" s="379"/>
      <c r="N987" s="379"/>
      <c r="O987" s="379"/>
      <c r="P987" s="379">
        <v>4085.75</v>
      </c>
      <c r="Q987" s="379">
        <v>245</v>
      </c>
      <c r="R987" s="379"/>
      <c r="S987" s="379"/>
      <c r="T987" s="379"/>
      <c r="U987" s="379"/>
      <c r="V987" s="380">
        <v>5360.91</v>
      </c>
      <c r="W987" s="381"/>
      <c r="X987" s="379"/>
      <c r="Y987" s="379"/>
      <c r="Z987" s="379">
        <v>5821001</v>
      </c>
      <c r="AA987" s="379" t="s">
        <v>2427</v>
      </c>
      <c r="AB987" s="380">
        <f t="shared" si="14"/>
        <v>0</v>
      </c>
    </row>
    <row r="988" spans="1:31" outlineLevel="2" x14ac:dyDescent="0.3">
      <c r="A988" s="379">
        <v>654</v>
      </c>
      <c r="B988" s="379">
        <v>981220</v>
      </c>
      <c r="C988" s="379" t="s">
        <v>963</v>
      </c>
      <c r="D988" s="379">
        <v>2733478</v>
      </c>
      <c r="E988" s="379" t="s">
        <v>2307</v>
      </c>
      <c r="F988" s="379" t="s">
        <v>2633</v>
      </c>
      <c r="G988" s="383">
        <v>41640</v>
      </c>
      <c r="H988" s="379">
        <v>1933.75</v>
      </c>
      <c r="I988" s="379">
        <v>68.650000000000006</v>
      </c>
      <c r="J988" s="379">
        <v>240.95</v>
      </c>
      <c r="K988" s="379">
        <v>145.04</v>
      </c>
      <c r="L988" s="379"/>
      <c r="M988" s="379"/>
      <c r="N988" s="379"/>
      <c r="O988" s="379"/>
      <c r="P988" s="379">
        <v>1784.75</v>
      </c>
      <c r="Q988" s="379">
        <v>149</v>
      </c>
      <c r="R988" s="379"/>
      <c r="S988" s="379"/>
      <c r="T988" s="379"/>
      <c r="U988" s="379"/>
      <c r="V988" s="380">
        <v>2388.39</v>
      </c>
      <c r="W988" s="381"/>
      <c r="X988" s="379"/>
      <c r="Y988" s="379"/>
      <c r="Z988" s="379">
        <v>5931001</v>
      </c>
      <c r="AA988" s="379" t="s">
        <v>2320</v>
      </c>
      <c r="AB988" s="380">
        <f t="shared" si="14"/>
        <v>0</v>
      </c>
    </row>
    <row r="989" spans="1:31" outlineLevel="2" x14ac:dyDescent="0.3">
      <c r="A989" s="379">
        <v>654</v>
      </c>
      <c r="B989" s="379">
        <v>981220</v>
      </c>
      <c r="C989" s="379" t="s">
        <v>963</v>
      </c>
      <c r="D989" s="379">
        <v>2733478</v>
      </c>
      <c r="E989" s="379" t="s">
        <v>2307</v>
      </c>
      <c r="F989" s="379" t="s">
        <v>2633</v>
      </c>
      <c r="G989" s="383">
        <v>41640</v>
      </c>
      <c r="H989" s="379">
        <v>7335.25</v>
      </c>
      <c r="I989" s="379">
        <v>260.41000000000003</v>
      </c>
      <c r="J989" s="379">
        <v>929.92</v>
      </c>
      <c r="K989" s="379">
        <v>550.16999999999996</v>
      </c>
      <c r="L989" s="379"/>
      <c r="M989" s="379"/>
      <c r="N989" s="379"/>
      <c r="O989" s="379"/>
      <c r="P989" s="379">
        <v>6888.25</v>
      </c>
      <c r="Q989" s="379">
        <v>447</v>
      </c>
      <c r="R989" s="379"/>
      <c r="S989" s="379"/>
      <c r="T989" s="379"/>
      <c r="U989" s="379"/>
      <c r="V989" s="380">
        <v>9075.75</v>
      </c>
      <c r="W989" s="381"/>
      <c r="X989" s="379"/>
      <c r="Y989" s="379"/>
      <c r="Z989" s="379">
        <v>5821001</v>
      </c>
      <c r="AA989" s="379" t="s">
        <v>2427</v>
      </c>
      <c r="AB989" s="380">
        <f t="shared" si="14"/>
        <v>0</v>
      </c>
    </row>
    <row r="990" spans="1:31" outlineLevel="2" x14ac:dyDescent="0.3">
      <c r="A990" s="379">
        <v>654</v>
      </c>
      <c r="B990" s="379">
        <v>981220</v>
      </c>
      <c r="C990" s="379" t="s">
        <v>963</v>
      </c>
      <c r="D990" s="379">
        <v>2888652</v>
      </c>
      <c r="E990" s="379" t="s">
        <v>2691</v>
      </c>
      <c r="F990" s="379" t="s">
        <v>2631</v>
      </c>
      <c r="G990" s="383">
        <v>42614</v>
      </c>
      <c r="H990" s="379">
        <v>2426</v>
      </c>
      <c r="I990" s="379">
        <v>96.45</v>
      </c>
      <c r="J990" s="379">
        <v>290.73</v>
      </c>
      <c r="K990" s="379">
        <v>203.8</v>
      </c>
      <c r="L990" s="379"/>
      <c r="M990" s="379"/>
      <c r="N990" s="379"/>
      <c r="O990" s="379"/>
      <c r="P990" s="379">
        <v>2153.5</v>
      </c>
      <c r="Q990" s="379">
        <v>272.5</v>
      </c>
      <c r="R990" s="379"/>
      <c r="S990" s="379"/>
      <c r="T990" s="379"/>
      <c r="U990" s="379"/>
      <c r="V990" s="380">
        <v>3016.98</v>
      </c>
      <c r="W990" s="381"/>
      <c r="X990" s="379"/>
      <c r="Y990" s="379"/>
      <c r="Z990" s="379">
        <v>5821001</v>
      </c>
      <c r="AA990" s="379" t="s">
        <v>2427</v>
      </c>
      <c r="AB990" s="380">
        <f t="shared" si="14"/>
        <v>0</v>
      </c>
    </row>
    <row r="991" spans="1:31" outlineLevel="2" x14ac:dyDescent="0.3">
      <c r="A991" s="379">
        <v>654</v>
      </c>
      <c r="B991" s="379">
        <v>981220</v>
      </c>
      <c r="C991" s="379" t="s">
        <v>963</v>
      </c>
      <c r="D991" s="379">
        <v>3951777</v>
      </c>
      <c r="E991" s="379" t="s">
        <v>2318</v>
      </c>
      <c r="F991" s="379" t="s">
        <v>2424</v>
      </c>
      <c r="G991" s="383">
        <v>43525</v>
      </c>
      <c r="H991" s="379">
        <v>2160</v>
      </c>
      <c r="I991" s="379">
        <v>76.680000000000007</v>
      </c>
      <c r="J991" s="379">
        <v>278.77999999999997</v>
      </c>
      <c r="K991" s="379">
        <v>162</v>
      </c>
      <c r="L991" s="379"/>
      <c r="M991" s="379"/>
      <c r="N991" s="379"/>
      <c r="O991" s="379"/>
      <c r="P991" s="379">
        <v>2065</v>
      </c>
      <c r="Q991" s="379">
        <v>95</v>
      </c>
      <c r="R991" s="379"/>
      <c r="S991" s="379"/>
      <c r="T991" s="379"/>
      <c r="U991" s="379"/>
      <c r="V991" s="380">
        <v>2677.46</v>
      </c>
      <c r="W991" s="381"/>
      <c r="X991" s="379"/>
      <c r="Y991" s="379"/>
      <c r="Z991" s="379">
        <v>5821001</v>
      </c>
      <c r="AA991" s="379" t="s">
        <v>2427</v>
      </c>
      <c r="AB991" s="380">
        <f t="shared" si="14"/>
        <v>0</v>
      </c>
    </row>
    <row r="992" spans="1:31" outlineLevel="2" x14ac:dyDescent="0.3">
      <c r="A992" s="379">
        <v>654</v>
      </c>
      <c r="B992" s="379">
        <v>981220</v>
      </c>
      <c r="C992" s="379" t="s">
        <v>963</v>
      </c>
      <c r="D992" s="379">
        <v>5399578</v>
      </c>
      <c r="E992" s="379" t="s">
        <v>2708</v>
      </c>
      <c r="F992" s="379" t="s">
        <v>2707</v>
      </c>
      <c r="G992" s="383">
        <v>41548</v>
      </c>
      <c r="H992" s="379">
        <v>986</v>
      </c>
      <c r="I992" s="379">
        <v>32.049999999999997</v>
      </c>
      <c r="J992" s="379">
        <v>200.34</v>
      </c>
      <c r="K992" s="379">
        <v>73.95</v>
      </c>
      <c r="L992" s="379"/>
      <c r="M992" s="379"/>
      <c r="N992" s="379"/>
      <c r="O992" s="379"/>
      <c r="P992" s="379">
        <v>944</v>
      </c>
      <c r="Q992" s="379">
        <v>42</v>
      </c>
      <c r="R992" s="379"/>
      <c r="S992" s="379"/>
      <c r="T992" s="379"/>
      <c r="U992" s="379"/>
      <c r="V992" s="380">
        <v>1292.3399999999999</v>
      </c>
      <c r="W992" s="381"/>
      <c r="X992" s="379"/>
      <c r="Y992" s="379"/>
      <c r="Z992" s="379">
        <v>5821001</v>
      </c>
      <c r="AA992" s="379" t="s">
        <v>2427</v>
      </c>
      <c r="AB992" s="380">
        <f t="shared" si="14"/>
        <v>0</v>
      </c>
    </row>
    <row r="993" spans="1:28" outlineLevel="2" x14ac:dyDescent="0.3">
      <c r="A993" s="379">
        <v>654</v>
      </c>
      <c r="B993" s="379">
        <v>981220</v>
      </c>
      <c r="C993" s="379" t="s">
        <v>963</v>
      </c>
      <c r="D993" s="379">
        <v>5429071</v>
      </c>
      <c r="E993" s="379" t="s">
        <v>2355</v>
      </c>
      <c r="F993" s="379" t="s">
        <v>2709</v>
      </c>
      <c r="G993" s="383">
        <v>43070</v>
      </c>
      <c r="H993" s="379">
        <v>1371.75</v>
      </c>
      <c r="I993" s="379">
        <v>48.69</v>
      </c>
      <c r="J993" s="379">
        <v>185.2</v>
      </c>
      <c r="K993" s="379">
        <v>102.89</v>
      </c>
      <c r="L993" s="379"/>
      <c r="M993" s="379"/>
      <c r="N993" s="379"/>
      <c r="O993" s="379"/>
      <c r="P993" s="379">
        <v>1371.75</v>
      </c>
      <c r="Q993" s="379"/>
      <c r="R993" s="379"/>
      <c r="S993" s="379"/>
      <c r="T993" s="379"/>
      <c r="U993" s="379"/>
      <c r="V993" s="380">
        <v>1708.53</v>
      </c>
      <c r="W993" s="381"/>
      <c r="X993" s="379"/>
      <c r="Y993" s="379"/>
      <c r="Z993" s="379">
        <v>1401202</v>
      </c>
      <c r="AA993" s="379" t="s">
        <v>2380</v>
      </c>
      <c r="AB993" s="380">
        <f t="shared" si="14"/>
        <v>0</v>
      </c>
    </row>
    <row r="994" spans="1:28" outlineLevel="2" x14ac:dyDescent="0.3">
      <c r="A994" s="379">
        <v>654</v>
      </c>
      <c r="B994" s="379">
        <v>981220</v>
      </c>
      <c r="C994" s="379" t="s">
        <v>963</v>
      </c>
      <c r="D994" s="379">
        <v>5646436</v>
      </c>
      <c r="E994" s="379" t="s">
        <v>2716</v>
      </c>
      <c r="F994" s="379" t="s">
        <v>2717</v>
      </c>
      <c r="G994" s="383">
        <v>43009</v>
      </c>
      <c r="H994" s="379">
        <v>1327.5</v>
      </c>
      <c r="I994" s="379">
        <v>47.12</v>
      </c>
      <c r="J994" s="379">
        <v>179.21</v>
      </c>
      <c r="K994" s="379">
        <v>99.57</v>
      </c>
      <c r="L994" s="379"/>
      <c r="M994" s="379"/>
      <c r="N994" s="379"/>
      <c r="O994" s="379"/>
      <c r="P994" s="379">
        <v>1327.5</v>
      </c>
      <c r="Q994" s="379"/>
      <c r="R994" s="379"/>
      <c r="S994" s="379"/>
      <c r="T994" s="379"/>
      <c r="U994" s="379"/>
      <c r="V994" s="380">
        <v>1653.4</v>
      </c>
      <c r="W994" s="381"/>
      <c r="X994" s="379"/>
      <c r="Y994" s="379"/>
      <c r="Z994" s="379">
        <v>5821001</v>
      </c>
      <c r="AA994" s="379" t="s">
        <v>2427</v>
      </c>
      <c r="AB994" s="380">
        <f t="shared" si="14"/>
        <v>0</v>
      </c>
    </row>
    <row r="995" spans="1:28" outlineLevel="2" x14ac:dyDescent="0.3">
      <c r="A995" s="379">
        <v>654</v>
      </c>
      <c r="B995" s="379">
        <v>981220</v>
      </c>
      <c r="C995" s="379" t="s">
        <v>963</v>
      </c>
      <c r="D995" s="379">
        <v>5653147</v>
      </c>
      <c r="E995" s="379" t="s">
        <v>2718</v>
      </c>
      <c r="F995" s="379" t="s">
        <v>2719</v>
      </c>
      <c r="G995" s="383">
        <v>43221</v>
      </c>
      <c r="H995" s="379">
        <v>11738.5</v>
      </c>
      <c r="I995" s="379">
        <v>416.72</v>
      </c>
      <c r="J995" s="379">
        <v>1517.34</v>
      </c>
      <c r="K995" s="379">
        <v>880.41</v>
      </c>
      <c r="L995" s="379"/>
      <c r="M995" s="379"/>
      <c r="N995" s="379"/>
      <c r="O995" s="379"/>
      <c r="P995" s="379">
        <v>11239.5</v>
      </c>
      <c r="Q995" s="379">
        <v>499</v>
      </c>
      <c r="R995" s="379"/>
      <c r="S995" s="379"/>
      <c r="T995" s="379"/>
      <c r="U995" s="379"/>
      <c r="V995" s="380">
        <v>14552.97</v>
      </c>
      <c r="W995" s="381"/>
      <c r="X995" s="379"/>
      <c r="Y995" s="379"/>
      <c r="Z995" s="379">
        <v>5821001</v>
      </c>
      <c r="AA995" s="379" t="s">
        <v>2427</v>
      </c>
      <c r="AB995" s="380">
        <f t="shared" si="14"/>
        <v>0</v>
      </c>
    </row>
    <row r="996" spans="1:28" outlineLevel="2" x14ac:dyDescent="0.3">
      <c r="A996" s="379">
        <v>654</v>
      </c>
      <c r="B996" s="379">
        <v>981220</v>
      </c>
      <c r="C996" s="379" t="s">
        <v>963</v>
      </c>
      <c r="D996" s="379">
        <v>20384139</v>
      </c>
      <c r="E996" s="379" t="s">
        <v>2743</v>
      </c>
      <c r="F996" s="379" t="s">
        <v>2744</v>
      </c>
      <c r="G996" s="383">
        <v>43435</v>
      </c>
      <c r="H996" s="379">
        <v>4144.25</v>
      </c>
      <c r="I996" s="379">
        <v>147.12</v>
      </c>
      <c r="J996" s="379">
        <v>523.71</v>
      </c>
      <c r="K996" s="379">
        <v>310.85000000000002</v>
      </c>
      <c r="L996" s="379"/>
      <c r="M996" s="379"/>
      <c r="N996" s="379"/>
      <c r="O996" s="379"/>
      <c r="P996" s="379">
        <v>3879.25</v>
      </c>
      <c r="Q996" s="379">
        <v>265</v>
      </c>
      <c r="R996" s="379"/>
      <c r="S996" s="379"/>
      <c r="T996" s="379"/>
      <c r="U996" s="379"/>
      <c r="V996" s="380">
        <v>5125.93</v>
      </c>
      <c r="W996" s="381"/>
      <c r="X996" s="379"/>
      <c r="Y996" s="379"/>
      <c r="Z996" s="379">
        <v>5821001</v>
      </c>
      <c r="AA996" s="379" t="s">
        <v>2427</v>
      </c>
      <c r="AB996" s="380">
        <f t="shared" si="14"/>
        <v>0</v>
      </c>
    </row>
    <row r="997" spans="1:28" outlineLevel="2" x14ac:dyDescent="0.3">
      <c r="A997" s="379">
        <v>654</v>
      </c>
      <c r="B997" s="379">
        <v>981220</v>
      </c>
      <c r="C997" s="379" t="s">
        <v>963</v>
      </c>
      <c r="D997" s="379">
        <v>30571765</v>
      </c>
      <c r="E997" s="379" t="s">
        <v>2574</v>
      </c>
      <c r="F997" s="379" t="s">
        <v>2748</v>
      </c>
      <c r="G997" s="383">
        <v>43435</v>
      </c>
      <c r="H997" s="379">
        <v>8286.5</v>
      </c>
      <c r="I997" s="379">
        <v>294.18</v>
      </c>
      <c r="J997" s="379">
        <v>1071.3</v>
      </c>
      <c r="K997" s="379">
        <v>621.54999999999995</v>
      </c>
      <c r="L997" s="379"/>
      <c r="M997" s="379"/>
      <c r="N997" s="379"/>
      <c r="O997" s="379"/>
      <c r="P997" s="379">
        <v>7935.5</v>
      </c>
      <c r="Q997" s="379">
        <v>351</v>
      </c>
      <c r="R997" s="379"/>
      <c r="S997" s="379"/>
      <c r="T997" s="379"/>
      <c r="U997" s="379"/>
      <c r="V997" s="380">
        <v>10273.530000000001</v>
      </c>
      <c r="W997" s="381"/>
      <c r="X997" s="379"/>
      <c r="Y997" s="379"/>
      <c r="Z997" s="379">
        <v>5821001</v>
      </c>
      <c r="AA997" s="379" t="s">
        <v>2427</v>
      </c>
      <c r="AB997" s="380">
        <f t="shared" si="14"/>
        <v>0</v>
      </c>
    </row>
    <row r="998" spans="1:28" outlineLevel="2" x14ac:dyDescent="0.3">
      <c r="A998" s="379">
        <v>654</v>
      </c>
      <c r="B998" s="379">
        <v>981220</v>
      </c>
      <c r="C998" s="379" t="s">
        <v>963</v>
      </c>
      <c r="D998" s="379">
        <v>30938860</v>
      </c>
      <c r="E998" s="379" t="s">
        <v>2751</v>
      </c>
      <c r="F998" s="379" t="s">
        <v>2752</v>
      </c>
      <c r="G998" s="383">
        <v>43497</v>
      </c>
      <c r="H998" s="379">
        <v>5833</v>
      </c>
      <c r="I998" s="379">
        <v>207.07</v>
      </c>
      <c r="J998" s="379">
        <v>748.71</v>
      </c>
      <c r="K998" s="379">
        <v>437.52</v>
      </c>
      <c r="L998" s="379"/>
      <c r="M998" s="379"/>
      <c r="N998" s="379"/>
      <c r="O998" s="379"/>
      <c r="P998" s="379">
        <v>5546</v>
      </c>
      <c r="Q998" s="379">
        <v>287</v>
      </c>
      <c r="R998" s="379"/>
      <c r="S998" s="379"/>
      <c r="T998" s="379"/>
      <c r="U998" s="379"/>
      <c r="V998" s="380">
        <v>7226.3</v>
      </c>
      <c r="W998" s="381"/>
      <c r="X998" s="379"/>
      <c r="Y998" s="379"/>
      <c r="Z998" s="379">
        <v>5821001</v>
      </c>
      <c r="AA998" s="379" t="s">
        <v>2427</v>
      </c>
      <c r="AB998" s="380">
        <f t="shared" si="14"/>
        <v>0</v>
      </c>
    </row>
    <row r="999" spans="1:28" outlineLevel="1" x14ac:dyDescent="0.3">
      <c r="A999" s="379"/>
      <c r="B999" s="384" t="s">
        <v>3197</v>
      </c>
      <c r="C999" s="379"/>
      <c r="D999" s="379"/>
      <c r="E999" s="379"/>
      <c r="F999" s="379"/>
      <c r="G999" s="383"/>
      <c r="H999" s="379"/>
      <c r="I999" s="379"/>
      <c r="J999" s="379"/>
      <c r="K999" s="379"/>
      <c r="L999" s="379"/>
      <c r="M999" s="379"/>
      <c r="N999" s="379"/>
      <c r="O999" s="379"/>
      <c r="P999" s="379"/>
      <c r="Q999" s="379"/>
      <c r="R999" s="379"/>
      <c r="S999" s="379"/>
      <c r="T999" s="379"/>
      <c r="U999" s="379"/>
      <c r="V999" s="380">
        <f>SUBTOTAL(9,V984:V998)</f>
        <v>68592.95</v>
      </c>
      <c r="W999" s="381">
        <f>SUBTOTAL(9,W984:W998)</f>
        <v>0</v>
      </c>
      <c r="X999" s="379"/>
      <c r="Y999" s="379"/>
      <c r="Z999" s="379"/>
      <c r="AA999" s="379"/>
      <c r="AB999" s="380">
        <f>SUBTOTAL(9,AB984:AB998)</f>
        <v>0</v>
      </c>
    </row>
    <row r="1000" spans="1:28" outlineLevel="2" x14ac:dyDescent="0.3">
      <c r="A1000" s="379">
        <v>654</v>
      </c>
      <c r="B1000" s="379">
        <v>981230</v>
      </c>
      <c r="C1000" s="379" t="s">
        <v>585</v>
      </c>
      <c r="D1000" s="379">
        <v>2435066</v>
      </c>
      <c r="E1000" s="379" t="s">
        <v>2761</v>
      </c>
      <c r="F1000" s="379" t="s">
        <v>2324</v>
      </c>
      <c r="G1000" s="383">
        <v>43221</v>
      </c>
      <c r="H1000" s="379">
        <v>14947.75</v>
      </c>
      <c r="I1000" s="379">
        <v>530.65</v>
      </c>
      <c r="J1000" s="379">
        <v>1937.49</v>
      </c>
      <c r="K1000" s="379">
        <v>1121.0899999999999</v>
      </c>
      <c r="L1000" s="379"/>
      <c r="M1000" s="379"/>
      <c r="N1000" s="379"/>
      <c r="O1000" s="379"/>
      <c r="P1000" s="379">
        <v>14351.75</v>
      </c>
      <c r="Q1000" s="379">
        <v>596</v>
      </c>
      <c r="R1000" s="379"/>
      <c r="S1000" s="379"/>
      <c r="T1000" s="379"/>
      <c r="U1000" s="379"/>
      <c r="V1000" s="380">
        <v>18536.98</v>
      </c>
      <c r="W1000" s="381"/>
      <c r="X1000" s="379"/>
      <c r="Y1000" s="379"/>
      <c r="Z1000" s="379">
        <v>5821001</v>
      </c>
      <c r="AA1000" s="379" t="s">
        <v>2427</v>
      </c>
      <c r="AB1000" s="380">
        <f t="shared" si="14"/>
        <v>0</v>
      </c>
    </row>
    <row r="1001" spans="1:28" outlineLevel="2" x14ac:dyDescent="0.3">
      <c r="A1001" s="379">
        <v>654</v>
      </c>
      <c r="B1001" s="379">
        <v>981230</v>
      </c>
      <c r="C1001" s="379" t="s">
        <v>585</v>
      </c>
      <c r="D1001" s="379">
        <v>2458074</v>
      </c>
      <c r="E1001" s="379" t="s">
        <v>2675</v>
      </c>
      <c r="F1001" s="379" t="s">
        <v>2673</v>
      </c>
      <c r="G1001" s="383">
        <v>42401</v>
      </c>
      <c r="H1001" s="379">
        <v>6403</v>
      </c>
      <c r="I1001" s="379">
        <v>227.3</v>
      </c>
      <c r="J1001" s="379">
        <v>844.28</v>
      </c>
      <c r="K1001" s="379">
        <v>480.24</v>
      </c>
      <c r="L1001" s="379"/>
      <c r="M1001" s="379"/>
      <c r="N1001" s="379"/>
      <c r="O1001" s="379"/>
      <c r="P1001" s="379">
        <v>6254</v>
      </c>
      <c r="Q1001" s="379">
        <v>149</v>
      </c>
      <c r="R1001" s="379"/>
      <c r="S1001" s="379"/>
      <c r="T1001" s="379"/>
      <c r="U1001" s="379"/>
      <c r="V1001" s="380">
        <v>7954.82</v>
      </c>
      <c r="W1001" s="381"/>
      <c r="X1001" s="379"/>
      <c r="Y1001" s="379"/>
      <c r="Z1001" s="379">
        <v>5821001</v>
      </c>
      <c r="AA1001" s="379" t="s">
        <v>2427</v>
      </c>
      <c r="AB1001" s="380">
        <f t="shared" si="14"/>
        <v>0</v>
      </c>
    </row>
    <row r="1002" spans="1:28" outlineLevel="2" x14ac:dyDescent="0.3">
      <c r="A1002" s="379">
        <v>654</v>
      </c>
      <c r="B1002" s="379">
        <v>981230</v>
      </c>
      <c r="C1002" s="379" t="s">
        <v>585</v>
      </c>
      <c r="D1002" s="379">
        <v>2660580</v>
      </c>
      <c r="E1002" s="379" t="s">
        <v>2519</v>
      </c>
      <c r="F1002" s="379" t="s">
        <v>2764</v>
      </c>
      <c r="G1002" s="383">
        <v>43497</v>
      </c>
      <c r="H1002" s="379">
        <v>3409.25</v>
      </c>
      <c r="I1002" s="379">
        <v>121.03</v>
      </c>
      <c r="J1002" s="379">
        <v>436.09</v>
      </c>
      <c r="K1002" s="379">
        <v>255.75</v>
      </c>
      <c r="L1002" s="379"/>
      <c r="M1002" s="379"/>
      <c r="N1002" s="379"/>
      <c r="O1002" s="379"/>
      <c r="P1002" s="379">
        <v>3230.25</v>
      </c>
      <c r="Q1002" s="379">
        <v>179</v>
      </c>
      <c r="R1002" s="379"/>
      <c r="S1002" s="379"/>
      <c r="T1002" s="379"/>
      <c r="U1002" s="379"/>
      <c r="V1002" s="380">
        <v>4222.12</v>
      </c>
      <c r="W1002" s="381"/>
      <c r="X1002" s="379"/>
      <c r="Y1002" s="379"/>
      <c r="Z1002" s="379">
        <v>5821001</v>
      </c>
      <c r="AA1002" s="379" t="s">
        <v>2427</v>
      </c>
      <c r="AB1002" s="380">
        <f t="shared" si="14"/>
        <v>0</v>
      </c>
    </row>
    <row r="1003" spans="1:28" outlineLevel="2" x14ac:dyDescent="0.3">
      <c r="A1003" s="379">
        <v>654</v>
      </c>
      <c r="B1003" s="379">
        <v>981230</v>
      </c>
      <c r="C1003" s="379" t="s">
        <v>585</v>
      </c>
      <c r="D1003" s="379">
        <v>2733478</v>
      </c>
      <c r="E1003" s="379" t="s">
        <v>2307</v>
      </c>
      <c r="F1003" s="379" t="s">
        <v>2633</v>
      </c>
      <c r="G1003" s="383">
        <v>41640</v>
      </c>
      <c r="H1003" s="379">
        <v>870.25</v>
      </c>
      <c r="I1003" s="379">
        <v>30.89</v>
      </c>
      <c r="J1003" s="379">
        <v>117.48</v>
      </c>
      <c r="K1003" s="379">
        <v>65.260000000000005</v>
      </c>
      <c r="L1003" s="379"/>
      <c r="M1003" s="379"/>
      <c r="N1003" s="379"/>
      <c r="O1003" s="379"/>
      <c r="P1003" s="379">
        <v>870.25</v>
      </c>
      <c r="Q1003" s="379"/>
      <c r="R1003" s="379"/>
      <c r="S1003" s="379"/>
      <c r="T1003" s="379"/>
      <c r="U1003" s="379"/>
      <c r="V1003" s="380">
        <v>1083.8800000000001</v>
      </c>
      <c r="W1003" s="381"/>
      <c r="X1003" s="379"/>
      <c r="Y1003" s="379"/>
      <c r="Z1003" s="379">
        <v>5931001</v>
      </c>
      <c r="AA1003" s="379" t="s">
        <v>2320</v>
      </c>
      <c r="AB1003" s="380">
        <f t="shared" si="14"/>
        <v>0</v>
      </c>
    </row>
    <row r="1004" spans="1:28" outlineLevel="2" x14ac:dyDescent="0.3">
      <c r="A1004" s="379">
        <v>654</v>
      </c>
      <c r="B1004" s="379">
        <v>981230</v>
      </c>
      <c r="C1004" s="379" t="s">
        <v>585</v>
      </c>
      <c r="D1004" s="379">
        <v>2733478</v>
      </c>
      <c r="E1004" s="379" t="s">
        <v>2307</v>
      </c>
      <c r="F1004" s="379" t="s">
        <v>2633</v>
      </c>
      <c r="G1004" s="383">
        <v>41640</v>
      </c>
      <c r="H1004" s="379">
        <v>1784.75</v>
      </c>
      <c r="I1004" s="379">
        <v>63.35</v>
      </c>
      <c r="J1004" s="379">
        <v>240.94</v>
      </c>
      <c r="K1004" s="379">
        <v>133.83000000000001</v>
      </c>
      <c r="L1004" s="379"/>
      <c r="M1004" s="379"/>
      <c r="N1004" s="379"/>
      <c r="O1004" s="379"/>
      <c r="P1004" s="379">
        <v>1784.75</v>
      </c>
      <c r="Q1004" s="379"/>
      <c r="R1004" s="379"/>
      <c r="S1004" s="379"/>
      <c r="T1004" s="379"/>
      <c r="U1004" s="379"/>
      <c r="V1004" s="380">
        <v>2222.87</v>
      </c>
      <c r="W1004" s="381"/>
      <c r="X1004" s="379"/>
      <c r="Y1004" s="379"/>
      <c r="Z1004" s="379">
        <v>5821001</v>
      </c>
      <c r="AA1004" s="379" t="s">
        <v>2427</v>
      </c>
      <c r="AB1004" s="380">
        <f t="shared" si="14"/>
        <v>0</v>
      </c>
    </row>
    <row r="1005" spans="1:28" outlineLevel="2" x14ac:dyDescent="0.3">
      <c r="A1005" s="379">
        <v>654</v>
      </c>
      <c r="B1005" s="379">
        <v>981230</v>
      </c>
      <c r="C1005" s="379" t="s">
        <v>585</v>
      </c>
      <c r="D1005" s="379">
        <v>5429071</v>
      </c>
      <c r="E1005" s="379" t="s">
        <v>2355</v>
      </c>
      <c r="F1005" s="379" t="s">
        <v>2709</v>
      </c>
      <c r="G1005" s="383">
        <v>43070</v>
      </c>
      <c r="H1005" s="379">
        <v>10272</v>
      </c>
      <c r="I1005" s="379">
        <v>364.65</v>
      </c>
      <c r="J1005" s="379">
        <v>1306.26</v>
      </c>
      <c r="K1005" s="379">
        <v>770.37</v>
      </c>
      <c r="L1005" s="379"/>
      <c r="M1005" s="379"/>
      <c r="N1005" s="379"/>
      <c r="O1005" s="379"/>
      <c r="P1005" s="379">
        <v>9676</v>
      </c>
      <c r="Q1005" s="379">
        <v>596</v>
      </c>
      <c r="R1005" s="379"/>
      <c r="S1005" s="379"/>
      <c r="T1005" s="379"/>
      <c r="U1005" s="379"/>
      <c r="V1005" s="380">
        <v>12713.28</v>
      </c>
      <c r="W1005" s="381"/>
      <c r="X1005" s="379"/>
      <c r="Y1005" s="379"/>
      <c r="Z1005" s="379">
        <v>1401202</v>
      </c>
      <c r="AA1005" s="379" t="s">
        <v>2380</v>
      </c>
      <c r="AB1005" s="380">
        <f t="shared" si="14"/>
        <v>0</v>
      </c>
    </row>
    <row r="1006" spans="1:28" outlineLevel="2" x14ac:dyDescent="0.3">
      <c r="A1006" s="379">
        <v>654</v>
      </c>
      <c r="B1006" s="379">
        <v>981230</v>
      </c>
      <c r="C1006" s="379" t="s">
        <v>585</v>
      </c>
      <c r="D1006" s="379">
        <v>5646436</v>
      </c>
      <c r="E1006" s="379" t="s">
        <v>2716</v>
      </c>
      <c r="F1006" s="379" t="s">
        <v>2717</v>
      </c>
      <c r="G1006" s="383">
        <v>43009</v>
      </c>
      <c r="H1006" s="379">
        <v>3185.5</v>
      </c>
      <c r="I1006" s="379">
        <v>113.1</v>
      </c>
      <c r="J1006" s="379">
        <v>394.28</v>
      </c>
      <c r="K1006" s="379">
        <v>238.94</v>
      </c>
      <c r="L1006" s="379"/>
      <c r="M1006" s="379"/>
      <c r="N1006" s="379"/>
      <c r="O1006" s="379"/>
      <c r="P1006" s="379">
        <v>2920.5</v>
      </c>
      <c r="Q1006" s="379">
        <v>265</v>
      </c>
      <c r="R1006" s="379"/>
      <c r="S1006" s="379"/>
      <c r="T1006" s="379"/>
      <c r="U1006" s="379"/>
      <c r="V1006" s="380">
        <v>3931.82</v>
      </c>
      <c r="W1006" s="381"/>
      <c r="X1006" s="379"/>
      <c r="Y1006" s="379"/>
      <c r="Z1006" s="379">
        <v>5821001</v>
      </c>
      <c r="AA1006" s="379" t="s">
        <v>2427</v>
      </c>
      <c r="AB1006" s="380">
        <f t="shared" si="14"/>
        <v>0</v>
      </c>
    </row>
    <row r="1007" spans="1:28" outlineLevel="2" x14ac:dyDescent="0.3">
      <c r="A1007" s="379">
        <v>654</v>
      </c>
      <c r="B1007" s="379">
        <v>981230</v>
      </c>
      <c r="C1007" s="379" t="s">
        <v>585</v>
      </c>
      <c r="D1007" s="379">
        <v>5653147</v>
      </c>
      <c r="E1007" s="379" t="s">
        <v>2718</v>
      </c>
      <c r="F1007" s="379" t="s">
        <v>2719</v>
      </c>
      <c r="G1007" s="383">
        <v>43221</v>
      </c>
      <c r="H1007" s="379">
        <v>1569.75</v>
      </c>
      <c r="I1007" s="379">
        <v>55.73</v>
      </c>
      <c r="J1007" s="379">
        <v>209.09</v>
      </c>
      <c r="K1007" s="379">
        <v>117.74</v>
      </c>
      <c r="L1007" s="379"/>
      <c r="M1007" s="379"/>
      <c r="N1007" s="379"/>
      <c r="O1007" s="379"/>
      <c r="P1007" s="379">
        <v>1548.75</v>
      </c>
      <c r="Q1007" s="379">
        <v>21</v>
      </c>
      <c r="R1007" s="379"/>
      <c r="S1007" s="379"/>
      <c r="T1007" s="379"/>
      <c r="U1007" s="379"/>
      <c r="V1007" s="380">
        <v>1952.31</v>
      </c>
      <c r="W1007" s="381"/>
      <c r="X1007" s="379"/>
      <c r="Y1007" s="379"/>
      <c r="Z1007" s="379">
        <v>5821001</v>
      </c>
      <c r="AA1007" s="379" t="s">
        <v>2427</v>
      </c>
      <c r="AB1007" s="380">
        <f t="shared" si="14"/>
        <v>0</v>
      </c>
    </row>
    <row r="1008" spans="1:28" outlineLevel="2" x14ac:dyDescent="0.3">
      <c r="A1008" s="379">
        <v>654</v>
      </c>
      <c r="B1008" s="379">
        <v>981230</v>
      </c>
      <c r="C1008" s="379" t="s">
        <v>585</v>
      </c>
      <c r="D1008" s="379">
        <v>5829453</v>
      </c>
      <c r="E1008" s="379" t="s">
        <v>2722</v>
      </c>
      <c r="F1008" s="379" t="s">
        <v>2644</v>
      </c>
      <c r="G1008" s="383">
        <v>41640</v>
      </c>
      <c r="H1008" s="379">
        <v>10618.75</v>
      </c>
      <c r="I1008" s="379">
        <v>376.98</v>
      </c>
      <c r="J1008" s="379">
        <v>1356.05</v>
      </c>
      <c r="K1008" s="379">
        <v>796.4</v>
      </c>
      <c r="L1008" s="379"/>
      <c r="M1008" s="379"/>
      <c r="N1008" s="379"/>
      <c r="O1008" s="379"/>
      <c r="P1008" s="379">
        <v>10044.75</v>
      </c>
      <c r="Q1008" s="379">
        <v>574</v>
      </c>
      <c r="R1008" s="379"/>
      <c r="S1008" s="379"/>
      <c r="T1008" s="379"/>
      <c r="U1008" s="379"/>
      <c r="V1008" s="380">
        <v>13148.18</v>
      </c>
      <c r="W1008" s="381"/>
      <c r="X1008" s="379"/>
      <c r="Y1008" s="379"/>
      <c r="Z1008" s="379">
        <v>1401202</v>
      </c>
      <c r="AA1008" s="379" t="s">
        <v>2380</v>
      </c>
      <c r="AB1008" s="380">
        <f t="shared" si="14"/>
        <v>0</v>
      </c>
    </row>
    <row r="1009" spans="1:28" outlineLevel="2" x14ac:dyDescent="0.3">
      <c r="A1009" s="379">
        <v>654</v>
      </c>
      <c r="B1009" s="379">
        <v>981230</v>
      </c>
      <c r="C1009" s="379" t="s">
        <v>585</v>
      </c>
      <c r="D1009" s="379">
        <v>6074699</v>
      </c>
      <c r="E1009" s="379" t="s">
        <v>2303</v>
      </c>
      <c r="F1009" s="379" t="s">
        <v>3031</v>
      </c>
      <c r="G1009" s="383">
        <v>43435</v>
      </c>
      <c r="H1009" s="379">
        <v>13043.5</v>
      </c>
      <c r="I1009" s="379">
        <v>463.05</v>
      </c>
      <c r="J1009" s="379">
        <v>1700.53</v>
      </c>
      <c r="K1009" s="379">
        <v>978.24</v>
      </c>
      <c r="L1009" s="379"/>
      <c r="M1009" s="379"/>
      <c r="N1009" s="379"/>
      <c r="O1009" s="379"/>
      <c r="P1009" s="379">
        <v>12596.5</v>
      </c>
      <c r="Q1009" s="379">
        <v>447</v>
      </c>
      <c r="R1009" s="379"/>
      <c r="S1009" s="379"/>
      <c r="T1009" s="379"/>
      <c r="U1009" s="379"/>
      <c r="V1009" s="380">
        <v>16185.32</v>
      </c>
      <c r="W1009" s="381"/>
      <c r="X1009" s="379"/>
      <c r="Y1009" s="379"/>
      <c r="Z1009" s="379">
        <v>5821001</v>
      </c>
      <c r="AA1009" s="379" t="s">
        <v>2427</v>
      </c>
      <c r="AB1009" s="380">
        <f t="shared" si="14"/>
        <v>0</v>
      </c>
    </row>
    <row r="1010" spans="1:28" outlineLevel="2" x14ac:dyDescent="0.3">
      <c r="A1010" s="379">
        <v>654</v>
      </c>
      <c r="B1010" s="379">
        <v>981230</v>
      </c>
      <c r="C1010" s="379" t="s">
        <v>585</v>
      </c>
      <c r="D1010" s="379">
        <v>6293365</v>
      </c>
      <c r="E1010" s="379" t="s">
        <v>2774</v>
      </c>
      <c r="F1010" s="379" t="s">
        <v>2322</v>
      </c>
      <c r="G1010" s="383">
        <v>41214</v>
      </c>
      <c r="H1010" s="379">
        <v>14114.5</v>
      </c>
      <c r="I1010" s="379">
        <v>67.73</v>
      </c>
      <c r="J1010" s="379">
        <v>1827.98</v>
      </c>
      <c r="K1010" s="379">
        <v>1058.57</v>
      </c>
      <c r="L1010" s="379"/>
      <c r="M1010" s="379"/>
      <c r="N1010" s="379"/>
      <c r="O1010" s="379"/>
      <c r="P1010" s="379">
        <v>13540.5</v>
      </c>
      <c r="Q1010" s="379">
        <v>574</v>
      </c>
      <c r="R1010" s="379"/>
      <c r="S1010" s="379"/>
      <c r="T1010" s="379"/>
      <c r="U1010" s="379"/>
      <c r="V1010" s="380">
        <v>17068.78</v>
      </c>
      <c r="W1010" s="381"/>
      <c r="X1010" s="379">
        <v>1</v>
      </c>
      <c r="Y1010" s="379" t="s">
        <v>2353</v>
      </c>
      <c r="Z1010" s="379">
        <v>5931001</v>
      </c>
      <c r="AA1010" s="379" t="s">
        <v>2320</v>
      </c>
      <c r="AB1010" s="380">
        <f t="shared" si="14"/>
        <v>0</v>
      </c>
    </row>
    <row r="1011" spans="1:28" outlineLevel="2" x14ac:dyDescent="0.3">
      <c r="A1011" s="379">
        <v>654</v>
      </c>
      <c r="B1011" s="379">
        <v>981230</v>
      </c>
      <c r="C1011" s="379" t="s">
        <v>585</v>
      </c>
      <c r="D1011" s="379">
        <v>32152498</v>
      </c>
      <c r="E1011" s="379" t="s">
        <v>2779</v>
      </c>
      <c r="F1011" s="379" t="s">
        <v>2780</v>
      </c>
      <c r="G1011" s="383">
        <v>43466</v>
      </c>
      <c r="H1011" s="379">
        <v>5875</v>
      </c>
      <c r="I1011" s="379">
        <v>208.56</v>
      </c>
      <c r="J1011" s="379">
        <v>748.71</v>
      </c>
      <c r="K1011" s="379">
        <v>440.65</v>
      </c>
      <c r="L1011" s="379"/>
      <c r="M1011" s="379"/>
      <c r="N1011" s="379"/>
      <c r="O1011" s="379"/>
      <c r="P1011" s="379">
        <v>5546</v>
      </c>
      <c r="Q1011" s="379">
        <v>329</v>
      </c>
      <c r="R1011" s="379"/>
      <c r="S1011" s="379"/>
      <c r="T1011" s="379"/>
      <c r="U1011" s="379"/>
      <c r="V1011" s="380">
        <v>7272.92</v>
      </c>
      <c r="W1011" s="381"/>
      <c r="X1011" s="379"/>
      <c r="Y1011" s="379"/>
      <c r="Z1011" s="379">
        <v>0</v>
      </c>
      <c r="AA1011" s="379"/>
      <c r="AB1011" s="380">
        <f t="shared" si="14"/>
        <v>0</v>
      </c>
    </row>
    <row r="1012" spans="1:28" outlineLevel="1" x14ac:dyDescent="0.3">
      <c r="A1012" s="379"/>
      <c r="B1012" s="384" t="s">
        <v>3198</v>
      </c>
      <c r="C1012" s="379"/>
      <c r="D1012" s="379"/>
      <c r="E1012" s="379"/>
      <c r="F1012" s="379"/>
      <c r="G1012" s="383"/>
      <c r="H1012" s="379"/>
      <c r="I1012" s="379"/>
      <c r="J1012" s="379"/>
      <c r="K1012" s="379"/>
      <c r="L1012" s="379"/>
      <c r="M1012" s="379"/>
      <c r="N1012" s="379"/>
      <c r="O1012" s="379"/>
      <c r="P1012" s="379"/>
      <c r="Q1012" s="379"/>
      <c r="R1012" s="379"/>
      <c r="S1012" s="379"/>
      <c r="T1012" s="379"/>
      <c r="U1012" s="379"/>
      <c r="V1012" s="380">
        <f>SUBTOTAL(9,V1000:V1011)</f>
        <v>106293.27999999998</v>
      </c>
      <c r="W1012" s="381">
        <f>SUBTOTAL(9,W1000:W1011)</f>
        <v>0</v>
      </c>
      <c r="X1012" s="379"/>
      <c r="Y1012" s="379"/>
      <c r="Z1012" s="379"/>
      <c r="AA1012" s="379"/>
      <c r="AB1012" s="380">
        <f>SUBTOTAL(9,AB1000:AB1011)</f>
        <v>0</v>
      </c>
    </row>
    <row r="1013" spans="1:28" outlineLevel="2" x14ac:dyDescent="0.3">
      <c r="A1013" s="379">
        <v>654</v>
      </c>
      <c r="B1013" s="379">
        <v>981322</v>
      </c>
      <c r="C1013" s="379" t="s">
        <v>1373</v>
      </c>
      <c r="D1013" s="379">
        <v>2565111</v>
      </c>
      <c r="E1013" s="379" t="s">
        <v>2323</v>
      </c>
      <c r="F1013" s="379" t="s">
        <v>2310</v>
      </c>
      <c r="G1013" s="383">
        <v>42887</v>
      </c>
      <c r="H1013" s="379">
        <v>206.5</v>
      </c>
      <c r="I1013" s="379">
        <v>7.33</v>
      </c>
      <c r="J1013" s="379">
        <v>27.88</v>
      </c>
      <c r="K1013" s="379">
        <v>15.48</v>
      </c>
      <c r="L1013" s="379"/>
      <c r="M1013" s="379"/>
      <c r="N1013" s="379"/>
      <c r="O1013" s="379"/>
      <c r="P1013" s="379">
        <v>206.5</v>
      </c>
      <c r="Q1013" s="379"/>
      <c r="R1013" s="379"/>
      <c r="S1013" s="379"/>
      <c r="T1013" s="379"/>
      <c r="U1013" s="379"/>
      <c r="V1013" s="380">
        <v>257.19</v>
      </c>
      <c r="W1013" s="381"/>
      <c r="X1013" s="379"/>
      <c r="Y1013" s="379"/>
      <c r="Z1013" s="379">
        <v>5821001</v>
      </c>
      <c r="AA1013" s="379" t="s">
        <v>2427</v>
      </c>
      <c r="AB1013" s="380">
        <f t="shared" si="14"/>
        <v>0</v>
      </c>
    </row>
    <row r="1014" spans="1:28" outlineLevel="2" x14ac:dyDescent="0.3">
      <c r="A1014" s="379">
        <v>654</v>
      </c>
      <c r="B1014" s="379">
        <v>981322</v>
      </c>
      <c r="C1014" s="379" t="s">
        <v>1373</v>
      </c>
      <c r="D1014" s="379">
        <v>3655494</v>
      </c>
      <c r="E1014" s="379" t="s">
        <v>2792</v>
      </c>
      <c r="F1014" s="379" t="s">
        <v>2793</v>
      </c>
      <c r="G1014" s="383">
        <v>42826</v>
      </c>
      <c r="H1014" s="379">
        <v>991</v>
      </c>
      <c r="I1014" s="379">
        <v>35.18</v>
      </c>
      <c r="J1014" s="379">
        <v>119.48</v>
      </c>
      <c r="K1014" s="379">
        <v>74.34</v>
      </c>
      <c r="L1014" s="379"/>
      <c r="M1014" s="379"/>
      <c r="N1014" s="379"/>
      <c r="O1014" s="379"/>
      <c r="P1014" s="379">
        <v>885</v>
      </c>
      <c r="Q1014" s="379">
        <v>106</v>
      </c>
      <c r="R1014" s="379"/>
      <c r="S1014" s="379"/>
      <c r="T1014" s="379"/>
      <c r="U1014" s="379"/>
      <c r="V1014" s="380">
        <v>1220</v>
      </c>
      <c r="W1014" s="381"/>
      <c r="X1014" s="379"/>
      <c r="Y1014" s="379"/>
      <c r="Z1014" s="379">
        <v>1027</v>
      </c>
      <c r="AA1014" s="379" t="s">
        <v>2383</v>
      </c>
      <c r="AB1014" s="380">
        <f t="shared" si="14"/>
        <v>0</v>
      </c>
    </row>
    <row r="1015" spans="1:28" outlineLevel="2" x14ac:dyDescent="0.3">
      <c r="A1015" s="379">
        <v>654</v>
      </c>
      <c r="B1015" s="379">
        <v>981322</v>
      </c>
      <c r="C1015" s="379" t="s">
        <v>1373</v>
      </c>
      <c r="D1015" s="379">
        <v>30797725</v>
      </c>
      <c r="E1015" s="379" t="s">
        <v>2922</v>
      </c>
      <c r="F1015" s="379" t="s">
        <v>2615</v>
      </c>
      <c r="G1015" s="383">
        <v>43282</v>
      </c>
      <c r="H1015" s="379">
        <v>1650</v>
      </c>
      <c r="I1015" s="379">
        <v>58.58</v>
      </c>
      <c r="J1015" s="379"/>
      <c r="K1015" s="379">
        <v>123.75</v>
      </c>
      <c r="L1015" s="379"/>
      <c r="M1015" s="379"/>
      <c r="N1015" s="379"/>
      <c r="O1015" s="379"/>
      <c r="P1015" s="379">
        <v>1534</v>
      </c>
      <c r="Q1015" s="379">
        <v>116</v>
      </c>
      <c r="R1015" s="379"/>
      <c r="S1015" s="379"/>
      <c r="T1015" s="379"/>
      <c r="U1015" s="379"/>
      <c r="V1015" s="380">
        <v>1832.33</v>
      </c>
      <c r="W1015" s="381"/>
      <c r="X1015" s="379"/>
      <c r="Y1015" s="379"/>
      <c r="Z1015" s="379">
        <v>5931001</v>
      </c>
      <c r="AA1015" s="379" t="s">
        <v>2320</v>
      </c>
      <c r="AB1015" s="380">
        <f t="shared" si="14"/>
        <v>0</v>
      </c>
    </row>
    <row r="1016" spans="1:28" outlineLevel="1" x14ac:dyDescent="0.3">
      <c r="A1016" s="379"/>
      <c r="B1016" s="384" t="s">
        <v>3199</v>
      </c>
      <c r="C1016" s="379"/>
      <c r="D1016" s="379"/>
      <c r="E1016" s="379"/>
      <c r="F1016" s="379"/>
      <c r="G1016" s="383"/>
      <c r="H1016" s="379"/>
      <c r="I1016" s="379"/>
      <c r="J1016" s="379"/>
      <c r="K1016" s="379"/>
      <c r="L1016" s="379"/>
      <c r="M1016" s="379"/>
      <c r="N1016" s="379"/>
      <c r="O1016" s="379"/>
      <c r="P1016" s="379"/>
      <c r="Q1016" s="379"/>
      <c r="R1016" s="379"/>
      <c r="S1016" s="379"/>
      <c r="T1016" s="379"/>
      <c r="U1016" s="379"/>
      <c r="V1016" s="380">
        <f>SUBTOTAL(9,V1013:V1015)</f>
        <v>3309.52</v>
      </c>
      <c r="W1016" s="381">
        <f>SUBTOTAL(9,W1013:W1015)</f>
        <v>0</v>
      </c>
      <c r="X1016" s="379"/>
      <c r="Y1016" s="379"/>
      <c r="Z1016" s="379"/>
      <c r="AA1016" s="379"/>
      <c r="AB1016" s="380">
        <f>SUBTOTAL(9,AB1013:AB1015)</f>
        <v>0</v>
      </c>
    </row>
    <row r="1017" spans="1:28" outlineLevel="2" x14ac:dyDescent="0.3">
      <c r="A1017" s="379">
        <v>654</v>
      </c>
      <c r="B1017" s="379">
        <v>981323</v>
      </c>
      <c r="C1017" s="379" t="s">
        <v>1393</v>
      </c>
      <c r="D1017" s="379">
        <v>3364666</v>
      </c>
      <c r="E1017" s="379" t="s">
        <v>3200</v>
      </c>
      <c r="F1017" s="379" t="s">
        <v>2866</v>
      </c>
      <c r="G1017" s="383">
        <v>43435</v>
      </c>
      <c r="H1017" s="379">
        <v>258</v>
      </c>
      <c r="I1017" s="379">
        <v>9.16</v>
      </c>
      <c r="J1017" s="379">
        <v>31.86</v>
      </c>
      <c r="K1017" s="379">
        <v>19.399999999999999</v>
      </c>
      <c r="L1017" s="379"/>
      <c r="M1017" s="379"/>
      <c r="N1017" s="379"/>
      <c r="O1017" s="379"/>
      <c r="P1017" s="379">
        <v>236</v>
      </c>
      <c r="Q1017" s="379">
        <v>22</v>
      </c>
      <c r="R1017" s="379"/>
      <c r="S1017" s="379"/>
      <c r="T1017" s="379"/>
      <c r="U1017" s="379"/>
      <c r="V1017" s="380">
        <v>318.42</v>
      </c>
      <c r="W1017" s="381"/>
      <c r="X1017" s="379"/>
      <c r="Y1017" s="379"/>
      <c r="Z1017" s="379">
        <v>5923001</v>
      </c>
      <c r="AA1017" s="379" t="s">
        <v>2354</v>
      </c>
      <c r="AB1017" s="380">
        <f t="shared" si="14"/>
        <v>0</v>
      </c>
    </row>
    <row r="1018" spans="1:28" outlineLevel="2" x14ac:dyDescent="0.3">
      <c r="A1018" s="379">
        <v>654</v>
      </c>
      <c r="B1018" s="379">
        <v>981323</v>
      </c>
      <c r="C1018" s="379" t="s">
        <v>1393</v>
      </c>
      <c r="D1018" s="379">
        <v>6565761</v>
      </c>
      <c r="E1018" s="379" t="s">
        <v>2674</v>
      </c>
      <c r="F1018" s="379" t="s">
        <v>2633</v>
      </c>
      <c r="G1018" s="383">
        <v>43466</v>
      </c>
      <c r="H1018" s="379">
        <v>2981</v>
      </c>
      <c r="I1018" s="379">
        <v>105.82</v>
      </c>
      <c r="J1018" s="379">
        <v>382.32</v>
      </c>
      <c r="K1018" s="379">
        <v>223.6</v>
      </c>
      <c r="L1018" s="379"/>
      <c r="M1018" s="379"/>
      <c r="N1018" s="379"/>
      <c r="O1018" s="379"/>
      <c r="P1018" s="379">
        <v>2832</v>
      </c>
      <c r="Q1018" s="379">
        <v>149</v>
      </c>
      <c r="R1018" s="379"/>
      <c r="S1018" s="379"/>
      <c r="T1018" s="379"/>
      <c r="U1018" s="379"/>
      <c r="V1018" s="380">
        <v>3692.74</v>
      </c>
      <c r="W1018" s="381"/>
      <c r="X1018" s="379"/>
      <c r="Y1018" s="379"/>
      <c r="Z1018" s="379">
        <v>5923001</v>
      </c>
      <c r="AA1018" s="379" t="s">
        <v>2354</v>
      </c>
      <c r="AB1018" s="380">
        <f t="shared" si="14"/>
        <v>0</v>
      </c>
    </row>
    <row r="1019" spans="1:28" outlineLevel="1" x14ac:dyDescent="0.3">
      <c r="A1019" s="379"/>
      <c r="B1019" s="384" t="s">
        <v>3201</v>
      </c>
      <c r="C1019" s="379"/>
      <c r="D1019" s="379"/>
      <c r="E1019" s="379"/>
      <c r="F1019" s="379"/>
      <c r="G1019" s="383"/>
      <c r="H1019" s="379"/>
      <c r="I1019" s="379"/>
      <c r="J1019" s="379"/>
      <c r="K1019" s="379"/>
      <c r="L1019" s="379"/>
      <c r="M1019" s="379"/>
      <c r="N1019" s="379"/>
      <c r="O1019" s="379"/>
      <c r="P1019" s="379"/>
      <c r="Q1019" s="379"/>
      <c r="R1019" s="379"/>
      <c r="S1019" s="379"/>
      <c r="T1019" s="379"/>
      <c r="U1019" s="379"/>
      <c r="V1019" s="380">
        <f>SUBTOTAL(9,V1017:V1018)</f>
        <v>4011.16</v>
      </c>
      <c r="W1019" s="381">
        <f>SUBTOTAL(9,W1017:W1018)</f>
        <v>0</v>
      </c>
      <c r="X1019" s="379"/>
      <c r="Y1019" s="379"/>
      <c r="Z1019" s="379"/>
      <c r="AA1019" s="379"/>
      <c r="AB1019" s="380">
        <f>SUBTOTAL(9,AB1017:AB1018)</f>
        <v>0</v>
      </c>
    </row>
    <row r="1020" spans="1:28" outlineLevel="2" x14ac:dyDescent="0.3">
      <c r="A1020" s="379">
        <v>654</v>
      </c>
      <c r="B1020" s="379">
        <v>981324</v>
      </c>
      <c r="C1020" s="379" t="s">
        <v>1402</v>
      </c>
      <c r="D1020" s="379">
        <v>5716973</v>
      </c>
      <c r="E1020" s="379" t="s">
        <v>2835</v>
      </c>
      <c r="F1020" s="379" t="s">
        <v>2445</v>
      </c>
      <c r="G1020" s="383">
        <v>42826</v>
      </c>
      <c r="H1020" s="379">
        <v>2777</v>
      </c>
      <c r="I1020" s="379">
        <v>98.58</v>
      </c>
      <c r="J1020" s="379">
        <v>350.46</v>
      </c>
      <c r="K1020" s="379">
        <v>208.3</v>
      </c>
      <c r="L1020" s="379"/>
      <c r="M1020" s="379"/>
      <c r="N1020" s="379"/>
      <c r="O1020" s="379"/>
      <c r="P1020" s="379">
        <v>2596</v>
      </c>
      <c r="Q1020" s="379">
        <v>181</v>
      </c>
      <c r="R1020" s="379"/>
      <c r="S1020" s="379"/>
      <c r="T1020" s="379"/>
      <c r="U1020" s="379"/>
      <c r="V1020" s="380">
        <v>3434.34</v>
      </c>
      <c r="W1020" s="381"/>
      <c r="X1020" s="379"/>
      <c r="Y1020" s="379"/>
      <c r="Z1020" s="379">
        <v>5923001</v>
      </c>
      <c r="AA1020" s="379" t="s">
        <v>2354</v>
      </c>
      <c r="AB1020" s="380">
        <f t="shared" si="14"/>
        <v>0</v>
      </c>
    </row>
    <row r="1021" spans="1:28" outlineLevel="1" x14ac:dyDescent="0.3">
      <c r="A1021" s="379"/>
      <c r="B1021" s="384" t="s">
        <v>3202</v>
      </c>
      <c r="C1021" s="379"/>
      <c r="D1021" s="379"/>
      <c r="E1021" s="379"/>
      <c r="F1021" s="379"/>
      <c r="G1021" s="383"/>
      <c r="H1021" s="379"/>
      <c r="I1021" s="379"/>
      <c r="J1021" s="379"/>
      <c r="K1021" s="379"/>
      <c r="L1021" s="379"/>
      <c r="M1021" s="379"/>
      <c r="N1021" s="379"/>
      <c r="O1021" s="379"/>
      <c r="P1021" s="379"/>
      <c r="Q1021" s="379"/>
      <c r="R1021" s="379"/>
      <c r="S1021" s="379"/>
      <c r="T1021" s="379"/>
      <c r="U1021" s="379"/>
      <c r="V1021" s="380">
        <f>SUBTOTAL(9,V1020:V1020)</f>
        <v>3434.34</v>
      </c>
      <c r="W1021" s="381">
        <f>SUBTOTAL(9,W1020:W1020)</f>
        <v>0</v>
      </c>
      <c r="X1021" s="379"/>
      <c r="Y1021" s="379"/>
      <c r="Z1021" s="379"/>
      <c r="AA1021" s="379"/>
      <c r="AB1021" s="380">
        <f>SUBTOTAL(9,AB1020:AB1020)</f>
        <v>0</v>
      </c>
    </row>
    <row r="1022" spans="1:28" outlineLevel="2" x14ac:dyDescent="0.3">
      <c r="A1022" s="379">
        <v>654</v>
      </c>
      <c r="B1022" s="379">
        <v>981325</v>
      </c>
      <c r="C1022" s="379" t="s">
        <v>1416</v>
      </c>
      <c r="D1022" s="379">
        <v>2459743</v>
      </c>
      <c r="E1022" s="379" t="s">
        <v>2770</v>
      </c>
      <c r="F1022" s="379" t="s">
        <v>2346</v>
      </c>
      <c r="G1022" s="383">
        <v>41395</v>
      </c>
      <c r="H1022" s="379">
        <v>2486</v>
      </c>
      <c r="I1022" s="379">
        <v>88.25</v>
      </c>
      <c r="J1022" s="379">
        <v>302.67</v>
      </c>
      <c r="K1022" s="379">
        <v>186.47</v>
      </c>
      <c r="L1022" s="379"/>
      <c r="M1022" s="379"/>
      <c r="N1022" s="379"/>
      <c r="O1022" s="379"/>
      <c r="P1022" s="379">
        <v>2242</v>
      </c>
      <c r="Q1022" s="379">
        <v>244</v>
      </c>
      <c r="R1022" s="379"/>
      <c r="S1022" s="379"/>
      <c r="T1022" s="379"/>
      <c r="U1022" s="379"/>
      <c r="V1022" s="380">
        <v>3063.39</v>
      </c>
      <c r="W1022" s="381"/>
      <c r="X1022" s="379"/>
      <c r="Y1022" s="379"/>
      <c r="Z1022" s="379">
        <v>5923001</v>
      </c>
      <c r="AA1022" s="379" t="s">
        <v>2354</v>
      </c>
      <c r="AB1022" s="380">
        <f t="shared" si="14"/>
        <v>0</v>
      </c>
    </row>
    <row r="1023" spans="1:28" outlineLevel="1" x14ac:dyDescent="0.3">
      <c r="A1023" s="379"/>
      <c r="B1023" s="384" t="s">
        <v>3203</v>
      </c>
      <c r="C1023" s="379"/>
      <c r="D1023" s="379"/>
      <c r="E1023" s="379"/>
      <c r="F1023" s="379"/>
      <c r="G1023" s="383"/>
      <c r="H1023" s="379"/>
      <c r="I1023" s="379"/>
      <c r="J1023" s="379"/>
      <c r="K1023" s="379"/>
      <c r="L1023" s="379"/>
      <c r="M1023" s="379"/>
      <c r="N1023" s="379"/>
      <c r="O1023" s="379"/>
      <c r="P1023" s="379"/>
      <c r="Q1023" s="379"/>
      <c r="R1023" s="379"/>
      <c r="S1023" s="379"/>
      <c r="T1023" s="379"/>
      <c r="U1023" s="379"/>
      <c r="V1023" s="380">
        <f>SUBTOTAL(9,V1022:V1022)</f>
        <v>3063.39</v>
      </c>
      <c r="W1023" s="381">
        <f>SUBTOTAL(9,W1022:W1022)</f>
        <v>0</v>
      </c>
      <c r="X1023" s="379"/>
      <c r="Y1023" s="379"/>
      <c r="Z1023" s="379"/>
      <c r="AA1023" s="379"/>
      <c r="AB1023" s="380">
        <f>SUBTOTAL(9,AB1022:AB1022)</f>
        <v>0</v>
      </c>
    </row>
    <row r="1024" spans="1:28" outlineLevel="2" x14ac:dyDescent="0.3">
      <c r="A1024" s="379">
        <v>431</v>
      </c>
      <c r="B1024" s="379">
        <v>981326</v>
      </c>
      <c r="C1024" s="379" t="s">
        <v>1425</v>
      </c>
      <c r="D1024" s="379">
        <v>6739119</v>
      </c>
      <c r="E1024" s="379" t="s">
        <v>2720</v>
      </c>
      <c r="F1024" s="379" t="s">
        <v>2696</v>
      </c>
      <c r="G1024" s="383">
        <v>43101</v>
      </c>
      <c r="H1024" s="379">
        <v>1416</v>
      </c>
      <c r="I1024" s="379">
        <v>46.01</v>
      </c>
      <c r="J1024" s="379">
        <v>191.16</v>
      </c>
      <c r="K1024" s="379">
        <v>106.19</v>
      </c>
      <c r="L1024" s="379"/>
      <c r="M1024" s="379"/>
      <c r="N1024" s="379"/>
      <c r="O1024" s="379"/>
      <c r="P1024" s="379">
        <v>1416</v>
      </c>
      <c r="Q1024" s="379"/>
      <c r="R1024" s="379"/>
      <c r="S1024" s="379"/>
      <c r="T1024" s="379"/>
      <c r="U1024" s="379"/>
      <c r="V1024" s="380">
        <v>1759.36</v>
      </c>
      <c r="W1024" s="381"/>
      <c r="X1024" s="379"/>
      <c r="Y1024" s="379"/>
      <c r="Z1024" s="379">
        <v>5923001</v>
      </c>
      <c r="AA1024" s="379" t="s">
        <v>2354</v>
      </c>
      <c r="AB1024" s="380">
        <f t="shared" si="14"/>
        <v>0</v>
      </c>
    </row>
    <row r="1025" spans="1:28" outlineLevel="1" x14ac:dyDescent="0.3">
      <c r="A1025" s="379"/>
      <c r="B1025" s="384" t="s">
        <v>3204</v>
      </c>
      <c r="C1025" s="379"/>
      <c r="D1025" s="379"/>
      <c r="E1025" s="379"/>
      <c r="F1025" s="379"/>
      <c r="G1025" s="383"/>
      <c r="H1025" s="379"/>
      <c r="I1025" s="379"/>
      <c r="J1025" s="379"/>
      <c r="K1025" s="379"/>
      <c r="L1025" s="379"/>
      <c r="M1025" s="379"/>
      <c r="N1025" s="379"/>
      <c r="O1025" s="379"/>
      <c r="P1025" s="379"/>
      <c r="Q1025" s="379"/>
      <c r="R1025" s="379"/>
      <c r="S1025" s="379"/>
      <c r="T1025" s="379"/>
      <c r="U1025" s="379"/>
      <c r="V1025" s="380">
        <f>SUBTOTAL(9,V1024:V1024)</f>
        <v>1759.36</v>
      </c>
      <c r="W1025" s="381">
        <f>SUBTOTAL(9,W1024:W1024)</f>
        <v>0</v>
      </c>
      <c r="X1025" s="379"/>
      <c r="Y1025" s="379"/>
      <c r="Z1025" s="379"/>
      <c r="AA1025" s="379"/>
      <c r="AB1025" s="380">
        <f>SUBTOTAL(9,AB1024:AB1024)</f>
        <v>0</v>
      </c>
    </row>
    <row r="1026" spans="1:28" outlineLevel="2" x14ac:dyDescent="0.3">
      <c r="A1026" s="379">
        <v>654</v>
      </c>
      <c r="B1026" s="379">
        <v>981327</v>
      </c>
      <c r="C1026" s="379" t="s">
        <v>1431</v>
      </c>
      <c r="D1026" s="379">
        <v>3655494</v>
      </c>
      <c r="E1026" s="379" t="s">
        <v>2792</v>
      </c>
      <c r="F1026" s="379" t="s">
        <v>2793</v>
      </c>
      <c r="G1026" s="383">
        <v>42826</v>
      </c>
      <c r="H1026" s="379">
        <v>1748.5</v>
      </c>
      <c r="I1026" s="379">
        <v>62.09</v>
      </c>
      <c r="J1026" s="379">
        <v>203.11</v>
      </c>
      <c r="K1026" s="379">
        <v>131.13</v>
      </c>
      <c r="L1026" s="379"/>
      <c r="M1026" s="379"/>
      <c r="N1026" s="379"/>
      <c r="O1026" s="379"/>
      <c r="P1026" s="379">
        <v>1504.5</v>
      </c>
      <c r="Q1026" s="379">
        <v>244</v>
      </c>
      <c r="R1026" s="379"/>
      <c r="S1026" s="379"/>
      <c r="T1026" s="379"/>
      <c r="U1026" s="379"/>
      <c r="V1026" s="380">
        <v>2144.83</v>
      </c>
      <c r="W1026" s="381"/>
      <c r="X1026" s="379"/>
      <c r="Y1026" s="379"/>
      <c r="Z1026" s="379">
        <v>1027</v>
      </c>
      <c r="AA1026" s="379" t="s">
        <v>2383</v>
      </c>
      <c r="AB1026" s="380">
        <f t="shared" si="14"/>
        <v>0</v>
      </c>
    </row>
    <row r="1027" spans="1:28" outlineLevel="1" x14ac:dyDescent="0.3">
      <c r="A1027" s="379"/>
      <c r="B1027" s="384" t="s">
        <v>3205</v>
      </c>
      <c r="C1027" s="379"/>
      <c r="D1027" s="379"/>
      <c r="E1027" s="379"/>
      <c r="F1027" s="379"/>
      <c r="G1027" s="383"/>
      <c r="H1027" s="379"/>
      <c r="I1027" s="379"/>
      <c r="J1027" s="379"/>
      <c r="K1027" s="379"/>
      <c r="L1027" s="379"/>
      <c r="M1027" s="379"/>
      <c r="N1027" s="379"/>
      <c r="O1027" s="379"/>
      <c r="P1027" s="379"/>
      <c r="Q1027" s="379"/>
      <c r="R1027" s="379"/>
      <c r="S1027" s="379"/>
      <c r="T1027" s="379"/>
      <c r="U1027" s="379"/>
      <c r="V1027" s="380">
        <f>SUBTOTAL(9,V1026:V1026)</f>
        <v>2144.83</v>
      </c>
      <c r="W1027" s="381">
        <f>SUBTOTAL(9,W1026:W1026)</f>
        <v>0</v>
      </c>
      <c r="X1027" s="379"/>
      <c r="Y1027" s="379"/>
      <c r="Z1027" s="379"/>
      <c r="AA1027" s="379"/>
      <c r="AB1027" s="380">
        <f>SUBTOTAL(9,AB1026:AB1026)</f>
        <v>0</v>
      </c>
    </row>
    <row r="1028" spans="1:28" outlineLevel="2" x14ac:dyDescent="0.3">
      <c r="A1028" s="379">
        <v>654</v>
      </c>
      <c r="B1028" s="379">
        <v>981328</v>
      </c>
      <c r="C1028" s="379" t="s">
        <v>1441</v>
      </c>
      <c r="D1028" s="379">
        <v>5272074</v>
      </c>
      <c r="E1028" s="379" t="s">
        <v>2415</v>
      </c>
      <c r="F1028" s="379" t="s">
        <v>2410</v>
      </c>
      <c r="G1028" s="383">
        <v>43344</v>
      </c>
      <c r="H1028" s="379">
        <v>8264.75</v>
      </c>
      <c r="I1028" s="379">
        <v>293.39</v>
      </c>
      <c r="J1028" s="379">
        <v>1061.3399999999999</v>
      </c>
      <c r="K1028" s="379">
        <v>619.86</v>
      </c>
      <c r="L1028" s="379"/>
      <c r="M1028" s="379"/>
      <c r="N1028" s="379"/>
      <c r="O1028" s="379"/>
      <c r="P1028" s="379">
        <v>7861.75</v>
      </c>
      <c r="Q1028" s="379">
        <v>403</v>
      </c>
      <c r="R1028" s="379"/>
      <c r="S1028" s="379"/>
      <c r="T1028" s="379"/>
      <c r="U1028" s="379"/>
      <c r="V1028" s="380">
        <v>10239.34</v>
      </c>
      <c r="W1028" s="381"/>
      <c r="X1028" s="379"/>
      <c r="Y1028" s="379"/>
      <c r="Z1028" s="379">
        <v>1027</v>
      </c>
      <c r="AA1028" s="379" t="s">
        <v>2383</v>
      </c>
      <c r="AB1028" s="380">
        <f t="shared" si="14"/>
        <v>0</v>
      </c>
    </row>
    <row r="1029" spans="1:28" outlineLevel="2" x14ac:dyDescent="0.3">
      <c r="A1029" s="379">
        <v>654</v>
      </c>
      <c r="B1029" s="379">
        <v>981328</v>
      </c>
      <c r="C1029" s="379" t="s">
        <v>1441</v>
      </c>
      <c r="D1029" s="379">
        <v>20471328</v>
      </c>
      <c r="E1029" s="379" t="s">
        <v>2873</v>
      </c>
      <c r="F1029" s="379" t="s">
        <v>2512</v>
      </c>
      <c r="G1029" s="383">
        <v>43435</v>
      </c>
      <c r="H1029" s="379">
        <v>2593.75</v>
      </c>
      <c r="I1029" s="379">
        <v>92.08</v>
      </c>
      <c r="J1029" s="379">
        <v>328.56</v>
      </c>
      <c r="K1029" s="379">
        <v>194.55</v>
      </c>
      <c r="L1029" s="379"/>
      <c r="M1029" s="379"/>
      <c r="N1029" s="379"/>
      <c r="O1029" s="379"/>
      <c r="P1029" s="379">
        <v>2433.75</v>
      </c>
      <c r="Q1029" s="379">
        <v>160</v>
      </c>
      <c r="R1029" s="379"/>
      <c r="S1029" s="379"/>
      <c r="T1029" s="379"/>
      <c r="U1029" s="379"/>
      <c r="V1029" s="380">
        <v>3208.94</v>
      </c>
      <c r="W1029" s="381"/>
      <c r="X1029" s="379"/>
      <c r="Y1029" s="379"/>
      <c r="Z1029" s="379">
        <v>1027</v>
      </c>
      <c r="AA1029" s="379" t="s">
        <v>2383</v>
      </c>
      <c r="AB1029" s="380">
        <f t="shared" si="14"/>
        <v>0</v>
      </c>
    </row>
    <row r="1030" spans="1:28" outlineLevel="1" x14ac:dyDescent="0.3">
      <c r="A1030" s="379"/>
      <c r="B1030" s="384" t="s">
        <v>3206</v>
      </c>
      <c r="C1030" s="379"/>
      <c r="D1030" s="379"/>
      <c r="E1030" s="379"/>
      <c r="F1030" s="379"/>
      <c r="G1030" s="383"/>
      <c r="H1030" s="379"/>
      <c r="I1030" s="379"/>
      <c r="J1030" s="379"/>
      <c r="K1030" s="379"/>
      <c r="L1030" s="379"/>
      <c r="M1030" s="379"/>
      <c r="N1030" s="379"/>
      <c r="O1030" s="379"/>
      <c r="P1030" s="379"/>
      <c r="Q1030" s="379"/>
      <c r="R1030" s="379"/>
      <c r="S1030" s="379"/>
      <c r="T1030" s="379"/>
      <c r="U1030" s="379"/>
      <c r="V1030" s="380">
        <f>SUBTOTAL(9,V1028:V1029)</f>
        <v>13448.28</v>
      </c>
      <c r="W1030" s="381">
        <f>SUBTOTAL(9,W1028:W1029)</f>
        <v>0</v>
      </c>
      <c r="X1030" s="379"/>
      <c r="Y1030" s="379"/>
      <c r="Z1030" s="379"/>
      <c r="AA1030" s="379"/>
      <c r="AB1030" s="380">
        <f>SUBTOTAL(9,AB1028:AB1029)</f>
        <v>0</v>
      </c>
    </row>
    <row r="1031" spans="1:28" outlineLevel="2" x14ac:dyDescent="0.3">
      <c r="A1031" s="379">
        <v>431</v>
      </c>
      <c r="B1031" s="379">
        <v>981330</v>
      </c>
      <c r="C1031" s="379" t="s">
        <v>3207</v>
      </c>
      <c r="D1031" s="379">
        <v>2200401</v>
      </c>
      <c r="E1031" s="379" t="s">
        <v>2922</v>
      </c>
      <c r="F1031" s="379" t="s">
        <v>2349</v>
      </c>
      <c r="G1031" s="383">
        <v>43435</v>
      </c>
      <c r="H1031" s="379">
        <v>590</v>
      </c>
      <c r="I1031" s="379">
        <v>20.94</v>
      </c>
      <c r="J1031" s="379">
        <v>79.66</v>
      </c>
      <c r="K1031" s="379">
        <v>44.24</v>
      </c>
      <c r="L1031" s="379"/>
      <c r="M1031" s="379">
        <v>2.36</v>
      </c>
      <c r="N1031" s="379"/>
      <c r="O1031" s="379"/>
      <c r="P1031" s="379">
        <v>590</v>
      </c>
      <c r="Q1031" s="379"/>
      <c r="R1031" s="379"/>
      <c r="S1031" s="379"/>
      <c r="T1031" s="379"/>
      <c r="U1031" s="379"/>
      <c r="V1031" s="380">
        <v>737.2</v>
      </c>
      <c r="W1031" s="381"/>
      <c r="X1031" s="379"/>
      <c r="Y1031" s="379"/>
      <c r="Z1031" s="379">
        <v>5921001</v>
      </c>
      <c r="AA1031" s="379" t="s">
        <v>2374</v>
      </c>
      <c r="AB1031" s="380">
        <f t="shared" si="14"/>
        <v>0</v>
      </c>
    </row>
    <row r="1032" spans="1:28" outlineLevel="2" x14ac:dyDescent="0.3">
      <c r="A1032" s="379">
        <v>431</v>
      </c>
      <c r="B1032" s="379">
        <v>981330</v>
      </c>
      <c r="C1032" s="379" t="s">
        <v>3207</v>
      </c>
      <c r="D1032" s="379">
        <v>6739119</v>
      </c>
      <c r="E1032" s="379" t="s">
        <v>2720</v>
      </c>
      <c r="F1032" s="379" t="s">
        <v>2696</v>
      </c>
      <c r="G1032" s="383">
        <v>43101</v>
      </c>
      <c r="H1032" s="379">
        <v>740</v>
      </c>
      <c r="I1032" s="379">
        <v>24.05</v>
      </c>
      <c r="J1032" s="379">
        <v>47.79</v>
      </c>
      <c r="K1032" s="379">
        <v>55.5</v>
      </c>
      <c r="L1032" s="379"/>
      <c r="M1032" s="379"/>
      <c r="N1032" s="379"/>
      <c r="O1032" s="379"/>
      <c r="P1032" s="379">
        <v>708</v>
      </c>
      <c r="Q1032" s="379">
        <v>32</v>
      </c>
      <c r="R1032" s="379"/>
      <c r="S1032" s="379"/>
      <c r="T1032" s="379"/>
      <c r="U1032" s="379"/>
      <c r="V1032" s="380">
        <v>867.34</v>
      </c>
      <c r="W1032" s="381"/>
      <c r="X1032" s="379"/>
      <c r="Y1032" s="379"/>
      <c r="Z1032" s="379">
        <v>5923001</v>
      </c>
      <c r="AA1032" s="379" t="s">
        <v>2354</v>
      </c>
      <c r="AB1032" s="380">
        <f t="shared" si="14"/>
        <v>0</v>
      </c>
    </row>
    <row r="1033" spans="1:28" outlineLevel="2" x14ac:dyDescent="0.3">
      <c r="A1033" s="379">
        <v>654</v>
      </c>
      <c r="B1033" s="379">
        <v>981330</v>
      </c>
      <c r="C1033" s="379" t="s">
        <v>3207</v>
      </c>
      <c r="D1033" s="379">
        <v>4059959</v>
      </c>
      <c r="E1033" s="379" t="s">
        <v>3208</v>
      </c>
      <c r="F1033" s="379" t="s">
        <v>3209</v>
      </c>
      <c r="G1033" s="383">
        <v>43525</v>
      </c>
      <c r="H1033" s="379">
        <v>217.5</v>
      </c>
      <c r="I1033" s="379">
        <v>7.72</v>
      </c>
      <c r="J1033" s="379">
        <v>27.88</v>
      </c>
      <c r="K1033" s="379">
        <v>16.3</v>
      </c>
      <c r="L1033" s="379"/>
      <c r="M1033" s="379"/>
      <c r="N1033" s="379"/>
      <c r="O1033" s="379"/>
      <c r="P1033" s="379">
        <v>206.5</v>
      </c>
      <c r="Q1033" s="379">
        <v>11</v>
      </c>
      <c r="R1033" s="379"/>
      <c r="S1033" s="379"/>
      <c r="T1033" s="379"/>
      <c r="U1033" s="379"/>
      <c r="V1033" s="380">
        <v>269.39999999999998</v>
      </c>
      <c r="W1033" s="381"/>
      <c r="X1033" s="379"/>
      <c r="Y1033" s="379"/>
      <c r="Z1033" s="379">
        <v>1027</v>
      </c>
      <c r="AA1033" s="379" t="s">
        <v>2383</v>
      </c>
      <c r="AB1033" s="380">
        <f t="shared" si="14"/>
        <v>0</v>
      </c>
    </row>
    <row r="1034" spans="1:28" outlineLevel="2" x14ac:dyDescent="0.3">
      <c r="A1034" s="379">
        <v>654</v>
      </c>
      <c r="B1034" s="379">
        <v>981330</v>
      </c>
      <c r="C1034" s="379" t="s">
        <v>3207</v>
      </c>
      <c r="D1034" s="379">
        <v>5272074</v>
      </c>
      <c r="E1034" s="379" t="s">
        <v>2415</v>
      </c>
      <c r="F1034" s="379" t="s">
        <v>2410</v>
      </c>
      <c r="G1034" s="383">
        <v>43344</v>
      </c>
      <c r="H1034" s="379">
        <v>2455</v>
      </c>
      <c r="I1034" s="379">
        <v>87.16</v>
      </c>
      <c r="J1034" s="379">
        <v>318.60000000000002</v>
      </c>
      <c r="K1034" s="379">
        <v>184.14</v>
      </c>
      <c r="L1034" s="379"/>
      <c r="M1034" s="379"/>
      <c r="N1034" s="379"/>
      <c r="O1034" s="379"/>
      <c r="P1034" s="379">
        <v>2360</v>
      </c>
      <c r="Q1034" s="379">
        <v>95</v>
      </c>
      <c r="R1034" s="379"/>
      <c r="S1034" s="379"/>
      <c r="T1034" s="379"/>
      <c r="U1034" s="379"/>
      <c r="V1034" s="380">
        <v>3044.9</v>
      </c>
      <c r="W1034" s="381"/>
      <c r="X1034" s="379"/>
      <c r="Y1034" s="379"/>
      <c r="Z1034" s="379">
        <v>1027</v>
      </c>
      <c r="AA1034" s="379" t="s">
        <v>2383</v>
      </c>
      <c r="AB1034" s="380">
        <f t="shared" si="14"/>
        <v>0</v>
      </c>
    </row>
    <row r="1035" spans="1:28" outlineLevel="2" x14ac:dyDescent="0.3">
      <c r="A1035" s="379">
        <v>654</v>
      </c>
      <c r="B1035" s="379">
        <v>981330</v>
      </c>
      <c r="C1035" s="379" t="s">
        <v>3207</v>
      </c>
      <c r="D1035" s="379">
        <v>20034087</v>
      </c>
      <c r="E1035" s="379" t="s">
        <v>3210</v>
      </c>
      <c r="F1035" s="379" t="s">
        <v>2622</v>
      </c>
      <c r="G1035" s="383">
        <v>42461</v>
      </c>
      <c r="H1035" s="379">
        <v>868</v>
      </c>
      <c r="I1035" s="379">
        <v>30.81</v>
      </c>
      <c r="J1035" s="379">
        <v>111.51</v>
      </c>
      <c r="K1035" s="379">
        <v>65.099999999999994</v>
      </c>
      <c r="L1035" s="379"/>
      <c r="M1035" s="379"/>
      <c r="N1035" s="379"/>
      <c r="O1035" s="379"/>
      <c r="P1035" s="379">
        <v>826</v>
      </c>
      <c r="Q1035" s="379">
        <v>42</v>
      </c>
      <c r="R1035" s="379"/>
      <c r="S1035" s="379"/>
      <c r="T1035" s="379"/>
      <c r="U1035" s="379"/>
      <c r="V1035" s="380">
        <v>1075.42</v>
      </c>
      <c r="W1035" s="381"/>
      <c r="X1035" s="379"/>
      <c r="Y1035" s="379"/>
      <c r="Z1035" s="379">
        <v>1422001</v>
      </c>
      <c r="AA1035" s="379" t="s">
        <v>2648</v>
      </c>
      <c r="AB1035" s="380">
        <f t="shared" si="14"/>
        <v>0</v>
      </c>
    </row>
    <row r="1036" spans="1:28" outlineLevel="2" x14ac:dyDescent="0.3">
      <c r="A1036" s="379">
        <v>654</v>
      </c>
      <c r="B1036" s="379">
        <v>981330</v>
      </c>
      <c r="C1036" s="379" t="s">
        <v>3207</v>
      </c>
      <c r="D1036" s="379">
        <v>30155871</v>
      </c>
      <c r="E1036" s="379" t="s">
        <v>3211</v>
      </c>
      <c r="F1036" s="379" t="s">
        <v>3212</v>
      </c>
      <c r="G1036" s="383">
        <v>43466</v>
      </c>
      <c r="H1036" s="379">
        <v>1776.5</v>
      </c>
      <c r="I1036" s="379">
        <v>63.07</v>
      </c>
      <c r="J1036" s="379">
        <v>227</v>
      </c>
      <c r="K1036" s="379">
        <v>133.25</v>
      </c>
      <c r="L1036" s="379"/>
      <c r="M1036" s="379"/>
      <c r="N1036" s="379"/>
      <c r="O1036" s="379"/>
      <c r="P1036" s="379">
        <v>1681.5</v>
      </c>
      <c r="Q1036" s="379">
        <v>95</v>
      </c>
      <c r="R1036" s="379"/>
      <c r="S1036" s="379"/>
      <c r="T1036" s="379"/>
      <c r="U1036" s="379"/>
      <c r="V1036" s="380">
        <v>2199.8200000000002</v>
      </c>
      <c r="W1036" s="381"/>
      <c r="X1036" s="379"/>
      <c r="Y1036" s="379"/>
      <c r="Z1036" s="379">
        <v>1422001</v>
      </c>
      <c r="AA1036" s="379" t="s">
        <v>2648</v>
      </c>
      <c r="AB1036" s="380">
        <f t="shared" si="14"/>
        <v>0</v>
      </c>
    </row>
    <row r="1037" spans="1:28" outlineLevel="2" x14ac:dyDescent="0.3">
      <c r="A1037" s="379">
        <v>654</v>
      </c>
      <c r="B1037" s="379">
        <v>981330</v>
      </c>
      <c r="C1037" s="379" t="s">
        <v>3207</v>
      </c>
      <c r="D1037" s="379">
        <v>31568891</v>
      </c>
      <c r="E1037" s="379" t="s">
        <v>3213</v>
      </c>
      <c r="F1037" s="379" t="s">
        <v>3214</v>
      </c>
      <c r="G1037" s="383">
        <v>43525</v>
      </c>
      <c r="H1037" s="379">
        <v>809</v>
      </c>
      <c r="I1037" s="379">
        <v>28.72</v>
      </c>
      <c r="J1037" s="379">
        <v>103.55</v>
      </c>
      <c r="K1037" s="379">
        <v>60.7</v>
      </c>
      <c r="L1037" s="379"/>
      <c r="M1037" s="379"/>
      <c r="N1037" s="379"/>
      <c r="O1037" s="379"/>
      <c r="P1037" s="379">
        <v>767</v>
      </c>
      <c r="Q1037" s="379">
        <v>42</v>
      </c>
      <c r="R1037" s="379"/>
      <c r="S1037" s="379"/>
      <c r="T1037" s="379"/>
      <c r="U1037" s="379"/>
      <c r="V1037" s="380">
        <v>1001.97</v>
      </c>
      <c r="W1037" s="381"/>
      <c r="X1037" s="379"/>
      <c r="Y1037" s="379"/>
      <c r="Z1037" s="379">
        <v>1422001</v>
      </c>
      <c r="AA1037" s="379" t="s">
        <v>2648</v>
      </c>
      <c r="AB1037" s="380">
        <f t="shared" si="14"/>
        <v>0</v>
      </c>
    </row>
    <row r="1038" spans="1:28" outlineLevel="1" x14ac:dyDescent="0.3">
      <c r="A1038" s="379"/>
      <c r="B1038" s="384" t="s">
        <v>3215</v>
      </c>
      <c r="C1038" s="379"/>
      <c r="D1038" s="379"/>
      <c r="E1038" s="379"/>
      <c r="F1038" s="379"/>
      <c r="G1038" s="383"/>
      <c r="H1038" s="379"/>
      <c r="I1038" s="379"/>
      <c r="J1038" s="379"/>
      <c r="K1038" s="379"/>
      <c r="L1038" s="379"/>
      <c r="M1038" s="379"/>
      <c r="N1038" s="379"/>
      <c r="O1038" s="379"/>
      <c r="P1038" s="379"/>
      <c r="Q1038" s="379"/>
      <c r="R1038" s="379"/>
      <c r="S1038" s="379"/>
      <c r="T1038" s="379"/>
      <c r="U1038" s="379"/>
      <c r="V1038" s="380">
        <f>SUBTOTAL(9,V1031:V1037)</f>
        <v>9196.0499999999993</v>
      </c>
      <c r="W1038" s="381">
        <f>SUBTOTAL(9,W1031:W1037)</f>
        <v>0</v>
      </c>
      <c r="X1038" s="379"/>
      <c r="Y1038" s="379"/>
      <c r="Z1038" s="379"/>
      <c r="AA1038" s="379"/>
      <c r="AB1038" s="380">
        <f>SUBTOTAL(9,AB1031:AB1037)</f>
        <v>0</v>
      </c>
    </row>
    <row r="1039" spans="1:28" outlineLevel="2" x14ac:dyDescent="0.3">
      <c r="A1039" s="379">
        <v>654</v>
      </c>
      <c r="B1039" s="379">
        <v>981360</v>
      </c>
      <c r="C1039" s="379" t="s">
        <v>595</v>
      </c>
      <c r="D1039" s="379">
        <v>5728828</v>
      </c>
      <c r="E1039" s="379" t="s">
        <v>3216</v>
      </c>
      <c r="F1039" s="379" t="s">
        <v>3013</v>
      </c>
      <c r="G1039" s="383">
        <v>43556</v>
      </c>
      <c r="H1039" s="379">
        <v>1754</v>
      </c>
      <c r="I1039" s="379">
        <v>62.27</v>
      </c>
      <c r="J1039" s="379">
        <v>226.8</v>
      </c>
      <c r="K1039" s="379">
        <v>131.55000000000001</v>
      </c>
      <c r="L1039" s="379"/>
      <c r="M1039" s="379"/>
      <c r="N1039" s="379"/>
      <c r="O1039" s="379"/>
      <c r="P1039" s="379">
        <v>1680</v>
      </c>
      <c r="Q1039" s="379">
        <v>74</v>
      </c>
      <c r="R1039" s="379"/>
      <c r="S1039" s="379"/>
      <c r="T1039" s="379"/>
      <c r="U1039" s="379"/>
      <c r="V1039" s="380">
        <v>2174.62</v>
      </c>
      <c r="W1039" s="381"/>
      <c r="X1039" s="379"/>
      <c r="Y1039" s="379"/>
      <c r="Z1039" s="379">
        <v>953001</v>
      </c>
      <c r="AA1039" s="379" t="s">
        <v>2902</v>
      </c>
      <c r="AB1039" s="380">
        <f t="shared" si="14"/>
        <v>0</v>
      </c>
    </row>
    <row r="1040" spans="1:28" outlineLevel="1" x14ac:dyDescent="0.3">
      <c r="A1040" s="379"/>
      <c r="B1040" s="384" t="s">
        <v>3217</v>
      </c>
      <c r="C1040" s="379"/>
      <c r="D1040" s="379"/>
      <c r="E1040" s="379"/>
      <c r="F1040" s="379"/>
      <c r="G1040" s="383"/>
      <c r="H1040" s="379"/>
      <c r="I1040" s="379"/>
      <c r="J1040" s="379"/>
      <c r="K1040" s="379"/>
      <c r="L1040" s="379"/>
      <c r="M1040" s="379"/>
      <c r="N1040" s="379"/>
      <c r="O1040" s="379"/>
      <c r="P1040" s="379"/>
      <c r="Q1040" s="379"/>
      <c r="R1040" s="379"/>
      <c r="S1040" s="379"/>
      <c r="T1040" s="379"/>
      <c r="U1040" s="379"/>
      <c r="V1040" s="380">
        <f>SUBTOTAL(9,V1039:V1039)</f>
        <v>2174.62</v>
      </c>
      <c r="W1040" s="381">
        <f>SUBTOTAL(9,W1039:W1039)</f>
        <v>0</v>
      </c>
      <c r="X1040" s="379"/>
      <c r="Y1040" s="379"/>
      <c r="Z1040" s="379"/>
      <c r="AA1040" s="379"/>
      <c r="AB1040" s="380">
        <f>SUBTOTAL(9,AB1039:AB1039)</f>
        <v>0</v>
      </c>
    </row>
    <row r="1041" spans="1:28" outlineLevel="2" x14ac:dyDescent="0.3">
      <c r="A1041" s="379">
        <v>654</v>
      </c>
      <c r="B1041" s="379">
        <v>981381</v>
      </c>
      <c r="C1041" s="379" t="s">
        <v>2932</v>
      </c>
      <c r="D1041" s="379">
        <v>2304383</v>
      </c>
      <c r="E1041" s="379" t="s">
        <v>2351</v>
      </c>
      <c r="F1041" s="379" t="s">
        <v>2717</v>
      </c>
      <c r="G1041" s="383">
        <v>42186</v>
      </c>
      <c r="H1041" s="379">
        <v>2404</v>
      </c>
      <c r="I1041" s="379">
        <v>85.34</v>
      </c>
      <c r="J1041" s="379">
        <v>315.89999999999998</v>
      </c>
      <c r="K1041" s="379">
        <v>180.3</v>
      </c>
      <c r="L1041" s="379"/>
      <c r="M1041" s="379"/>
      <c r="N1041" s="379"/>
      <c r="O1041" s="379"/>
      <c r="P1041" s="379">
        <v>2340</v>
      </c>
      <c r="Q1041" s="379">
        <v>64</v>
      </c>
      <c r="R1041" s="379"/>
      <c r="S1041" s="379"/>
      <c r="T1041" s="379"/>
      <c r="U1041" s="379"/>
      <c r="V1041" s="380">
        <v>2985.54</v>
      </c>
      <c r="W1041" s="381"/>
      <c r="X1041" s="379"/>
      <c r="Y1041" s="379"/>
      <c r="Z1041" s="379">
        <v>1041001</v>
      </c>
      <c r="AA1041" s="379" t="s">
        <v>2677</v>
      </c>
      <c r="AB1041" s="380">
        <f t="shared" si="14"/>
        <v>0</v>
      </c>
    </row>
    <row r="1042" spans="1:28" outlineLevel="2" x14ac:dyDescent="0.3">
      <c r="A1042" s="379">
        <v>654</v>
      </c>
      <c r="B1042" s="379">
        <v>981381</v>
      </c>
      <c r="C1042" s="379" t="s">
        <v>2932</v>
      </c>
      <c r="D1042" s="379">
        <v>2435066</v>
      </c>
      <c r="E1042" s="379" t="s">
        <v>2761</v>
      </c>
      <c r="F1042" s="379" t="s">
        <v>2324</v>
      </c>
      <c r="G1042" s="383">
        <v>43221</v>
      </c>
      <c r="H1042" s="379">
        <v>1073</v>
      </c>
      <c r="I1042" s="379">
        <v>38.090000000000003</v>
      </c>
      <c r="J1042" s="379">
        <v>144.86000000000001</v>
      </c>
      <c r="K1042" s="379">
        <v>80.459999999999994</v>
      </c>
      <c r="L1042" s="379"/>
      <c r="M1042" s="379"/>
      <c r="N1042" s="379"/>
      <c r="O1042" s="379"/>
      <c r="P1042" s="379">
        <v>1073</v>
      </c>
      <c r="Q1042" s="379"/>
      <c r="R1042" s="379"/>
      <c r="S1042" s="379"/>
      <c r="T1042" s="379"/>
      <c r="U1042" s="379"/>
      <c r="V1042" s="380">
        <v>1336.41</v>
      </c>
      <c r="W1042" s="381"/>
      <c r="X1042" s="379"/>
      <c r="Y1042" s="379"/>
      <c r="Z1042" s="379">
        <v>5821001</v>
      </c>
      <c r="AA1042" s="379" t="s">
        <v>2427</v>
      </c>
      <c r="AB1042" s="380">
        <f t="shared" si="14"/>
        <v>0</v>
      </c>
    </row>
    <row r="1043" spans="1:28" outlineLevel="2" x14ac:dyDescent="0.3">
      <c r="A1043" s="379">
        <v>654</v>
      </c>
      <c r="B1043" s="379">
        <v>981381</v>
      </c>
      <c r="C1043" s="379" t="s">
        <v>2932</v>
      </c>
      <c r="D1043" s="379">
        <v>2458101</v>
      </c>
      <c r="E1043" s="379" t="s">
        <v>2387</v>
      </c>
      <c r="F1043" s="379" t="s">
        <v>2676</v>
      </c>
      <c r="G1043" s="383">
        <v>41974</v>
      </c>
      <c r="H1043" s="379">
        <v>4343.6000000000004</v>
      </c>
      <c r="I1043" s="379">
        <v>154.19</v>
      </c>
      <c r="J1043" s="379">
        <v>570.65</v>
      </c>
      <c r="K1043" s="379">
        <v>325.76</v>
      </c>
      <c r="L1043" s="379"/>
      <c r="M1043" s="379"/>
      <c r="N1043" s="379"/>
      <c r="O1043" s="379"/>
      <c r="P1043" s="379">
        <v>4227</v>
      </c>
      <c r="Q1043" s="379">
        <v>116.6</v>
      </c>
      <c r="R1043" s="379"/>
      <c r="S1043" s="379"/>
      <c r="T1043" s="379"/>
      <c r="U1043" s="379"/>
      <c r="V1043" s="380">
        <v>5394.2</v>
      </c>
      <c r="W1043" s="381"/>
      <c r="X1043" s="379"/>
      <c r="Y1043" s="379"/>
      <c r="Z1043" s="379">
        <v>1041001</v>
      </c>
      <c r="AA1043" s="379" t="s">
        <v>2677</v>
      </c>
      <c r="AB1043" s="380">
        <f t="shared" si="14"/>
        <v>0</v>
      </c>
    </row>
    <row r="1044" spans="1:28" outlineLevel="2" x14ac:dyDescent="0.3">
      <c r="A1044" s="379">
        <v>654</v>
      </c>
      <c r="B1044" s="379">
        <v>981381</v>
      </c>
      <c r="C1044" s="379" t="s">
        <v>2932</v>
      </c>
      <c r="D1044" s="379">
        <v>2564613</v>
      </c>
      <c r="E1044" s="379" t="s">
        <v>2313</v>
      </c>
      <c r="F1044" s="379" t="s">
        <v>2660</v>
      </c>
      <c r="G1044" s="383">
        <v>41518</v>
      </c>
      <c r="H1044" s="379">
        <v>2513</v>
      </c>
      <c r="I1044" s="379">
        <v>117.65</v>
      </c>
      <c r="J1044" s="379">
        <v>332.1</v>
      </c>
      <c r="K1044" s="379">
        <v>248.57</v>
      </c>
      <c r="L1044" s="379"/>
      <c r="M1044" s="379"/>
      <c r="N1044" s="379"/>
      <c r="O1044" s="379"/>
      <c r="P1044" s="379">
        <v>2460</v>
      </c>
      <c r="Q1044" s="379">
        <v>53</v>
      </c>
      <c r="R1044" s="379"/>
      <c r="S1044" s="379"/>
      <c r="T1044" s="379"/>
      <c r="U1044" s="379"/>
      <c r="V1044" s="380">
        <v>3211.32</v>
      </c>
      <c r="W1044" s="381"/>
      <c r="X1044" s="379"/>
      <c r="Y1044" s="379"/>
      <c r="Z1044" s="379">
        <v>1041001</v>
      </c>
      <c r="AA1044" s="379" t="s">
        <v>2677</v>
      </c>
      <c r="AB1044" s="380">
        <f t="shared" si="14"/>
        <v>0</v>
      </c>
    </row>
    <row r="1045" spans="1:28" outlineLevel="2" x14ac:dyDescent="0.3">
      <c r="A1045" s="379">
        <v>654</v>
      </c>
      <c r="B1045" s="379">
        <v>981381</v>
      </c>
      <c r="C1045" s="379" t="s">
        <v>2932</v>
      </c>
      <c r="D1045" s="379">
        <v>2655453</v>
      </c>
      <c r="E1045" s="379" t="s">
        <v>2377</v>
      </c>
      <c r="F1045" s="379" t="s">
        <v>2422</v>
      </c>
      <c r="G1045" s="383">
        <v>42186</v>
      </c>
      <c r="H1045" s="379">
        <v>361.25</v>
      </c>
      <c r="I1045" s="379">
        <v>12.82</v>
      </c>
      <c r="J1045" s="379"/>
      <c r="K1045" s="379">
        <v>27.1</v>
      </c>
      <c r="L1045" s="379"/>
      <c r="M1045" s="379"/>
      <c r="N1045" s="379"/>
      <c r="O1045" s="379"/>
      <c r="P1045" s="379">
        <v>339.25</v>
      </c>
      <c r="Q1045" s="379">
        <v>22</v>
      </c>
      <c r="R1045" s="379"/>
      <c r="S1045" s="379"/>
      <c r="T1045" s="379"/>
      <c r="U1045" s="379"/>
      <c r="V1045" s="380">
        <v>401.17</v>
      </c>
      <c r="W1045" s="381"/>
      <c r="X1045" s="379"/>
      <c r="Y1045" s="379"/>
      <c r="Z1045" s="379">
        <v>1041001</v>
      </c>
      <c r="AA1045" s="379" t="s">
        <v>2677</v>
      </c>
      <c r="AB1045" s="380">
        <f t="shared" si="14"/>
        <v>0</v>
      </c>
    </row>
    <row r="1046" spans="1:28" outlineLevel="2" x14ac:dyDescent="0.3">
      <c r="A1046" s="379">
        <v>654</v>
      </c>
      <c r="B1046" s="379">
        <v>981381</v>
      </c>
      <c r="C1046" s="379" t="s">
        <v>2932</v>
      </c>
      <c r="D1046" s="379">
        <v>3263125</v>
      </c>
      <c r="E1046" s="379" t="s">
        <v>2933</v>
      </c>
      <c r="F1046" s="379" t="s">
        <v>2934</v>
      </c>
      <c r="G1046" s="383">
        <v>41091</v>
      </c>
      <c r="H1046" s="379">
        <v>0</v>
      </c>
      <c r="I1046" s="379"/>
      <c r="J1046" s="379"/>
      <c r="K1046" s="379"/>
      <c r="L1046" s="379"/>
      <c r="M1046" s="379"/>
      <c r="N1046" s="379"/>
      <c r="O1046" s="379">
        <v>0</v>
      </c>
      <c r="P1046" s="379"/>
      <c r="Q1046" s="379"/>
      <c r="R1046" s="379"/>
      <c r="S1046" s="379"/>
      <c r="T1046" s="379"/>
      <c r="U1046" s="379"/>
      <c r="V1046" s="380">
        <v>0</v>
      </c>
      <c r="W1046" s="381"/>
      <c r="X1046" s="379"/>
      <c r="Y1046" s="379"/>
      <c r="Z1046" s="379">
        <v>1041001</v>
      </c>
      <c r="AA1046" s="379" t="s">
        <v>2677</v>
      </c>
      <c r="AB1046" s="380">
        <f t="shared" si="14"/>
        <v>0</v>
      </c>
    </row>
    <row r="1047" spans="1:28" outlineLevel="2" x14ac:dyDescent="0.3">
      <c r="A1047" s="379">
        <v>654</v>
      </c>
      <c r="B1047" s="379">
        <v>981381</v>
      </c>
      <c r="C1047" s="379" t="s">
        <v>2932</v>
      </c>
      <c r="D1047" s="379">
        <v>3330531</v>
      </c>
      <c r="E1047" s="379" t="s">
        <v>2841</v>
      </c>
      <c r="F1047" s="379" t="s">
        <v>2935</v>
      </c>
      <c r="G1047" s="383">
        <v>42705</v>
      </c>
      <c r="H1047" s="379">
        <v>0</v>
      </c>
      <c r="I1047" s="379"/>
      <c r="J1047" s="379"/>
      <c r="K1047" s="379"/>
      <c r="L1047" s="379"/>
      <c r="M1047" s="379"/>
      <c r="N1047" s="379"/>
      <c r="O1047" s="379">
        <v>0</v>
      </c>
      <c r="P1047" s="379"/>
      <c r="Q1047" s="379"/>
      <c r="R1047" s="379"/>
      <c r="S1047" s="379"/>
      <c r="T1047" s="379"/>
      <c r="U1047" s="379"/>
      <c r="V1047" s="380">
        <v>0</v>
      </c>
      <c r="W1047" s="381"/>
      <c r="X1047" s="379"/>
      <c r="Y1047" s="379"/>
      <c r="Z1047" s="379">
        <v>1041001</v>
      </c>
      <c r="AA1047" s="379" t="s">
        <v>2677</v>
      </c>
      <c r="AB1047" s="380">
        <f t="shared" si="14"/>
        <v>0</v>
      </c>
    </row>
    <row r="1048" spans="1:28" outlineLevel="2" x14ac:dyDescent="0.3">
      <c r="A1048" s="379">
        <v>654</v>
      </c>
      <c r="B1048" s="379">
        <v>981381</v>
      </c>
      <c r="C1048" s="379" t="s">
        <v>2932</v>
      </c>
      <c r="D1048" s="379">
        <v>3741208</v>
      </c>
      <c r="E1048" s="379" t="s">
        <v>3218</v>
      </c>
      <c r="F1048" s="379" t="s">
        <v>2832</v>
      </c>
      <c r="G1048" s="383">
        <v>43466</v>
      </c>
      <c r="H1048" s="379">
        <v>1543</v>
      </c>
      <c r="I1048" s="379">
        <v>54.78</v>
      </c>
      <c r="J1048" s="379"/>
      <c r="K1048" s="379">
        <v>115.75</v>
      </c>
      <c r="L1048" s="379"/>
      <c r="M1048" s="379"/>
      <c r="N1048" s="379"/>
      <c r="O1048" s="379">
        <v>0</v>
      </c>
      <c r="P1048" s="379">
        <v>1500</v>
      </c>
      <c r="Q1048" s="379">
        <v>43</v>
      </c>
      <c r="R1048" s="379"/>
      <c r="S1048" s="379"/>
      <c r="T1048" s="379"/>
      <c r="U1048" s="379"/>
      <c r="V1048" s="380">
        <v>1713.53</v>
      </c>
      <c r="W1048" s="381"/>
      <c r="X1048" s="379"/>
      <c r="Y1048" s="379"/>
      <c r="Z1048" s="379">
        <v>1041001</v>
      </c>
      <c r="AA1048" s="379" t="s">
        <v>2677</v>
      </c>
      <c r="AB1048" s="380">
        <f t="shared" si="14"/>
        <v>0</v>
      </c>
    </row>
    <row r="1049" spans="1:28" outlineLevel="2" x14ac:dyDescent="0.3">
      <c r="A1049" s="379">
        <v>654</v>
      </c>
      <c r="B1049" s="379">
        <v>981381</v>
      </c>
      <c r="C1049" s="379" t="s">
        <v>2932</v>
      </c>
      <c r="D1049" s="379">
        <v>5268089</v>
      </c>
      <c r="E1049" s="379" t="s">
        <v>2303</v>
      </c>
      <c r="F1049" s="379" t="s">
        <v>2699</v>
      </c>
      <c r="G1049" s="383">
        <v>43282</v>
      </c>
      <c r="H1049" s="379">
        <v>3365</v>
      </c>
      <c r="I1049" s="379">
        <v>119.47</v>
      </c>
      <c r="J1049" s="379"/>
      <c r="K1049" s="379">
        <v>252.39</v>
      </c>
      <c r="L1049" s="379"/>
      <c r="M1049" s="379"/>
      <c r="N1049" s="379"/>
      <c r="O1049" s="379"/>
      <c r="P1049" s="379">
        <v>3280</v>
      </c>
      <c r="Q1049" s="379">
        <v>85</v>
      </c>
      <c r="R1049" s="379"/>
      <c r="S1049" s="379"/>
      <c r="T1049" s="379"/>
      <c r="U1049" s="379"/>
      <c r="V1049" s="380">
        <v>3736.86</v>
      </c>
      <c r="W1049" s="381"/>
      <c r="X1049" s="379"/>
      <c r="Y1049" s="379"/>
      <c r="Z1049" s="379">
        <v>1041001</v>
      </c>
      <c r="AA1049" s="379" t="s">
        <v>2677</v>
      </c>
      <c r="AB1049" s="380">
        <f t="shared" ref="AB1049:AB1121" si="15">W1049/12</f>
        <v>0</v>
      </c>
    </row>
    <row r="1050" spans="1:28" outlineLevel="2" x14ac:dyDescent="0.3">
      <c r="A1050" s="379">
        <v>654</v>
      </c>
      <c r="B1050" s="379">
        <v>981381</v>
      </c>
      <c r="C1050" s="379" t="s">
        <v>2932</v>
      </c>
      <c r="D1050" s="379">
        <v>6074699</v>
      </c>
      <c r="E1050" s="379" t="s">
        <v>2303</v>
      </c>
      <c r="F1050" s="379" t="s">
        <v>3031</v>
      </c>
      <c r="G1050" s="383">
        <v>43435</v>
      </c>
      <c r="H1050" s="379">
        <v>499.5</v>
      </c>
      <c r="I1050" s="379">
        <v>17.73</v>
      </c>
      <c r="J1050" s="379">
        <v>67.44</v>
      </c>
      <c r="K1050" s="379">
        <v>37.46</v>
      </c>
      <c r="L1050" s="379"/>
      <c r="M1050" s="379"/>
      <c r="N1050" s="379"/>
      <c r="O1050" s="379"/>
      <c r="P1050" s="379">
        <v>499.5</v>
      </c>
      <c r="Q1050" s="379"/>
      <c r="R1050" s="379"/>
      <c r="S1050" s="379"/>
      <c r="T1050" s="379"/>
      <c r="U1050" s="379"/>
      <c r="V1050" s="380">
        <v>622.13</v>
      </c>
      <c r="W1050" s="381"/>
      <c r="X1050" s="379"/>
      <c r="Y1050" s="379"/>
      <c r="Z1050" s="379">
        <v>5821001</v>
      </c>
      <c r="AA1050" s="379" t="s">
        <v>2427</v>
      </c>
      <c r="AB1050" s="380">
        <f t="shared" si="15"/>
        <v>0</v>
      </c>
    </row>
    <row r="1051" spans="1:28" outlineLevel="2" x14ac:dyDescent="0.3">
      <c r="A1051" s="379">
        <v>654</v>
      </c>
      <c r="B1051" s="379">
        <v>981381</v>
      </c>
      <c r="C1051" s="379" t="s">
        <v>2932</v>
      </c>
      <c r="D1051" s="379">
        <v>6836435</v>
      </c>
      <c r="E1051" s="379" t="s">
        <v>2621</v>
      </c>
      <c r="F1051" s="379" t="s">
        <v>2696</v>
      </c>
      <c r="G1051" s="383">
        <v>41030</v>
      </c>
      <c r="H1051" s="379">
        <v>1002</v>
      </c>
      <c r="I1051" s="379">
        <v>35.57</v>
      </c>
      <c r="J1051" s="379">
        <v>129.6</v>
      </c>
      <c r="K1051" s="379">
        <v>75.150000000000006</v>
      </c>
      <c r="L1051" s="379"/>
      <c r="M1051" s="379"/>
      <c r="N1051" s="379"/>
      <c r="O1051" s="379"/>
      <c r="P1051" s="379">
        <v>960</v>
      </c>
      <c r="Q1051" s="379">
        <v>42</v>
      </c>
      <c r="R1051" s="379"/>
      <c r="S1051" s="379"/>
      <c r="T1051" s="379"/>
      <c r="U1051" s="379"/>
      <c r="V1051" s="380">
        <v>1242.32</v>
      </c>
      <c r="W1051" s="381"/>
      <c r="X1051" s="379">
        <v>1</v>
      </c>
      <c r="Y1051" s="379" t="s">
        <v>2353</v>
      </c>
      <c r="Z1051" s="379">
        <v>951001</v>
      </c>
      <c r="AA1051" s="379" t="s">
        <v>2364</v>
      </c>
      <c r="AB1051" s="380">
        <f t="shared" si="15"/>
        <v>0</v>
      </c>
    </row>
    <row r="1052" spans="1:28" outlineLevel="2" x14ac:dyDescent="0.3">
      <c r="A1052" s="379">
        <v>654</v>
      </c>
      <c r="B1052" s="379">
        <v>981381</v>
      </c>
      <c r="C1052" s="379" t="s">
        <v>2932</v>
      </c>
      <c r="D1052" s="379">
        <v>20584006</v>
      </c>
      <c r="E1052" s="379" t="s">
        <v>2457</v>
      </c>
      <c r="F1052" s="379" t="s">
        <v>2942</v>
      </c>
      <c r="G1052" s="383">
        <v>42917</v>
      </c>
      <c r="H1052" s="379">
        <v>1082</v>
      </c>
      <c r="I1052" s="379">
        <v>38.409999999999997</v>
      </c>
      <c r="J1052" s="379"/>
      <c r="K1052" s="379">
        <v>81.150000000000006</v>
      </c>
      <c r="L1052" s="379"/>
      <c r="M1052" s="379"/>
      <c r="N1052" s="379"/>
      <c r="O1052" s="379"/>
      <c r="P1052" s="379">
        <v>1040</v>
      </c>
      <c r="Q1052" s="379">
        <v>42</v>
      </c>
      <c r="R1052" s="379"/>
      <c r="S1052" s="379"/>
      <c r="T1052" s="379"/>
      <c r="U1052" s="379"/>
      <c r="V1052" s="380">
        <v>1201.56</v>
      </c>
      <c r="W1052" s="381"/>
      <c r="X1052" s="379"/>
      <c r="Y1052" s="379"/>
      <c r="Z1052" s="379">
        <v>1041001</v>
      </c>
      <c r="AA1052" s="379" t="s">
        <v>2677</v>
      </c>
      <c r="AB1052" s="380">
        <f t="shared" si="15"/>
        <v>0</v>
      </c>
    </row>
    <row r="1053" spans="1:28" outlineLevel="2" x14ac:dyDescent="0.3">
      <c r="A1053" s="379">
        <v>654</v>
      </c>
      <c r="B1053" s="379">
        <v>981381</v>
      </c>
      <c r="C1053" s="379" t="s">
        <v>2932</v>
      </c>
      <c r="D1053" s="379">
        <v>30297212</v>
      </c>
      <c r="E1053" s="379" t="s">
        <v>2943</v>
      </c>
      <c r="F1053" s="379" t="s">
        <v>2944</v>
      </c>
      <c r="G1053" s="383">
        <v>42917</v>
      </c>
      <c r="H1053" s="379">
        <v>0</v>
      </c>
      <c r="I1053" s="379"/>
      <c r="J1053" s="379"/>
      <c r="K1053" s="379"/>
      <c r="L1053" s="379"/>
      <c r="M1053" s="379"/>
      <c r="N1053" s="379"/>
      <c r="O1053" s="379">
        <v>0</v>
      </c>
      <c r="P1053" s="379"/>
      <c r="Q1053" s="379"/>
      <c r="R1053" s="379"/>
      <c r="S1053" s="379"/>
      <c r="T1053" s="379"/>
      <c r="U1053" s="379"/>
      <c r="V1053" s="380">
        <v>0</v>
      </c>
      <c r="W1053" s="381"/>
      <c r="X1053" s="379"/>
      <c r="Y1053" s="379"/>
      <c r="Z1053" s="379">
        <v>1041001</v>
      </c>
      <c r="AA1053" s="379" t="s">
        <v>2677</v>
      </c>
      <c r="AB1053" s="380">
        <f t="shared" si="15"/>
        <v>0</v>
      </c>
    </row>
    <row r="1054" spans="1:28" outlineLevel="2" x14ac:dyDescent="0.3">
      <c r="A1054" s="379">
        <v>654</v>
      </c>
      <c r="B1054" s="379">
        <v>981381</v>
      </c>
      <c r="C1054" s="379" t="s">
        <v>2932</v>
      </c>
      <c r="D1054" s="379">
        <v>30307096</v>
      </c>
      <c r="E1054" s="379" t="s">
        <v>3219</v>
      </c>
      <c r="F1054" s="379" t="s">
        <v>2776</v>
      </c>
      <c r="G1054" s="383">
        <v>43160</v>
      </c>
      <c r="H1054" s="379">
        <v>1553</v>
      </c>
      <c r="I1054" s="379">
        <v>55.13</v>
      </c>
      <c r="J1054" s="379"/>
      <c r="K1054" s="379">
        <v>116.5</v>
      </c>
      <c r="L1054" s="379"/>
      <c r="M1054" s="379"/>
      <c r="N1054" s="379"/>
      <c r="O1054" s="379">
        <v>0</v>
      </c>
      <c r="P1054" s="379">
        <v>1500</v>
      </c>
      <c r="Q1054" s="379">
        <v>53</v>
      </c>
      <c r="R1054" s="379"/>
      <c r="S1054" s="379"/>
      <c r="T1054" s="379"/>
      <c r="U1054" s="379"/>
      <c r="V1054" s="380">
        <v>1724.63</v>
      </c>
      <c r="W1054" s="381"/>
      <c r="X1054" s="379"/>
      <c r="Y1054" s="379"/>
      <c r="Z1054" s="379">
        <v>5931001</v>
      </c>
      <c r="AA1054" s="379" t="s">
        <v>2320</v>
      </c>
      <c r="AB1054" s="380">
        <f t="shared" si="15"/>
        <v>0</v>
      </c>
    </row>
    <row r="1055" spans="1:28" outlineLevel="2" x14ac:dyDescent="0.3">
      <c r="A1055" s="379">
        <v>654</v>
      </c>
      <c r="B1055" s="379">
        <v>981381</v>
      </c>
      <c r="C1055" s="379" t="s">
        <v>2932</v>
      </c>
      <c r="D1055" s="379">
        <v>31144549</v>
      </c>
      <c r="E1055" s="379" t="s">
        <v>2950</v>
      </c>
      <c r="F1055" s="379" t="s">
        <v>2951</v>
      </c>
      <c r="G1055" s="383">
        <v>43344</v>
      </c>
      <c r="H1055" s="379">
        <v>0</v>
      </c>
      <c r="I1055" s="379"/>
      <c r="J1055" s="379"/>
      <c r="K1055" s="379"/>
      <c r="L1055" s="379"/>
      <c r="M1055" s="379"/>
      <c r="N1055" s="379"/>
      <c r="O1055" s="379">
        <v>0</v>
      </c>
      <c r="P1055" s="379"/>
      <c r="Q1055" s="379"/>
      <c r="R1055" s="379"/>
      <c r="S1055" s="379"/>
      <c r="T1055" s="379"/>
      <c r="U1055" s="379"/>
      <c r="V1055" s="380">
        <v>0</v>
      </c>
      <c r="W1055" s="381"/>
      <c r="X1055" s="379"/>
      <c r="Y1055" s="379"/>
      <c r="Z1055" s="379">
        <v>5821001</v>
      </c>
      <c r="AA1055" s="379" t="s">
        <v>2427</v>
      </c>
      <c r="AB1055" s="380">
        <f t="shared" si="15"/>
        <v>0</v>
      </c>
    </row>
    <row r="1056" spans="1:28" outlineLevel="2" x14ac:dyDescent="0.3">
      <c r="A1056" s="379">
        <v>654</v>
      </c>
      <c r="B1056" s="379">
        <v>981381</v>
      </c>
      <c r="C1056" s="379" t="s">
        <v>2932</v>
      </c>
      <c r="D1056" s="379">
        <v>31848098</v>
      </c>
      <c r="E1056" s="379" t="s">
        <v>2457</v>
      </c>
      <c r="F1056" s="379" t="s">
        <v>2953</v>
      </c>
      <c r="G1056" s="383">
        <v>43160</v>
      </c>
      <c r="H1056" s="379">
        <v>0</v>
      </c>
      <c r="I1056" s="379"/>
      <c r="J1056" s="379"/>
      <c r="K1056" s="379"/>
      <c r="L1056" s="379"/>
      <c r="M1056" s="379"/>
      <c r="N1056" s="379"/>
      <c r="O1056" s="379">
        <v>0</v>
      </c>
      <c r="P1056" s="379"/>
      <c r="Q1056" s="379"/>
      <c r="R1056" s="379"/>
      <c r="S1056" s="379"/>
      <c r="T1056" s="379"/>
      <c r="U1056" s="379"/>
      <c r="V1056" s="380">
        <v>0</v>
      </c>
      <c r="W1056" s="381"/>
      <c r="X1056" s="379"/>
      <c r="Y1056" s="379"/>
      <c r="Z1056" s="379">
        <v>1041001</v>
      </c>
      <c r="AA1056" s="379" t="s">
        <v>2677</v>
      </c>
      <c r="AB1056" s="380">
        <f t="shared" si="15"/>
        <v>0</v>
      </c>
    </row>
    <row r="1057" spans="1:28" outlineLevel="1" x14ac:dyDescent="0.3">
      <c r="A1057" s="379"/>
      <c r="B1057" s="384" t="s">
        <v>3220</v>
      </c>
      <c r="C1057" s="379"/>
      <c r="D1057" s="379"/>
      <c r="E1057" s="379"/>
      <c r="F1057" s="379"/>
      <c r="G1057" s="383"/>
      <c r="H1057" s="379"/>
      <c r="I1057" s="379"/>
      <c r="J1057" s="379"/>
      <c r="K1057" s="379"/>
      <c r="L1057" s="379"/>
      <c r="M1057" s="379"/>
      <c r="N1057" s="379"/>
      <c r="O1057" s="379"/>
      <c r="P1057" s="379"/>
      <c r="Q1057" s="379"/>
      <c r="R1057" s="379"/>
      <c r="S1057" s="379"/>
      <c r="T1057" s="379"/>
      <c r="U1057" s="379"/>
      <c r="V1057" s="380">
        <f>SUBTOTAL(9,V1041:V1056)</f>
        <v>23569.670000000002</v>
      </c>
      <c r="W1057" s="381">
        <f>SUBTOTAL(9,W1041:W1056)</f>
        <v>0</v>
      </c>
      <c r="X1057" s="379"/>
      <c r="Y1057" s="379"/>
      <c r="Z1057" s="379"/>
      <c r="AA1057" s="379"/>
      <c r="AB1057" s="380">
        <f>SUBTOTAL(9,AB1041:AB1056)</f>
        <v>0</v>
      </c>
    </row>
    <row r="1058" spans="1:28" outlineLevel="2" x14ac:dyDescent="0.3">
      <c r="A1058" s="379">
        <v>654</v>
      </c>
      <c r="B1058" s="379">
        <v>981720</v>
      </c>
      <c r="C1058" s="379" t="s">
        <v>2973</v>
      </c>
      <c r="D1058" s="379">
        <v>2459720</v>
      </c>
      <c r="E1058" s="379" t="s">
        <v>2303</v>
      </c>
      <c r="F1058" s="379" t="s">
        <v>2917</v>
      </c>
      <c r="G1058" s="383">
        <v>43132</v>
      </c>
      <c r="H1058" s="379">
        <v>515</v>
      </c>
      <c r="I1058" s="379">
        <v>20.54</v>
      </c>
      <c r="J1058" s="379">
        <v>63.72</v>
      </c>
      <c r="K1058" s="379">
        <v>43.4</v>
      </c>
      <c r="L1058" s="379"/>
      <c r="M1058" s="379"/>
      <c r="N1058" s="379"/>
      <c r="O1058" s="379"/>
      <c r="P1058" s="379">
        <v>472</v>
      </c>
      <c r="Q1058" s="379">
        <v>43</v>
      </c>
      <c r="R1058" s="379"/>
      <c r="S1058" s="379"/>
      <c r="T1058" s="379"/>
      <c r="U1058" s="379"/>
      <c r="V1058" s="380">
        <v>642.66</v>
      </c>
      <c r="W1058" s="381"/>
      <c r="X1058" s="379"/>
      <c r="Y1058" s="379"/>
      <c r="Z1058" s="379">
        <v>5923001</v>
      </c>
      <c r="AA1058" s="379" t="s">
        <v>2354</v>
      </c>
      <c r="AB1058" s="380">
        <f t="shared" si="15"/>
        <v>0</v>
      </c>
    </row>
    <row r="1059" spans="1:28" outlineLevel="1" x14ac:dyDescent="0.3">
      <c r="A1059" s="379"/>
      <c r="B1059" s="384" t="s">
        <v>3221</v>
      </c>
      <c r="C1059" s="379"/>
      <c r="D1059" s="379"/>
      <c r="E1059" s="379"/>
      <c r="F1059" s="379"/>
      <c r="G1059" s="383"/>
      <c r="H1059" s="379"/>
      <c r="I1059" s="379"/>
      <c r="J1059" s="379"/>
      <c r="K1059" s="379"/>
      <c r="L1059" s="379"/>
      <c r="M1059" s="379"/>
      <c r="N1059" s="379"/>
      <c r="O1059" s="379"/>
      <c r="P1059" s="379"/>
      <c r="Q1059" s="379"/>
      <c r="R1059" s="379"/>
      <c r="S1059" s="379"/>
      <c r="T1059" s="379"/>
      <c r="U1059" s="379"/>
      <c r="V1059" s="380">
        <f>SUBTOTAL(9,V1058:V1058)</f>
        <v>642.66</v>
      </c>
      <c r="W1059" s="381">
        <f>SUBTOTAL(9,W1058:W1058)</f>
        <v>0</v>
      </c>
      <c r="X1059" s="379"/>
      <c r="Y1059" s="379"/>
      <c r="Z1059" s="379"/>
      <c r="AA1059" s="379"/>
      <c r="AB1059" s="380">
        <f>SUBTOTAL(9,AB1058:AB1058)</f>
        <v>0</v>
      </c>
    </row>
    <row r="1060" spans="1:28" outlineLevel="2" x14ac:dyDescent="0.3">
      <c r="A1060" s="379">
        <v>654</v>
      </c>
      <c r="B1060" s="379">
        <v>981760</v>
      </c>
      <c r="C1060" s="379" t="s">
        <v>498</v>
      </c>
      <c r="D1060" s="379">
        <v>1760980</v>
      </c>
      <c r="E1060" s="379" t="s">
        <v>3222</v>
      </c>
      <c r="F1060" s="379" t="s">
        <v>2554</v>
      </c>
      <c r="G1060" s="383">
        <v>43466</v>
      </c>
      <c r="H1060" s="379">
        <v>4800</v>
      </c>
      <c r="I1060" s="379">
        <v>170.4</v>
      </c>
      <c r="J1060" s="379">
        <v>1003.2</v>
      </c>
      <c r="K1060" s="379">
        <v>360</v>
      </c>
      <c r="L1060" s="379"/>
      <c r="M1060" s="379">
        <v>19.2</v>
      </c>
      <c r="N1060" s="379"/>
      <c r="O1060" s="379"/>
      <c r="P1060" s="379">
        <v>4800</v>
      </c>
      <c r="Q1060" s="379"/>
      <c r="R1060" s="379"/>
      <c r="S1060" s="379"/>
      <c r="T1060" s="379"/>
      <c r="U1060" s="379"/>
      <c r="V1060" s="380">
        <v>6352.8</v>
      </c>
      <c r="W1060" s="381"/>
      <c r="X1060" s="379"/>
      <c r="Y1060" s="379"/>
      <c r="Z1060" s="379">
        <v>931001</v>
      </c>
      <c r="AA1060" s="379" t="s">
        <v>2667</v>
      </c>
      <c r="AB1060" s="380">
        <f t="shared" si="15"/>
        <v>0</v>
      </c>
    </row>
    <row r="1061" spans="1:28" outlineLevel="2" x14ac:dyDescent="0.3">
      <c r="A1061" s="379">
        <v>654</v>
      </c>
      <c r="B1061" s="379">
        <v>981760</v>
      </c>
      <c r="C1061" s="379" t="s">
        <v>498</v>
      </c>
      <c r="D1061" s="379">
        <v>2155210</v>
      </c>
      <c r="E1061" s="379" t="s">
        <v>3223</v>
      </c>
      <c r="F1061" s="379" t="s">
        <v>3224</v>
      </c>
      <c r="G1061" s="383">
        <v>43009</v>
      </c>
      <c r="H1061" s="379">
        <v>4800</v>
      </c>
      <c r="I1061" s="379">
        <v>170.4</v>
      </c>
      <c r="J1061" s="379">
        <v>648</v>
      </c>
      <c r="K1061" s="379">
        <v>360</v>
      </c>
      <c r="L1061" s="379"/>
      <c r="M1061" s="379"/>
      <c r="N1061" s="379"/>
      <c r="O1061" s="379"/>
      <c r="P1061" s="379">
        <v>4800</v>
      </c>
      <c r="Q1061" s="379"/>
      <c r="R1061" s="379"/>
      <c r="S1061" s="379"/>
      <c r="T1061" s="379"/>
      <c r="U1061" s="379"/>
      <c r="V1061" s="380">
        <v>5978.4</v>
      </c>
      <c r="W1061" s="381"/>
      <c r="X1061" s="379"/>
      <c r="Y1061" s="379"/>
      <c r="Z1061" s="379">
        <v>1027</v>
      </c>
      <c r="AA1061" s="379" t="s">
        <v>2383</v>
      </c>
      <c r="AB1061" s="380">
        <f t="shared" si="15"/>
        <v>0</v>
      </c>
    </row>
    <row r="1062" spans="1:28" outlineLevel="2" x14ac:dyDescent="0.3">
      <c r="A1062" s="379">
        <v>654</v>
      </c>
      <c r="B1062" s="379">
        <v>981760</v>
      </c>
      <c r="C1062" s="379" t="s">
        <v>498</v>
      </c>
      <c r="D1062" s="379">
        <v>2156352</v>
      </c>
      <c r="E1062" s="379" t="s">
        <v>3225</v>
      </c>
      <c r="F1062" s="379" t="s">
        <v>3226</v>
      </c>
      <c r="G1062" s="383">
        <v>43466</v>
      </c>
      <c r="H1062" s="379">
        <v>4800</v>
      </c>
      <c r="I1062" s="379">
        <v>170.4</v>
      </c>
      <c r="J1062" s="379"/>
      <c r="K1062" s="379">
        <v>360</v>
      </c>
      <c r="L1062" s="379"/>
      <c r="M1062" s="379"/>
      <c r="N1062" s="379"/>
      <c r="O1062" s="379"/>
      <c r="P1062" s="379">
        <v>4800</v>
      </c>
      <c r="Q1062" s="379"/>
      <c r="R1062" s="379"/>
      <c r="S1062" s="379"/>
      <c r="T1062" s="379"/>
      <c r="U1062" s="379"/>
      <c r="V1062" s="380">
        <v>5330.4</v>
      </c>
      <c r="W1062" s="381"/>
      <c r="X1062" s="379"/>
      <c r="Y1062" s="379"/>
      <c r="Z1062" s="379">
        <v>1031001</v>
      </c>
      <c r="AA1062" s="379" t="s">
        <v>2328</v>
      </c>
      <c r="AB1062" s="380">
        <f t="shared" si="15"/>
        <v>0</v>
      </c>
    </row>
    <row r="1063" spans="1:28" outlineLevel="2" x14ac:dyDescent="0.3">
      <c r="A1063" s="379">
        <v>654</v>
      </c>
      <c r="B1063" s="379">
        <v>981760</v>
      </c>
      <c r="C1063" s="379" t="s">
        <v>498</v>
      </c>
      <c r="D1063" s="379">
        <v>3305290</v>
      </c>
      <c r="E1063" s="379" t="s">
        <v>2387</v>
      </c>
      <c r="F1063" s="379" t="s">
        <v>3227</v>
      </c>
      <c r="G1063" s="383">
        <v>43101</v>
      </c>
      <c r="H1063" s="379">
        <v>4800</v>
      </c>
      <c r="I1063" s="379">
        <v>170.4</v>
      </c>
      <c r="J1063" s="379">
        <v>648</v>
      </c>
      <c r="K1063" s="379">
        <v>360</v>
      </c>
      <c r="L1063" s="379"/>
      <c r="M1063" s="379"/>
      <c r="N1063" s="379"/>
      <c r="O1063" s="379"/>
      <c r="P1063" s="379">
        <v>4800</v>
      </c>
      <c r="Q1063" s="379"/>
      <c r="R1063" s="379"/>
      <c r="S1063" s="379"/>
      <c r="T1063" s="379"/>
      <c r="U1063" s="379"/>
      <c r="V1063" s="380">
        <v>5978.4</v>
      </c>
      <c r="W1063" s="381"/>
      <c r="X1063" s="379"/>
      <c r="Y1063" s="379"/>
      <c r="Z1063" s="379">
        <v>1041001</v>
      </c>
      <c r="AA1063" s="379" t="s">
        <v>2677</v>
      </c>
      <c r="AB1063" s="380">
        <f t="shared" si="15"/>
        <v>0</v>
      </c>
    </row>
    <row r="1064" spans="1:28" outlineLevel="2" x14ac:dyDescent="0.3">
      <c r="A1064" s="379">
        <v>654</v>
      </c>
      <c r="B1064" s="379">
        <v>981760</v>
      </c>
      <c r="C1064" s="379" t="s">
        <v>498</v>
      </c>
      <c r="D1064" s="379">
        <v>5268089</v>
      </c>
      <c r="E1064" s="379" t="s">
        <v>2303</v>
      </c>
      <c r="F1064" s="379" t="s">
        <v>2699</v>
      </c>
      <c r="G1064" s="383">
        <v>43282</v>
      </c>
      <c r="H1064" s="379">
        <v>1800</v>
      </c>
      <c r="I1064" s="379">
        <v>63.89</v>
      </c>
      <c r="J1064" s="379"/>
      <c r="K1064" s="379">
        <v>135.01</v>
      </c>
      <c r="L1064" s="379"/>
      <c r="M1064" s="379"/>
      <c r="N1064" s="379"/>
      <c r="O1064" s="379"/>
      <c r="P1064" s="379">
        <v>1800</v>
      </c>
      <c r="Q1064" s="379"/>
      <c r="R1064" s="379"/>
      <c r="S1064" s="379"/>
      <c r="T1064" s="379"/>
      <c r="U1064" s="379"/>
      <c r="V1064" s="380">
        <v>1998.9</v>
      </c>
      <c r="W1064" s="381"/>
      <c r="X1064" s="379"/>
      <c r="Y1064" s="379"/>
      <c r="Z1064" s="379">
        <v>1041001</v>
      </c>
      <c r="AA1064" s="379" t="s">
        <v>2677</v>
      </c>
      <c r="AB1064" s="380">
        <f t="shared" si="15"/>
        <v>0</v>
      </c>
    </row>
    <row r="1065" spans="1:28" outlineLevel="2" x14ac:dyDescent="0.3">
      <c r="A1065" s="379">
        <v>654</v>
      </c>
      <c r="B1065" s="379">
        <v>981760</v>
      </c>
      <c r="C1065" s="379" t="s">
        <v>498</v>
      </c>
      <c r="D1065" s="379">
        <v>6760247</v>
      </c>
      <c r="E1065" s="379" t="s">
        <v>3228</v>
      </c>
      <c r="F1065" s="379" t="s">
        <v>2349</v>
      </c>
      <c r="G1065" s="383">
        <v>42736</v>
      </c>
      <c r="H1065" s="379">
        <v>4800</v>
      </c>
      <c r="I1065" s="379">
        <v>156</v>
      </c>
      <c r="J1065" s="379"/>
      <c r="K1065" s="379">
        <v>360</v>
      </c>
      <c r="L1065" s="379"/>
      <c r="M1065" s="379"/>
      <c r="N1065" s="379"/>
      <c r="O1065" s="379">
        <v>0</v>
      </c>
      <c r="P1065" s="379">
        <v>4800</v>
      </c>
      <c r="Q1065" s="379"/>
      <c r="R1065" s="379"/>
      <c r="S1065" s="379"/>
      <c r="T1065" s="379"/>
      <c r="U1065" s="379"/>
      <c r="V1065" s="380">
        <v>5316</v>
      </c>
      <c r="W1065" s="381"/>
      <c r="X1065" s="379"/>
      <c r="Y1065" s="379"/>
      <c r="Z1065" s="379">
        <v>1001</v>
      </c>
      <c r="AA1065" s="379" t="s">
        <v>3229</v>
      </c>
      <c r="AB1065" s="380">
        <f t="shared" si="15"/>
        <v>0</v>
      </c>
    </row>
    <row r="1066" spans="1:28" outlineLevel="2" x14ac:dyDescent="0.3">
      <c r="A1066" s="379">
        <v>654</v>
      </c>
      <c r="B1066" s="379">
        <v>981760</v>
      </c>
      <c r="C1066" s="379" t="s">
        <v>498</v>
      </c>
      <c r="D1066" s="379">
        <v>20369177</v>
      </c>
      <c r="E1066" s="379" t="s">
        <v>3230</v>
      </c>
      <c r="F1066" s="379" t="s">
        <v>3231</v>
      </c>
      <c r="G1066" s="383">
        <v>43466</v>
      </c>
      <c r="H1066" s="379">
        <v>4800</v>
      </c>
      <c r="I1066" s="379">
        <v>170.4</v>
      </c>
      <c r="J1066" s="379"/>
      <c r="K1066" s="379">
        <v>360</v>
      </c>
      <c r="L1066" s="379"/>
      <c r="M1066" s="379"/>
      <c r="N1066" s="379"/>
      <c r="O1066" s="379"/>
      <c r="P1066" s="379">
        <v>4800</v>
      </c>
      <c r="Q1066" s="379"/>
      <c r="R1066" s="379"/>
      <c r="S1066" s="379"/>
      <c r="T1066" s="379"/>
      <c r="U1066" s="379"/>
      <c r="V1066" s="380">
        <v>5330.4</v>
      </c>
      <c r="W1066" s="381"/>
      <c r="X1066" s="379"/>
      <c r="Y1066" s="379"/>
      <c r="Z1066" s="379">
        <v>1031001</v>
      </c>
      <c r="AA1066" s="379" t="s">
        <v>2328</v>
      </c>
      <c r="AB1066" s="380">
        <f t="shared" si="15"/>
        <v>0</v>
      </c>
    </row>
    <row r="1067" spans="1:28" outlineLevel="2" x14ac:dyDescent="0.3">
      <c r="A1067" s="379">
        <v>654</v>
      </c>
      <c r="B1067" s="379">
        <v>981760</v>
      </c>
      <c r="C1067" s="379" t="s">
        <v>498</v>
      </c>
      <c r="D1067" s="379">
        <v>20419192</v>
      </c>
      <c r="E1067" s="379" t="s">
        <v>2457</v>
      </c>
      <c r="F1067" s="379" t="s">
        <v>2773</v>
      </c>
      <c r="G1067" s="383">
        <v>43466</v>
      </c>
      <c r="H1067" s="379">
        <v>1800</v>
      </c>
      <c r="I1067" s="379">
        <v>63.9</v>
      </c>
      <c r="J1067" s="379"/>
      <c r="K1067" s="379">
        <v>135</v>
      </c>
      <c r="L1067" s="379"/>
      <c r="M1067" s="379"/>
      <c r="N1067" s="379"/>
      <c r="O1067" s="379"/>
      <c r="P1067" s="379">
        <v>1800</v>
      </c>
      <c r="Q1067" s="379"/>
      <c r="R1067" s="379"/>
      <c r="S1067" s="379"/>
      <c r="T1067" s="379"/>
      <c r="U1067" s="379"/>
      <c r="V1067" s="380">
        <v>1998.9</v>
      </c>
      <c r="W1067" s="381"/>
      <c r="X1067" s="379"/>
      <c r="Y1067" s="379"/>
      <c r="Z1067" s="379">
        <v>1031001</v>
      </c>
      <c r="AA1067" s="379" t="s">
        <v>2328</v>
      </c>
      <c r="AB1067" s="380">
        <f t="shared" si="15"/>
        <v>0</v>
      </c>
    </row>
    <row r="1068" spans="1:28" outlineLevel="2" x14ac:dyDescent="0.3">
      <c r="A1068" s="379">
        <v>654</v>
      </c>
      <c r="B1068" s="379">
        <v>981760</v>
      </c>
      <c r="C1068" s="379" t="s">
        <v>498</v>
      </c>
      <c r="D1068" s="379">
        <v>30282337</v>
      </c>
      <c r="E1068" s="379" t="s">
        <v>3232</v>
      </c>
      <c r="F1068" s="379" t="s">
        <v>3233</v>
      </c>
      <c r="G1068" s="383">
        <v>43466</v>
      </c>
      <c r="H1068" s="379">
        <v>1800</v>
      </c>
      <c r="I1068" s="379">
        <v>63.9</v>
      </c>
      <c r="J1068" s="379"/>
      <c r="K1068" s="379">
        <v>135</v>
      </c>
      <c r="L1068" s="379"/>
      <c r="M1068" s="379"/>
      <c r="N1068" s="379"/>
      <c r="O1068" s="379"/>
      <c r="P1068" s="379">
        <v>1800</v>
      </c>
      <c r="Q1068" s="379"/>
      <c r="R1068" s="379"/>
      <c r="S1068" s="379"/>
      <c r="T1068" s="379"/>
      <c r="U1068" s="379"/>
      <c r="V1068" s="380">
        <v>1998.9</v>
      </c>
      <c r="W1068" s="381"/>
      <c r="X1068" s="379"/>
      <c r="Y1068" s="379"/>
      <c r="Z1068" s="379">
        <v>1031001</v>
      </c>
      <c r="AA1068" s="379" t="s">
        <v>2328</v>
      </c>
      <c r="AB1068" s="380">
        <f t="shared" si="15"/>
        <v>0</v>
      </c>
    </row>
    <row r="1069" spans="1:28" outlineLevel="2" x14ac:dyDescent="0.3">
      <c r="A1069" s="379">
        <v>654</v>
      </c>
      <c r="B1069" s="379">
        <v>981760</v>
      </c>
      <c r="C1069" s="379" t="s">
        <v>498</v>
      </c>
      <c r="D1069" s="379">
        <v>31252888</v>
      </c>
      <c r="E1069" s="379" t="s">
        <v>3234</v>
      </c>
      <c r="F1069" s="379" t="s">
        <v>2681</v>
      </c>
      <c r="G1069" s="383">
        <v>43466</v>
      </c>
      <c r="H1069" s="379">
        <v>4800</v>
      </c>
      <c r="I1069" s="379">
        <v>170.4</v>
      </c>
      <c r="J1069" s="379"/>
      <c r="K1069" s="379">
        <v>360</v>
      </c>
      <c r="L1069" s="379"/>
      <c r="M1069" s="379"/>
      <c r="N1069" s="379"/>
      <c r="O1069" s="379"/>
      <c r="P1069" s="379">
        <v>4800</v>
      </c>
      <c r="Q1069" s="379"/>
      <c r="R1069" s="379"/>
      <c r="S1069" s="379"/>
      <c r="T1069" s="379"/>
      <c r="U1069" s="379"/>
      <c r="V1069" s="380">
        <v>5330.4</v>
      </c>
      <c r="W1069" s="381"/>
      <c r="X1069" s="379"/>
      <c r="Y1069" s="379"/>
      <c r="Z1069" s="379">
        <v>1031001</v>
      </c>
      <c r="AA1069" s="379" t="s">
        <v>2328</v>
      </c>
      <c r="AB1069" s="380">
        <f t="shared" si="15"/>
        <v>0</v>
      </c>
    </row>
    <row r="1070" spans="1:28" outlineLevel="2" x14ac:dyDescent="0.3">
      <c r="A1070" s="379">
        <v>654</v>
      </c>
      <c r="B1070" s="379">
        <v>981760</v>
      </c>
      <c r="C1070" s="379" t="s">
        <v>498</v>
      </c>
      <c r="D1070" s="379">
        <v>31467275</v>
      </c>
      <c r="E1070" s="379" t="s">
        <v>2807</v>
      </c>
      <c r="F1070" s="379" t="s">
        <v>3235</v>
      </c>
      <c r="G1070" s="383">
        <v>43466</v>
      </c>
      <c r="H1070" s="379">
        <v>3600</v>
      </c>
      <c r="I1070" s="379">
        <v>127.8</v>
      </c>
      <c r="J1070" s="379"/>
      <c r="K1070" s="379">
        <v>270</v>
      </c>
      <c r="L1070" s="379"/>
      <c r="M1070" s="379"/>
      <c r="N1070" s="379"/>
      <c r="O1070" s="379"/>
      <c r="P1070" s="379">
        <v>3600</v>
      </c>
      <c r="Q1070" s="379"/>
      <c r="R1070" s="379"/>
      <c r="S1070" s="379"/>
      <c r="T1070" s="379"/>
      <c r="U1070" s="379"/>
      <c r="V1070" s="380">
        <v>3997.8</v>
      </c>
      <c r="W1070" s="381"/>
      <c r="X1070" s="379"/>
      <c r="Y1070" s="379"/>
      <c r="Z1070" s="379">
        <v>1031001</v>
      </c>
      <c r="AA1070" s="379" t="s">
        <v>2328</v>
      </c>
      <c r="AB1070" s="380">
        <f t="shared" si="15"/>
        <v>0</v>
      </c>
    </row>
    <row r="1071" spans="1:28" outlineLevel="2" x14ac:dyDescent="0.3">
      <c r="A1071" s="379">
        <v>654</v>
      </c>
      <c r="B1071" s="379">
        <v>981760</v>
      </c>
      <c r="C1071" s="379" t="s">
        <v>498</v>
      </c>
      <c r="D1071" s="379">
        <v>32151951</v>
      </c>
      <c r="E1071" s="379" t="s">
        <v>2825</v>
      </c>
      <c r="F1071" s="379" t="s">
        <v>3236</v>
      </c>
      <c r="G1071" s="383">
        <v>43466</v>
      </c>
      <c r="H1071" s="379">
        <v>1800</v>
      </c>
      <c r="I1071" s="379">
        <v>63.9</v>
      </c>
      <c r="J1071" s="379"/>
      <c r="K1071" s="379">
        <v>135</v>
      </c>
      <c r="L1071" s="379"/>
      <c r="M1071" s="379"/>
      <c r="N1071" s="379"/>
      <c r="O1071" s="379">
        <v>0</v>
      </c>
      <c r="P1071" s="379">
        <v>1800</v>
      </c>
      <c r="Q1071" s="379"/>
      <c r="R1071" s="379"/>
      <c r="S1071" s="379"/>
      <c r="T1071" s="379"/>
      <c r="U1071" s="379"/>
      <c r="V1071" s="380">
        <v>1998.9</v>
      </c>
      <c r="W1071" s="381"/>
      <c r="X1071" s="379"/>
      <c r="Y1071" s="379"/>
      <c r="Z1071" s="379">
        <v>1031001</v>
      </c>
      <c r="AA1071" s="379" t="s">
        <v>2328</v>
      </c>
      <c r="AB1071" s="380">
        <f t="shared" si="15"/>
        <v>0</v>
      </c>
    </row>
    <row r="1072" spans="1:28" outlineLevel="1" x14ac:dyDescent="0.3">
      <c r="A1072" s="379"/>
      <c r="B1072" s="384" t="s">
        <v>3237</v>
      </c>
      <c r="C1072" s="379"/>
      <c r="D1072" s="379"/>
      <c r="E1072" s="379"/>
      <c r="F1072" s="379"/>
      <c r="G1072" s="383"/>
      <c r="H1072" s="379"/>
      <c r="I1072" s="379"/>
      <c r="J1072" s="379"/>
      <c r="K1072" s="379"/>
      <c r="L1072" s="379"/>
      <c r="M1072" s="379"/>
      <c r="N1072" s="379"/>
      <c r="O1072" s="379"/>
      <c r="P1072" s="379"/>
      <c r="Q1072" s="379"/>
      <c r="R1072" s="379"/>
      <c r="S1072" s="379"/>
      <c r="T1072" s="379"/>
      <c r="U1072" s="379"/>
      <c r="V1072" s="380">
        <f>SUBTOTAL(9,V1060:V1071)</f>
        <v>51610.200000000012</v>
      </c>
      <c r="W1072" s="381">
        <f>SUBTOTAL(9,W1060:W1071)</f>
        <v>0</v>
      </c>
      <c r="X1072" s="379"/>
      <c r="Y1072" s="379"/>
      <c r="Z1072" s="379"/>
      <c r="AA1072" s="379"/>
      <c r="AB1072" s="380">
        <f>SUBTOTAL(9,AB1060:AB1071)</f>
        <v>0</v>
      </c>
    </row>
    <row r="1073" spans="1:28" outlineLevel="2" x14ac:dyDescent="0.3">
      <c r="A1073" s="379">
        <v>654</v>
      </c>
      <c r="B1073" s="379">
        <v>981780</v>
      </c>
      <c r="C1073" s="379" t="s">
        <v>599</v>
      </c>
      <c r="D1073" s="379">
        <v>2889007</v>
      </c>
      <c r="E1073" s="379" t="s">
        <v>2365</v>
      </c>
      <c r="F1073" s="379" t="s">
        <v>2935</v>
      </c>
      <c r="G1073" s="383">
        <v>42767</v>
      </c>
      <c r="H1073" s="379">
        <v>649</v>
      </c>
      <c r="I1073" s="379">
        <v>23.04</v>
      </c>
      <c r="J1073" s="379">
        <v>87.62</v>
      </c>
      <c r="K1073" s="379">
        <v>48.7</v>
      </c>
      <c r="L1073" s="379"/>
      <c r="M1073" s="379"/>
      <c r="N1073" s="379"/>
      <c r="O1073" s="379"/>
      <c r="P1073" s="379">
        <v>649</v>
      </c>
      <c r="Q1073" s="379"/>
      <c r="R1073" s="379"/>
      <c r="S1073" s="379"/>
      <c r="T1073" s="379"/>
      <c r="U1073" s="379"/>
      <c r="V1073" s="380">
        <v>808.36</v>
      </c>
      <c r="W1073" s="381"/>
      <c r="X1073" s="379"/>
      <c r="Y1073" s="379"/>
      <c r="Z1073" s="379">
        <v>1401202</v>
      </c>
      <c r="AA1073" s="379" t="s">
        <v>2380</v>
      </c>
      <c r="AB1073" s="380">
        <f t="shared" si="15"/>
        <v>0</v>
      </c>
    </row>
    <row r="1074" spans="1:28" outlineLevel="2" x14ac:dyDescent="0.3">
      <c r="A1074" s="379">
        <v>654</v>
      </c>
      <c r="B1074" s="379">
        <v>981780</v>
      </c>
      <c r="C1074" s="379" t="s">
        <v>599</v>
      </c>
      <c r="D1074" s="379">
        <v>3655494</v>
      </c>
      <c r="E1074" s="379" t="s">
        <v>2792</v>
      </c>
      <c r="F1074" s="379" t="s">
        <v>2793</v>
      </c>
      <c r="G1074" s="383">
        <v>42826</v>
      </c>
      <c r="H1074" s="379">
        <v>752.25</v>
      </c>
      <c r="I1074" s="379">
        <v>26.7</v>
      </c>
      <c r="J1074" s="379">
        <v>101.56</v>
      </c>
      <c r="K1074" s="379">
        <v>56.4</v>
      </c>
      <c r="L1074" s="379"/>
      <c r="M1074" s="379"/>
      <c r="N1074" s="379"/>
      <c r="O1074" s="379"/>
      <c r="P1074" s="379">
        <v>752.25</v>
      </c>
      <c r="Q1074" s="379"/>
      <c r="R1074" s="379"/>
      <c r="S1074" s="379"/>
      <c r="T1074" s="379"/>
      <c r="U1074" s="379"/>
      <c r="V1074" s="380">
        <v>936.91</v>
      </c>
      <c r="W1074" s="381"/>
      <c r="X1074" s="379"/>
      <c r="Y1074" s="379"/>
      <c r="Z1074" s="379">
        <v>1027</v>
      </c>
      <c r="AA1074" s="379" t="s">
        <v>2383</v>
      </c>
      <c r="AB1074" s="380">
        <f t="shared" si="15"/>
        <v>0</v>
      </c>
    </row>
    <row r="1075" spans="1:28" outlineLevel="2" x14ac:dyDescent="0.3">
      <c r="A1075" s="379">
        <v>654</v>
      </c>
      <c r="B1075" s="379">
        <v>981780</v>
      </c>
      <c r="C1075" s="379" t="s">
        <v>599</v>
      </c>
      <c r="D1075" s="379">
        <v>5429071</v>
      </c>
      <c r="E1075" s="379" t="s">
        <v>2355</v>
      </c>
      <c r="F1075" s="379" t="s">
        <v>2709</v>
      </c>
      <c r="G1075" s="383">
        <v>43070</v>
      </c>
      <c r="H1075" s="379">
        <v>147.5</v>
      </c>
      <c r="I1075" s="379">
        <v>5.25</v>
      </c>
      <c r="J1075" s="379"/>
      <c r="K1075" s="379">
        <v>11.07</v>
      </c>
      <c r="L1075" s="379"/>
      <c r="M1075" s="379"/>
      <c r="N1075" s="379"/>
      <c r="O1075" s="379"/>
      <c r="P1075" s="379">
        <v>147.5</v>
      </c>
      <c r="Q1075" s="379"/>
      <c r="R1075" s="379"/>
      <c r="S1075" s="379"/>
      <c r="T1075" s="379"/>
      <c r="U1075" s="379"/>
      <c r="V1075" s="380">
        <v>163.82</v>
      </c>
      <c r="W1075" s="381"/>
      <c r="X1075" s="379"/>
      <c r="Y1075" s="379"/>
      <c r="Z1075" s="379">
        <v>1401202</v>
      </c>
      <c r="AA1075" s="379" t="s">
        <v>2380</v>
      </c>
      <c r="AB1075" s="380">
        <f t="shared" si="15"/>
        <v>0</v>
      </c>
    </row>
    <row r="1076" spans="1:28" outlineLevel="2" x14ac:dyDescent="0.3">
      <c r="A1076" s="379">
        <v>654</v>
      </c>
      <c r="B1076" s="379">
        <v>981780</v>
      </c>
      <c r="C1076" s="379" t="s">
        <v>599</v>
      </c>
      <c r="D1076" s="379">
        <v>6212773</v>
      </c>
      <c r="E1076" s="379" t="s">
        <v>3042</v>
      </c>
      <c r="F1076" s="379" t="s">
        <v>3043</v>
      </c>
      <c r="G1076" s="383">
        <v>41883</v>
      </c>
      <c r="H1076" s="379">
        <v>2301</v>
      </c>
      <c r="I1076" s="379">
        <v>11.04</v>
      </c>
      <c r="J1076" s="379"/>
      <c r="K1076" s="379">
        <v>172.55</v>
      </c>
      <c r="L1076" s="379"/>
      <c r="M1076" s="379"/>
      <c r="N1076" s="379"/>
      <c r="O1076" s="379"/>
      <c r="P1076" s="379">
        <v>2301</v>
      </c>
      <c r="Q1076" s="379"/>
      <c r="R1076" s="379"/>
      <c r="S1076" s="379"/>
      <c r="T1076" s="379"/>
      <c r="U1076" s="379"/>
      <c r="V1076" s="380">
        <v>2484.59</v>
      </c>
      <c r="W1076" s="381"/>
      <c r="X1076" s="379">
        <v>1</v>
      </c>
      <c r="Y1076" s="379" t="s">
        <v>2353</v>
      </c>
      <c r="Z1076" s="379">
        <v>5821001</v>
      </c>
      <c r="AA1076" s="379" t="s">
        <v>2427</v>
      </c>
      <c r="AB1076" s="380">
        <f t="shared" si="15"/>
        <v>0</v>
      </c>
    </row>
    <row r="1077" spans="1:28" outlineLevel="2" x14ac:dyDescent="0.3">
      <c r="A1077" s="379">
        <v>654</v>
      </c>
      <c r="B1077" s="379">
        <v>981780</v>
      </c>
      <c r="C1077" s="379" t="s">
        <v>599</v>
      </c>
      <c r="D1077" s="379">
        <v>20929113</v>
      </c>
      <c r="E1077" s="379" t="s">
        <v>3037</v>
      </c>
      <c r="F1077" s="379" t="s">
        <v>2366</v>
      </c>
      <c r="G1077" s="383">
        <v>42552</v>
      </c>
      <c r="H1077" s="379">
        <v>1577.5</v>
      </c>
      <c r="I1077" s="379">
        <v>56</v>
      </c>
      <c r="J1077" s="379">
        <v>203.11</v>
      </c>
      <c r="K1077" s="379">
        <v>118.3</v>
      </c>
      <c r="L1077" s="379"/>
      <c r="M1077" s="379"/>
      <c r="N1077" s="379"/>
      <c r="O1077" s="379"/>
      <c r="P1077" s="379">
        <v>1504.5</v>
      </c>
      <c r="Q1077" s="379">
        <v>73</v>
      </c>
      <c r="R1077" s="379"/>
      <c r="S1077" s="379"/>
      <c r="T1077" s="379"/>
      <c r="U1077" s="379"/>
      <c r="V1077" s="380">
        <v>1954.91</v>
      </c>
      <c r="W1077" s="381"/>
      <c r="X1077" s="379"/>
      <c r="Y1077" s="379"/>
      <c r="Z1077" s="379">
        <v>1401202</v>
      </c>
      <c r="AA1077" s="379" t="s">
        <v>2380</v>
      </c>
      <c r="AB1077" s="380">
        <f t="shared" si="15"/>
        <v>0</v>
      </c>
    </row>
    <row r="1078" spans="1:28" outlineLevel="2" x14ac:dyDescent="0.3">
      <c r="A1078" s="379">
        <v>654</v>
      </c>
      <c r="B1078" s="379">
        <v>981780</v>
      </c>
      <c r="C1078" s="379" t="s">
        <v>599</v>
      </c>
      <c r="D1078" s="379">
        <v>32151948</v>
      </c>
      <c r="E1078" s="379" t="s">
        <v>2825</v>
      </c>
      <c r="F1078" s="379" t="s">
        <v>3051</v>
      </c>
      <c r="G1078" s="383">
        <v>43497</v>
      </c>
      <c r="H1078" s="379">
        <v>5914.75</v>
      </c>
      <c r="I1078" s="379">
        <v>209.98</v>
      </c>
      <c r="J1078" s="379">
        <v>798.5</v>
      </c>
      <c r="K1078" s="379">
        <v>443.6</v>
      </c>
      <c r="L1078" s="379"/>
      <c r="M1078" s="379"/>
      <c r="N1078" s="379"/>
      <c r="O1078" s="379"/>
      <c r="P1078" s="379">
        <v>5914.75</v>
      </c>
      <c r="Q1078" s="379"/>
      <c r="R1078" s="379"/>
      <c r="S1078" s="379"/>
      <c r="T1078" s="379"/>
      <c r="U1078" s="379"/>
      <c r="V1078" s="380">
        <v>7366.83</v>
      </c>
      <c r="W1078" s="381"/>
      <c r="X1078" s="379"/>
      <c r="Y1078" s="379"/>
      <c r="Z1078" s="379">
        <v>1401202</v>
      </c>
      <c r="AA1078" s="379" t="s">
        <v>2380</v>
      </c>
      <c r="AB1078" s="380">
        <f t="shared" si="15"/>
        <v>0</v>
      </c>
    </row>
    <row r="1079" spans="1:28" outlineLevel="2" x14ac:dyDescent="0.3">
      <c r="A1079" s="379">
        <v>654</v>
      </c>
      <c r="B1079" s="379">
        <v>981780</v>
      </c>
      <c r="C1079" s="379" t="s">
        <v>599</v>
      </c>
      <c r="D1079" s="379">
        <v>32151949</v>
      </c>
      <c r="E1079" s="379" t="s">
        <v>2825</v>
      </c>
      <c r="F1079" s="379" t="s">
        <v>3052</v>
      </c>
      <c r="G1079" s="383">
        <v>43405</v>
      </c>
      <c r="H1079" s="379">
        <v>12262.3</v>
      </c>
      <c r="I1079" s="379">
        <v>506.84</v>
      </c>
      <c r="J1079" s="379">
        <v>1399.75</v>
      </c>
      <c r="K1079" s="379">
        <v>919.7</v>
      </c>
      <c r="L1079" s="379"/>
      <c r="M1079" s="379"/>
      <c r="N1079" s="379"/>
      <c r="O1079" s="379"/>
      <c r="P1079" s="379">
        <v>10368.5</v>
      </c>
      <c r="Q1079" s="379"/>
      <c r="R1079" s="379"/>
      <c r="S1079" s="379"/>
      <c r="T1079" s="379"/>
      <c r="U1079" s="379">
        <v>1893.8</v>
      </c>
      <c r="V1079" s="380">
        <v>15088.59</v>
      </c>
      <c r="W1079" s="381"/>
      <c r="X1079" s="379"/>
      <c r="Y1079" s="379"/>
      <c r="Z1079" s="379">
        <v>5931001</v>
      </c>
      <c r="AA1079" s="379" t="s">
        <v>2320</v>
      </c>
      <c r="AB1079" s="380">
        <f t="shared" si="15"/>
        <v>0</v>
      </c>
    </row>
    <row r="1080" spans="1:28" outlineLevel="2" x14ac:dyDescent="0.3">
      <c r="A1080" s="379">
        <v>654</v>
      </c>
      <c r="B1080" s="379">
        <v>981780</v>
      </c>
      <c r="C1080" s="379" t="s">
        <v>599</v>
      </c>
      <c r="D1080" s="379">
        <v>32151950</v>
      </c>
      <c r="E1080" s="379" t="s">
        <v>2825</v>
      </c>
      <c r="F1080" s="379" t="s">
        <v>3238</v>
      </c>
      <c r="G1080" s="383">
        <v>42767</v>
      </c>
      <c r="H1080" s="379">
        <v>3621.5</v>
      </c>
      <c r="I1080" s="379">
        <v>128.56</v>
      </c>
      <c r="J1080" s="379"/>
      <c r="K1080" s="379">
        <v>271.60000000000002</v>
      </c>
      <c r="L1080" s="379"/>
      <c r="M1080" s="379"/>
      <c r="N1080" s="379"/>
      <c r="O1080" s="379"/>
      <c r="P1080" s="379">
        <v>3621.5</v>
      </c>
      <c r="Q1080" s="379"/>
      <c r="R1080" s="379"/>
      <c r="S1080" s="379"/>
      <c r="T1080" s="379"/>
      <c r="U1080" s="379"/>
      <c r="V1080" s="380">
        <v>4021.66</v>
      </c>
      <c r="W1080" s="381"/>
      <c r="X1080" s="379"/>
      <c r="Y1080" s="379"/>
      <c r="Z1080" s="379">
        <v>1582005</v>
      </c>
      <c r="AA1080" s="379" t="s">
        <v>2475</v>
      </c>
      <c r="AB1080" s="380">
        <f t="shared" si="15"/>
        <v>0</v>
      </c>
    </row>
    <row r="1081" spans="1:28" outlineLevel="2" x14ac:dyDescent="0.3">
      <c r="A1081" s="379">
        <v>654</v>
      </c>
      <c r="B1081" s="379">
        <v>981780</v>
      </c>
      <c r="C1081" s="379" t="s">
        <v>599</v>
      </c>
      <c r="D1081" s="379">
        <v>32154885</v>
      </c>
      <c r="E1081" s="379" t="s">
        <v>3053</v>
      </c>
      <c r="F1081" s="379" t="s">
        <v>2861</v>
      </c>
      <c r="G1081" s="383">
        <v>43525</v>
      </c>
      <c r="H1081" s="379">
        <v>885</v>
      </c>
      <c r="I1081" s="379">
        <v>31.42</v>
      </c>
      <c r="J1081" s="379">
        <v>119.48</v>
      </c>
      <c r="K1081" s="379">
        <v>66.400000000000006</v>
      </c>
      <c r="L1081" s="379"/>
      <c r="M1081" s="379"/>
      <c r="N1081" s="379"/>
      <c r="O1081" s="379"/>
      <c r="P1081" s="379">
        <v>885</v>
      </c>
      <c r="Q1081" s="379"/>
      <c r="R1081" s="379"/>
      <c r="S1081" s="379"/>
      <c r="T1081" s="379"/>
      <c r="U1081" s="379"/>
      <c r="V1081" s="380">
        <v>1102.3</v>
      </c>
      <c r="W1081" s="381"/>
      <c r="X1081" s="379"/>
      <c r="Y1081" s="379"/>
      <c r="Z1081" s="379">
        <v>1401202</v>
      </c>
      <c r="AA1081" s="379" t="s">
        <v>2380</v>
      </c>
      <c r="AB1081" s="380">
        <f t="shared" si="15"/>
        <v>0</v>
      </c>
    </row>
    <row r="1082" spans="1:28" outlineLevel="1" x14ac:dyDescent="0.3">
      <c r="A1082" s="379"/>
      <c r="B1082" s="384" t="s">
        <v>3239</v>
      </c>
      <c r="C1082" s="379"/>
      <c r="D1082" s="379"/>
      <c r="E1082" s="379"/>
      <c r="F1082" s="379"/>
      <c r="G1082" s="383"/>
      <c r="H1082" s="379"/>
      <c r="I1082" s="379"/>
      <c r="J1082" s="379"/>
      <c r="K1082" s="379"/>
      <c r="L1082" s="379"/>
      <c r="M1082" s="379"/>
      <c r="N1082" s="379"/>
      <c r="O1082" s="379"/>
      <c r="P1082" s="379"/>
      <c r="Q1082" s="379"/>
      <c r="R1082" s="379"/>
      <c r="S1082" s="379"/>
      <c r="T1082" s="379"/>
      <c r="U1082" s="379"/>
      <c r="V1082" s="380">
        <f>SUBTOTAL(9,V1073:V1081)</f>
        <v>33927.97</v>
      </c>
      <c r="W1082" s="381">
        <f>SUBTOTAL(9,W1073:W1081)</f>
        <v>0</v>
      </c>
      <c r="X1082" s="379"/>
      <c r="Y1082" s="379"/>
      <c r="Z1082" s="379"/>
      <c r="AA1082" s="379"/>
      <c r="AB1082" s="380">
        <f>SUBTOTAL(9,AB1073:AB1081)</f>
        <v>0</v>
      </c>
    </row>
    <row r="1083" spans="1:28" outlineLevel="2" x14ac:dyDescent="0.3">
      <c r="A1083" s="379">
        <v>654</v>
      </c>
      <c r="B1083" s="379">
        <v>981781</v>
      </c>
      <c r="C1083" s="379" t="s">
        <v>1390</v>
      </c>
      <c r="D1083" s="379">
        <v>2435066</v>
      </c>
      <c r="E1083" s="379" t="s">
        <v>2761</v>
      </c>
      <c r="F1083" s="379" t="s">
        <v>2324</v>
      </c>
      <c r="G1083" s="383">
        <v>43221</v>
      </c>
      <c r="H1083" s="379">
        <v>236</v>
      </c>
      <c r="I1083" s="379">
        <v>8.3699999999999992</v>
      </c>
      <c r="J1083" s="379">
        <v>31.86</v>
      </c>
      <c r="K1083" s="379">
        <v>17.7</v>
      </c>
      <c r="L1083" s="379"/>
      <c r="M1083" s="379"/>
      <c r="N1083" s="379"/>
      <c r="O1083" s="379"/>
      <c r="P1083" s="379">
        <v>236</v>
      </c>
      <c r="Q1083" s="379"/>
      <c r="R1083" s="379"/>
      <c r="S1083" s="379"/>
      <c r="T1083" s="379"/>
      <c r="U1083" s="379"/>
      <c r="V1083" s="380">
        <v>293.93</v>
      </c>
      <c r="W1083" s="381"/>
      <c r="X1083" s="379"/>
      <c r="Y1083" s="379"/>
      <c r="Z1083" s="379">
        <v>5821001</v>
      </c>
      <c r="AA1083" s="379" t="s">
        <v>2427</v>
      </c>
      <c r="AB1083" s="380">
        <f t="shared" si="15"/>
        <v>0</v>
      </c>
    </row>
    <row r="1084" spans="1:28" outlineLevel="2" x14ac:dyDescent="0.3">
      <c r="A1084" s="379">
        <v>654</v>
      </c>
      <c r="B1084" s="379">
        <v>981781</v>
      </c>
      <c r="C1084" s="379" t="s">
        <v>1390</v>
      </c>
      <c r="D1084" s="379">
        <v>2458074</v>
      </c>
      <c r="E1084" s="379" t="s">
        <v>2675</v>
      </c>
      <c r="F1084" s="379" t="s">
        <v>2673</v>
      </c>
      <c r="G1084" s="383">
        <v>42401</v>
      </c>
      <c r="H1084" s="379">
        <v>2527.25</v>
      </c>
      <c r="I1084" s="379">
        <v>89.71</v>
      </c>
      <c r="J1084" s="379">
        <v>332.56</v>
      </c>
      <c r="K1084" s="379">
        <v>189.52</v>
      </c>
      <c r="L1084" s="379"/>
      <c r="M1084" s="379"/>
      <c r="N1084" s="379"/>
      <c r="O1084" s="379"/>
      <c r="P1084" s="379">
        <v>2463.25</v>
      </c>
      <c r="Q1084" s="379">
        <v>64</v>
      </c>
      <c r="R1084" s="379"/>
      <c r="S1084" s="379"/>
      <c r="T1084" s="379"/>
      <c r="U1084" s="379"/>
      <c r="V1084" s="380">
        <v>3139.04</v>
      </c>
      <c r="W1084" s="381"/>
      <c r="X1084" s="379"/>
      <c r="Y1084" s="379"/>
      <c r="Z1084" s="379">
        <v>5821001</v>
      </c>
      <c r="AA1084" s="379" t="s">
        <v>2427</v>
      </c>
      <c r="AB1084" s="380">
        <f t="shared" si="15"/>
        <v>0</v>
      </c>
    </row>
    <row r="1085" spans="1:28" outlineLevel="2" x14ac:dyDescent="0.3">
      <c r="A1085" s="379">
        <v>654</v>
      </c>
      <c r="B1085" s="379">
        <v>981781</v>
      </c>
      <c r="C1085" s="379" t="s">
        <v>1390</v>
      </c>
      <c r="D1085" s="379">
        <v>3655494</v>
      </c>
      <c r="E1085" s="379" t="s">
        <v>2792</v>
      </c>
      <c r="F1085" s="379" t="s">
        <v>2793</v>
      </c>
      <c r="G1085" s="383">
        <v>42826</v>
      </c>
      <c r="H1085" s="379">
        <v>2832</v>
      </c>
      <c r="I1085" s="379">
        <v>100.53</v>
      </c>
      <c r="J1085" s="379">
        <v>382.32</v>
      </c>
      <c r="K1085" s="379">
        <v>212.43</v>
      </c>
      <c r="L1085" s="379"/>
      <c r="M1085" s="379"/>
      <c r="N1085" s="379"/>
      <c r="O1085" s="379"/>
      <c r="P1085" s="379">
        <v>2832</v>
      </c>
      <c r="Q1085" s="379"/>
      <c r="R1085" s="379"/>
      <c r="S1085" s="379"/>
      <c r="T1085" s="379"/>
      <c r="U1085" s="379"/>
      <c r="V1085" s="380">
        <v>3527.28</v>
      </c>
      <c r="W1085" s="381"/>
      <c r="X1085" s="379"/>
      <c r="Y1085" s="379"/>
      <c r="Z1085" s="379">
        <v>1027</v>
      </c>
      <c r="AA1085" s="379" t="s">
        <v>2383</v>
      </c>
      <c r="AB1085" s="380">
        <f t="shared" si="15"/>
        <v>0</v>
      </c>
    </row>
    <row r="1086" spans="1:28" outlineLevel="2" x14ac:dyDescent="0.3">
      <c r="A1086" s="379">
        <v>654</v>
      </c>
      <c r="B1086" s="379">
        <v>981781</v>
      </c>
      <c r="C1086" s="379" t="s">
        <v>1390</v>
      </c>
      <c r="D1086" s="379">
        <v>5429071</v>
      </c>
      <c r="E1086" s="379" t="s">
        <v>2355</v>
      </c>
      <c r="F1086" s="379" t="s">
        <v>2709</v>
      </c>
      <c r="G1086" s="383">
        <v>43070</v>
      </c>
      <c r="H1086" s="379">
        <v>177</v>
      </c>
      <c r="I1086" s="379">
        <v>6.28</v>
      </c>
      <c r="J1086" s="379">
        <v>23.9</v>
      </c>
      <c r="K1086" s="379">
        <v>13.27</v>
      </c>
      <c r="L1086" s="379"/>
      <c r="M1086" s="379"/>
      <c r="N1086" s="379"/>
      <c r="O1086" s="379"/>
      <c r="P1086" s="379">
        <v>177</v>
      </c>
      <c r="Q1086" s="379"/>
      <c r="R1086" s="379"/>
      <c r="S1086" s="379"/>
      <c r="T1086" s="379"/>
      <c r="U1086" s="379"/>
      <c r="V1086" s="380">
        <v>220.45</v>
      </c>
      <c r="W1086" s="381"/>
      <c r="X1086" s="379"/>
      <c r="Y1086" s="379"/>
      <c r="Z1086" s="379">
        <v>1401202</v>
      </c>
      <c r="AA1086" s="379" t="s">
        <v>2380</v>
      </c>
      <c r="AB1086" s="380">
        <f t="shared" si="15"/>
        <v>0</v>
      </c>
    </row>
    <row r="1087" spans="1:28" outlineLevel="2" x14ac:dyDescent="0.3">
      <c r="A1087" s="379">
        <v>654</v>
      </c>
      <c r="B1087" s="379">
        <v>981781</v>
      </c>
      <c r="C1087" s="379" t="s">
        <v>1390</v>
      </c>
      <c r="D1087" s="379">
        <v>5646436</v>
      </c>
      <c r="E1087" s="379" t="s">
        <v>2716</v>
      </c>
      <c r="F1087" s="379" t="s">
        <v>2717</v>
      </c>
      <c r="G1087" s="383">
        <v>43009</v>
      </c>
      <c r="H1087" s="379">
        <v>2256.75</v>
      </c>
      <c r="I1087" s="379">
        <v>80.11</v>
      </c>
      <c r="J1087" s="379">
        <v>304.64999999999998</v>
      </c>
      <c r="K1087" s="379">
        <v>169.24</v>
      </c>
      <c r="L1087" s="379"/>
      <c r="M1087" s="379"/>
      <c r="N1087" s="379"/>
      <c r="O1087" s="379"/>
      <c r="P1087" s="379">
        <v>2256.75</v>
      </c>
      <c r="Q1087" s="379"/>
      <c r="R1087" s="379"/>
      <c r="S1087" s="379"/>
      <c r="T1087" s="379"/>
      <c r="U1087" s="379"/>
      <c r="V1087" s="380">
        <v>2810.75</v>
      </c>
      <c r="W1087" s="381"/>
      <c r="X1087" s="379"/>
      <c r="Y1087" s="379"/>
      <c r="Z1087" s="379">
        <v>5821001</v>
      </c>
      <c r="AA1087" s="379" t="s">
        <v>2427</v>
      </c>
      <c r="AB1087" s="380">
        <f t="shared" si="15"/>
        <v>0</v>
      </c>
    </row>
    <row r="1088" spans="1:28" outlineLevel="2" x14ac:dyDescent="0.3">
      <c r="A1088" s="379">
        <v>654</v>
      </c>
      <c r="B1088" s="379">
        <v>981781</v>
      </c>
      <c r="C1088" s="379" t="s">
        <v>1390</v>
      </c>
      <c r="D1088" s="379">
        <v>5970659</v>
      </c>
      <c r="E1088" s="379" t="s">
        <v>2590</v>
      </c>
      <c r="F1088" s="379" t="s">
        <v>2361</v>
      </c>
      <c r="G1088" s="383">
        <v>43405</v>
      </c>
      <c r="H1088" s="379">
        <v>2836</v>
      </c>
      <c r="I1088" s="379">
        <v>100.68</v>
      </c>
      <c r="J1088" s="379">
        <v>358.42</v>
      </c>
      <c r="K1088" s="379">
        <v>212.7</v>
      </c>
      <c r="L1088" s="379"/>
      <c r="M1088" s="379"/>
      <c r="N1088" s="379"/>
      <c r="O1088" s="379"/>
      <c r="P1088" s="379">
        <v>2655</v>
      </c>
      <c r="Q1088" s="379">
        <v>181</v>
      </c>
      <c r="R1088" s="379"/>
      <c r="S1088" s="379"/>
      <c r="T1088" s="379"/>
      <c r="U1088" s="379"/>
      <c r="V1088" s="380">
        <v>3507.8</v>
      </c>
      <c r="W1088" s="381"/>
      <c r="X1088" s="379"/>
      <c r="Y1088" s="379"/>
      <c r="Z1088" s="379">
        <v>1422001</v>
      </c>
      <c r="AA1088" s="379" t="s">
        <v>2648</v>
      </c>
      <c r="AB1088" s="380">
        <f t="shared" si="15"/>
        <v>0</v>
      </c>
    </row>
    <row r="1089" spans="1:28" outlineLevel="2" x14ac:dyDescent="0.3">
      <c r="A1089" s="379">
        <v>654</v>
      </c>
      <c r="B1089" s="379">
        <v>981781</v>
      </c>
      <c r="C1089" s="379" t="s">
        <v>1390</v>
      </c>
      <c r="D1089" s="379">
        <v>30938860</v>
      </c>
      <c r="E1089" s="379" t="s">
        <v>2751</v>
      </c>
      <c r="F1089" s="379" t="s">
        <v>2752</v>
      </c>
      <c r="G1089" s="383">
        <v>43497</v>
      </c>
      <c r="H1089" s="379">
        <v>206.5</v>
      </c>
      <c r="I1089" s="379">
        <v>7.33</v>
      </c>
      <c r="J1089" s="379">
        <v>27.88</v>
      </c>
      <c r="K1089" s="379">
        <v>15.48</v>
      </c>
      <c r="L1089" s="379"/>
      <c r="M1089" s="379"/>
      <c r="N1089" s="379"/>
      <c r="O1089" s="379"/>
      <c r="P1089" s="379">
        <v>206.5</v>
      </c>
      <c r="Q1089" s="379"/>
      <c r="R1089" s="379"/>
      <c r="S1089" s="379"/>
      <c r="T1089" s="379"/>
      <c r="U1089" s="379"/>
      <c r="V1089" s="380">
        <v>257.19</v>
      </c>
      <c r="W1089" s="381"/>
      <c r="X1089" s="379"/>
      <c r="Y1089" s="379"/>
      <c r="Z1089" s="379">
        <v>5821001</v>
      </c>
      <c r="AA1089" s="379" t="s">
        <v>2427</v>
      </c>
      <c r="AB1089" s="380">
        <f t="shared" si="15"/>
        <v>0</v>
      </c>
    </row>
    <row r="1090" spans="1:28" outlineLevel="1" x14ac:dyDescent="0.3">
      <c r="A1090" s="379"/>
      <c r="B1090" s="384" t="s">
        <v>3240</v>
      </c>
      <c r="C1090" s="379"/>
      <c r="D1090" s="379"/>
      <c r="E1090" s="379"/>
      <c r="F1090" s="379"/>
      <c r="G1090" s="383"/>
      <c r="H1090" s="379"/>
      <c r="I1090" s="379"/>
      <c r="J1090" s="379"/>
      <c r="K1090" s="379"/>
      <c r="L1090" s="379"/>
      <c r="M1090" s="379"/>
      <c r="N1090" s="379"/>
      <c r="O1090" s="379"/>
      <c r="P1090" s="379"/>
      <c r="Q1090" s="379"/>
      <c r="R1090" s="379"/>
      <c r="S1090" s="379"/>
      <c r="T1090" s="379"/>
      <c r="U1090" s="379"/>
      <c r="V1090" s="380">
        <f>SUBTOTAL(9,V1083:V1089)</f>
        <v>13756.44</v>
      </c>
      <c r="W1090" s="381">
        <f>SUBTOTAL(9,W1083:W1089)</f>
        <v>0</v>
      </c>
      <c r="X1090" s="379"/>
      <c r="Y1090" s="379"/>
      <c r="Z1090" s="379"/>
      <c r="AA1090" s="379"/>
      <c r="AB1090" s="380">
        <f>SUBTOTAL(9,AB1083:AB1089)</f>
        <v>0</v>
      </c>
    </row>
    <row r="1091" spans="1:28" outlineLevel="2" x14ac:dyDescent="0.3">
      <c r="A1091" s="379">
        <v>431</v>
      </c>
      <c r="B1091" s="379">
        <v>982810</v>
      </c>
      <c r="C1091" s="379" t="s">
        <v>132</v>
      </c>
      <c r="D1091" s="379">
        <v>1202381</v>
      </c>
      <c r="E1091" s="379" t="s">
        <v>3091</v>
      </c>
      <c r="F1091" s="379" t="s">
        <v>3092</v>
      </c>
      <c r="G1091" s="383">
        <v>43556</v>
      </c>
      <c r="H1091" s="379">
        <v>803</v>
      </c>
      <c r="I1091" s="379">
        <v>32.1</v>
      </c>
      <c r="J1091" s="379">
        <v>101.25</v>
      </c>
      <c r="K1091" s="379">
        <v>67.8</v>
      </c>
      <c r="L1091" s="379"/>
      <c r="M1091" s="379"/>
      <c r="N1091" s="379"/>
      <c r="O1091" s="379"/>
      <c r="P1091" s="379">
        <v>750</v>
      </c>
      <c r="Q1091" s="379">
        <v>53</v>
      </c>
      <c r="R1091" s="379"/>
      <c r="S1091" s="379"/>
      <c r="T1091" s="379"/>
      <c r="U1091" s="379"/>
      <c r="V1091" s="380">
        <v>1004.15</v>
      </c>
      <c r="W1091" s="381"/>
      <c r="X1091" s="379"/>
      <c r="Y1091" s="379"/>
      <c r="Z1091" s="379">
        <v>953001</v>
      </c>
      <c r="AA1091" s="379" t="s">
        <v>2902</v>
      </c>
      <c r="AB1091" s="380">
        <f t="shared" si="15"/>
        <v>0</v>
      </c>
    </row>
    <row r="1092" spans="1:28" outlineLevel="2" x14ac:dyDescent="0.3">
      <c r="A1092" s="379">
        <v>431</v>
      </c>
      <c r="B1092" s="379">
        <v>982810</v>
      </c>
      <c r="C1092" s="379" t="s">
        <v>132</v>
      </c>
      <c r="D1092" s="379">
        <v>2154634</v>
      </c>
      <c r="E1092" s="379" t="s">
        <v>3093</v>
      </c>
      <c r="F1092" s="379" t="s">
        <v>3094</v>
      </c>
      <c r="G1092" s="383">
        <v>43344</v>
      </c>
      <c r="H1092" s="379">
        <v>9370</v>
      </c>
      <c r="I1092" s="379">
        <v>376.11</v>
      </c>
      <c r="J1092" s="379">
        <v>1224.73</v>
      </c>
      <c r="K1092" s="379">
        <v>794.65</v>
      </c>
      <c r="L1092" s="379"/>
      <c r="M1092" s="379"/>
      <c r="N1092" s="379"/>
      <c r="O1092" s="379"/>
      <c r="P1092" s="379">
        <v>7860</v>
      </c>
      <c r="Q1092" s="379">
        <v>298</v>
      </c>
      <c r="R1092" s="379"/>
      <c r="S1092" s="379"/>
      <c r="T1092" s="379">
        <v>1212</v>
      </c>
      <c r="U1092" s="379"/>
      <c r="V1092" s="380">
        <v>11765.49</v>
      </c>
      <c r="W1092" s="381"/>
      <c r="X1092" s="379"/>
      <c r="Y1092" s="379"/>
      <c r="Z1092" s="379">
        <v>953001</v>
      </c>
      <c r="AA1092" s="379" t="s">
        <v>2902</v>
      </c>
      <c r="AB1092" s="380">
        <f t="shared" si="15"/>
        <v>0</v>
      </c>
    </row>
    <row r="1093" spans="1:28" outlineLevel="2" x14ac:dyDescent="0.3">
      <c r="A1093" s="379">
        <v>431</v>
      </c>
      <c r="B1093" s="379">
        <v>982810</v>
      </c>
      <c r="C1093" s="379" t="s">
        <v>132</v>
      </c>
      <c r="D1093" s="379">
        <v>2154799</v>
      </c>
      <c r="E1093" s="379" t="s">
        <v>3095</v>
      </c>
      <c r="F1093" s="379" t="s">
        <v>2302</v>
      </c>
      <c r="G1093" s="383">
        <v>43009</v>
      </c>
      <c r="H1093" s="379">
        <v>14947</v>
      </c>
      <c r="I1093" s="379">
        <v>530.61</v>
      </c>
      <c r="J1093" s="379">
        <v>1946.03</v>
      </c>
      <c r="K1093" s="379">
        <v>1121.0999999999999</v>
      </c>
      <c r="L1093" s="379"/>
      <c r="M1093" s="379"/>
      <c r="N1093" s="379"/>
      <c r="O1093" s="379"/>
      <c r="P1093" s="379">
        <v>14415</v>
      </c>
      <c r="Q1093" s="379">
        <v>532</v>
      </c>
      <c r="R1093" s="379"/>
      <c r="S1093" s="379"/>
      <c r="T1093" s="379"/>
      <c r="U1093" s="379"/>
      <c r="V1093" s="380">
        <v>18544.740000000002</v>
      </c>
      <c r="W1093" s="381"/>
      <c r="X1093" s="379"/>
      <c r="Y1093" s="379"/>
      <c r="Z1093" s="379">
        <v>1031001</v>
      </c>
      <c r="AA1093" s="379" t="s">
        <v>2328</v>
      </c>
      <c r="AB1093" s="380">
        <f t="shared" si="15"/>
        <v>0</v>
      </c>
    </row>
    <row r="1094" spans="1:28" outlineLevel="2" x14ac:dyDescent="0.3">
      <c r="A1094" s="379">
        <v>431</v>
      </c>
      <c r="B1094" s="379">
        <v>982810</v>
      </c>
      <c r="C1094" s="379" t="s">
        <v>132</v>
      </c>
      <c r="D1094" s="379">
        <v>3196478</v>
      </c>
      <c r="E1094" s="379" t="s">
        <v>2326</v>
      </c>
      <c r="F1094" s="379" t="s">
        <v>2327</v>
      </c>
      <c r="G1094" s="383">
        <v>43435</v>
      </c>
      <c r="H1094" s="379">
        <v>11784</v>
      </c>
      <c r="I1094" s="379">
        <v>418.33</v>
      </c>
      <c r="J1094" s="379">
        <v>1514.71</v>
      </c>
      <c r="K1094" s="379">
        <v>883.85</v>
      </c>
      <c r="L1094" s="379"/>
      <c r="M1094" s="379"/>
      <c r="N1094" s="379"/>
      <c r="O1094" s="379"/>
      <c r="P1094" s="379">
        <v>11220</v>
      </c>
      <c r="Q1094" s="379">
        <v>564</v>
      </c>
      <c r="R1094" s="379"/>
      <c r="S1094" s="379"/>
      <c r="T1094" s="379"/>
      <c r="U1094" s="379"/>
      <c r="V1094" s="380">
        <v>14600.89</v>
      </c>
      <c r="W1094" s="381"/>
      <c r="X1094" s="379"/>
      <c r="Y1094" s="379"/>
      <c r="Z1094" s="379">
        <v>1031001</v>
      </c>
      <c r="AA1094" s="379" t="s">
        <v>2328</v>
      </c>
      <c r="AB1094" s="380">
        <f t="shared" si="15"/>
        <v>0</v>
      </c>
    </row>
    <row r="1095" spans="1:28" outlineLevel="2" x14ac:dyDescent="0.3">
      <c r="A1095" s="379">
        <v>431</v>
      </c>
      <c r="B1095" s="379">
        <v>982810</v>
      </c>
      <c r="C1095" s="379" t="s">
        <v>132</v>
      </c>
      <c r="D1095" s="379">
        <v>3367996</v>
      </c>
      <c r="E1095" s="379" t="s">
        <v>2425</v>
      </c>
      <c r="F1095" s="379" t="s">
        <v>2426</v>
      </c>
      <c r="G1095" s="383">
        <v>43070</v>
      </c>
      <c r="H1095" s="379">
        <v>8579</v>
      </c>
      <c r="I1095" s="379">
        <v>304.56</v>
      </c>
      <c r="J1095" s="379"/>
      <c r="K1095" s="379">
        <v>643.45000000000005</v>
      </c>
      <c r="L1095" s="379"/>
      <c r="M1095" s="379"/>
      <c r="N1095" s="379"/>
      <c r="O1095" s="379"/>
      <c r="P1095" s="379">
        <v>8175</v>
      </c>
      <c r="Q1095" s="379">
        <v>404</v>
      </c>
      <c r="R1095" s="379"/>
      <c r="S1095" s="379"/>
      <c r="T1095" s="379"/>
      <c r="U1095" s="379"/>
      <c r="V1095" s="380">
        <v>9527.01</v>
      </c>
      <c r="W1095" s="381"/>
      <c r="X1095" s="379"/>
      <c r="Y1095" s="379"/>
      <c r="Z1095" s="379">
        <v>5821001</v>
      </c>
      <c r="AA1095" s="379" t="s">
        <v>2427</v>
      </c>
      <c r="AB1095" s="380">
        <f t="shared" si="15"/>
        <v>0</v>
      </c>
    </row>
    <row r="1096" spans="1:28" outlineLevel="2" x14ac:dyDescent="0.3">
      <c r="A1096" s="379">
        <v>431</v>
      </c>
      <c r="B1096" s="379">
        <v>982810</v>
      </c>
      <c r="C1096" s="379" t="s">
        <v>132</v>
      </c>
      <c r="D1096" s="379">
        <v>3633833</v>
      </c>
      <c r="E1096" s="379" t="s">
        <v>2665</v>
      </c>
      <c r="F1096" s="379" t="s">
        <v>2396</v>
      </c>
      <c r="G1096" s="383">
        <v>42826</v>
      </c>
      <c r="H1096" s="379">
        <v>14424</v>
      </c>
      <c r="I1096" s="379">
        <v>512.04999999999995</v>
      </c>
      <c r="J1096" s="379">
        <v>1871.11</v>
      </c>
      <c r="K1096" s="379">
        <v>1081.8499999999999</v>
      </c>
      <c r="L1096" s="379"/>
      <c r="M1096" s="379"/>
      <c r="N1096" s="379"/>
      <c r="O1096" s="379"/>
      <c r="P1096" s="379">
        <v>13860</v>
      </c>
      <c r="Q1096" s="379">
        <v>564</v>
      </c>
      <c r="R1096" s="379"/>
      <c r="S1096" s="379"/>
      <c r="T1096" s="379"/>
      <c r="U1096" s="379"/>
      <c r="V1096" s="380">
        <v>17889.009999999998</v>
      </c>
      <c r="W1096" s="381"/>
      <c r="X1096" s="379"/>
      <c r="Y1096" s="379"/>
      <c r="Z1096" s="379">
        <v>1031001</v>
      </c>
      <c r="AA1096" s="379" t="s">
        <v>2328</v>
      </c>
      <c r="AB1096" s="380">
        <f t="shared" si="15"/>
        <v>0</v>
      </c>
    </row>
    <row r="1097" spans="1:28" outlineLevel="2" x14ac:dyDescent="0.3">
      <c r="A1097" s="379">
        <v>431</v>
      </c>
      <c r="B1097" s="379">
        <v>982810</v>
      </c>
      <c r="C1097" s="379" t="s">
        <v>132</v>
      </c>
      <c r="D1097" s="379">
        <v>30281878</v>
      </c>
      <c r="E1097" s="379" t="s">
        <v>3241</v>
      </c>
      <c r="F1097" s="379" t="s">
        <v>2615</v>
      </c>
      <c r="G1097" s="383">
        <v>42948</v>
      </c>
      <c r="H1097" s="379">
        <v>1314</v>
      </c>
      <c r="I1097" s="379">
        <v>46.64</v>
      </c>
      <c r="J1097" s="379">
        <v>177.4</v>
      </c>
      <c r="K1097" s="379">
        <v>98.6</v>
      </c>
      <c r="L1097" s="379"/>
      <c r="M1097" s="379"/>
      <c r="N1097" s="379"/>
      <c r="O1097" s="379"/>
      <c r="P1097" s="379"/>
      <c r="Q1097" s="379"/>
      <c r="R1097" s="379"/>
      <c r="S1097" s="379"/>
      <c r="T1097" s="379">
        <v>1314</v>
      </c>
      <c r="U1097" s="379"/>
      <c r="V1097" s="380">
        <v>1636.64</v>
      </c>
      <c r="W1097" s="381"/>
      <c r="X1097" s="379"/>
      <c r="Y1097" s="379"/>
      <c r="Z1097" s="379">
        <v>1411001</v>
      </c>
      <c r="AA1097" s="379" t="s">
        <v>3101</v>
      </c>
      <c r="AB1097" s="380">
        <f t="shared" si="15"/>
        <v>0</v>
      </c>
    </row>
    <row r="1098" spans="1:28" outlineLevel="2" x14ac:dyDescent="0.3">
      <c r="A1098" s="379">
        <v>431</v>
      </c>
      <c r="B1098" s="379">
        <v>982810</v>
      </c>
      <c r="C1098" s="379" t="s">
        <v>132</v>
      </c>
      <c r="D1098" s="379">
        <v>30297169</v>
      </c>
      <c r="E1098" s="379" t="s">
        <v>3103</v>
      </c>
      <c r="F1098" s="379" t="s">
        <v>2945</v>
      </c>
      <c r="G1098" s="383">
        <v>43374</v>
      </c>
      <c r="H1098" s="379">
        <v>9831</v>
      </c>
      <c r="I1098" s="379">
        <v>349</v>
      </c>
      <c r="J1098" s="379">
        <v>1279.81</v>
      </c>
      <c r="K1098" s="379">
        <v>737.35</v>
      </c>
      <c r="L1098" s="379"/>
      <c r="M1098" s="379"/>
      <c r="N1098" s="379"/>
      <c r="O1098" s="379"/>
      <c r="P1098" s="379">
        <v>9480</v>
      </c>
      <c r="Q1098" s="379">
        <v>351</v>
      </c>
      <c r="R1098" s="379"/>
      <c r="S1098" s="379"/>
      <c r="T1098" s="379"/>
      <c r="U1098" s="379"/>
      <c r="V1098" s="380">
        <v>12197.16</v>
      </c>
      <c r="W1098" s="381"/>
      <c r="X1098" s="379"/>
      <c r="Y1098" s="379"/>
      <c r="Z1098" s="379">
        <v>953001</v>
      </c>
      <c r="AA1098" s="379" t="s">
        <v>2902</v>
      </c>
      <c r="AB1098" s="380">
        <f t="shared" si="15"/>
        <v>0</v>
      </c>
    </row>
    <row r="1099" spans="1:28" outlineLevel="2" x14ac:dyDescent="0.3">
      <c r="A1099" s="379">
        <v>431</v>
      </c>
      <c r="B1099" s="379">
        <v>982810</v>
      </c>
      <c r="C1099" s="379" t="s">
        <v>132</v>
      </c>
      <c r="D1099" s="379">
        <v>30801467</v>
      </c>
      <c r="E1099" s="379" t="s">
        <v>3104</v>
      </c>
      <c r="F1099" s="379" t="s">
        <v>2591</v>
      </c>
      <c r="G1099" s="383">
        <v>43344</v>
      </c>
      <c r="H1099" s="379">
        <v>12334</v>
      </c>
      <c r="I1099" s="379">
        <v>437.85</v>
      </c>
      <c r="J1099" s="379">
        <v>1587.6</v>
      </c>
      <c r="K1099" s="379">
        <v>925.15</v>
      </c>
      <c r="L1099" s="379"/>
      <c r="M1099" s="379"/>
      <c r="N1099" s="379"/>
      <c r="O1099" s="379"/>
      <c r="P1099" s="379">
        <v>11760</v>
      </c>
      <c r="Q1099" s="379">
        <v>574</v>
      </c>
      <c r="R1099" s="379"/>
      <c r="S1099" s="379"/>
      <c r="T1099" s="379"/>
      <c r="U1099" s="379"/>
      <c r="V1099" s="380">
        <v>15284.6</v>
      </c>
      <c r="W1099" s="381"/>
      <c r="X1099" s="379"/>
      <c r="Y1099" s="379"/>
      <c r="Z1099" s="379">
        <v>953001</v>
      </c>
      <c r="AA1099" s="379" t="s">
        <v>2902</v>
      </c>
      <c r="AB1099" s="380">
        <f t="shared" si="15"/>
        <v>0</v>
      </c>
    </row>
    <row r="1100" spans="1:28" outlineLevel="2" x14ac:dyDescent="0.3">
      <c r="A1100" s="379">
        <v>431</v>
      </c>
      <c r="B1100" s="379">
        <v>982810</v>
      </c>
      <c r="C1100" s="379" t="s">
        <v>132</v>
      </c>
      <c r="D1100" s="379">
        <v>32154825</v>
      </c>
      <c r="E1100" s="379" t="s">
        <v>3242</v>
      </c>
      <c r="F1100" s="379" t="s">
        <v>3243</v>
      </c>
      <c r="G1100" s="383">
        <v>42917</v>
      </c>
      <c r="H1100" s="379">
        <v>1683</v>
      </c>
      <c r="I1100" s="379">
        <v>59.75</v>
      </c>
      <c r="J1100" s="379"/>
      <c r="K1100" s="379">
        <v>126.25</v>
      </c>
      <c r="L1100" s="379"/>
      <c r="M1100" s="379"/>
      <c r="N1100" s="379"/>
      <c r="O1100" s="379"/>
      <c r="P1100" s="379">
        <v>1545</v>
      </c>
      <c r="Q1100" s="379">
        <v>138</v>
      </c>
      <c r="R1100" s="379"/>
      <c r="S1100" s="379"/>
      <c r="T1100" s="379"/>
      <c r="U1100" s="379"/>
      <c r="V1100" s="380">
        <v>1869</v>
      </c>
      <c r="W1100" s="381"/>
      <c r="X1100" s="379"/>
      <c r="Y1100" s="379"/>
      <c r="Z1100" s="379">
        <v>1031001</v>
      </c>
      <c r="AA1100" s="379" t="s">
        <v>2328</v>
      </c>
      <c r="AB1100" s="380">
        <f t="shared" si="15"/>
        <v>0</v>
      </c>
    </row>
    <row r="1101" spans="1:28" outlineLevel="1" x14ac:dyDescent="0.3">
      <c r="A1101" s="379"/>
      <c r="B1101" s="384" t="s">
        <v>3244</v>
      </c>
      <c r="C1101" s="379"/>
      <c r="D1101" s="379"/>
      <c r="E1101" s="379"/>
      <c r="F1101" s="379"/>
      <c r="G1101" s="383"/>
      <c r="H1101" s="379"/>
      <c r="I1101" s="379"/>
      <c r="J1101" s="379"/>
      <c r="K1101" s="379"/>
      <c r="L1101" s="379"/>
      <c r="M1101" s="379"/>
      <c r="N1101" s="379"/>
      <c r="O1101" s="379"/>
      <c r="P1101" s="379"/>
      <c r="Q1101" s="379"/>
      <c r="R1101" s="379"/>
      <c r="S1101" s="379"/>
      <c r="T1101" s="379"/>
      <c r="U1101" s="379"/>
      <c r="V1101" s="380">
        <f>SUBTOTAL(9,V1091:V1100)</f>
        <v>104318.69000000002</v>
      </c>
      <c r="W1101" s="381">
        <f>SUBTOTAL(9,W1091:W1100)</f>
        <v>0</v>
      </c>
      <c r="X1101" s="379"/>
      <c r="Y1101" s="379"/>
      <c r="Z1101" s="379"/>
      <c r="AA1101" s="379"/>
      <c r="AB1101" s="380">
        <f>SUBTOTAL(9,AB1091:AB1100)</f>
        <v>0</v>
      </c>
    </row>
    <row r="1102" spans="1:28" outlineLevel="2" x14ac:dyDescent="0.3">
      <c r="A1102" s="379">
        <v>431</v>
      </c>
      <c r="B1102" s="379">
        <v>984100</v>
      </c>
      <c r="C1102" s="379" t="s">
        <v>3245</v>
      </c>
      <c r="D1102" s="379">
        <v>20382562</v>
      </c>
      <c r="E1102" s="379" t="s">
        <v>3156</v>
      </c>
      <c r="F1102" s="379" t="s">
        <v>2998</v>
      </c>
      <c r="G1102" s="383">
        <v>43435</v>
      </c>
      <c r="H1102" s="379">
        <v>5168</v>
      </c>
      <c r="I1102" s="379">
        <v>183.47</v>
      </c>
      <c r="J1102" s="379">
        <v>697.68</v>
      </c>
      <c r="K1102" s="379">
        <v>387.6</v>
      </c>
      <c r="L1102" s="379"/>
      <c r="M1102" s="379"/>
      <c r="N1102" s="379"/>
      <c r="O1102" s="379"/>
      <c r="P1102" s="379">
        <v>5168</v>
      </c>
      <c r="Q1102" s="379"/>
      <c r="R1102" s="379"/>
      <c r="S1102" s="379"/>
      <c r="T1102" s="379"/>
      <c r="U1102" s="379"/>
      <c r="V1102" s="380">
        <v>6436.75</v>
      </c>
      <c r="W1102" s="381"/>
      <c r="X1102" s="379"/>
      <c r="Y1102" s="379"/>
      <c r="Z1102" s="379">
        <v>953001</v>
      </c>
      <c r="AA1102" s="379" t="s">
        <v>2902</v>
      </c>
      <c r="AB1102" s="380">
        <f t="shared" si="15"/>
        <v>0</v>
      </c>
    </row>
    <row r="1103" spans="1:28" outlineLevel="2" x14ac:dyDescent="0.3">
      <c r="A1103" s="379">
        <v>431</v>
      </c>
      <c r="B1103" s="379">
        <v>984100</v>
      </c>
      <c r="C1103" s="379" t="s">
        <v>3245</v>
      </c>
      <c r="D1103" s="379">
        <v>20468538</v>
      </c>
      <c r="E1103" s="379" t="s">
        <v>3157</v>
      </c>
      <c r="F1103" s="379" t="s">
        <v>3024</v>
      </c>
      <c r="G1103" s="383">
        <v>43344</v>
      </c>
      <c r="H1103" s="379">
        <v>5073</v>
      </c>
      <c r="I1103" s="379">
        <v>180.09</v>
      </c>
      <c r="J1103" s="379">
        <v>684.87</v>
      </c>
      <c r="K1103" s="379">
        <v>380.55</v>
      </c>
      <c r="L1103" s="379"/>
      <c r="M1103" s="379"/>
      <c r="N1103" s="379"/>
      <c r="O1103" s="379"/>
      <c r="P1103" s="379">
        <v>5073</v>
      </c>
      <c r="Q1103" s="379"/>
      <c r="R1103" s="379"/>
      <c r="S1103" s="379"/>
      <c r="T1103" s="379"/>
      <c r="U1103" s="379"/>
      <c r="V1103" s="380">
        <v>6318.51</v>
      </c>
      <c r="W1103" s="381"/>
      <c r="X1103" s="379"/>
      <c r="Y1103" s="379"/>
      <c r="Z1103" s="379">
        <v>951001</v>
      </c>
      <c r="AA1103" s="379" t="s">
        <v>2364</v>
      </c>
      <c r="AB1103" s="380">
        <f t="shared" si="15"/>
        <v>0</v>
      </c>
    </row>
    <row r="1104" spans="1:28" outlineLevel="2" x14ac:dyDescent="0.3">
      <c r="A1104" s="379">
        <v>431</v>
      </c>
      <c r="B1104" s="379">
        <v>984100</v>
      </c>
      <c r="C1104" s="379" t="s">
        <v>3245</v>
      </c>
      <c r="D1104" s="379">
        <v>30790604</v>
      </c>
      <c r="E1104" s="379" t="s">
        <v>3165</v>
      </c>
      <c r="F1104" s="379" t="s">
        <v>2379</v>
      </c>
      <c r="G1104" s="383">
        <v>43405</v>
      </c>
      <c r="H1104" s="379">
        <v>4370</v>
      </c>
      <c r="I1104" s="379">
        <v>155.13999999999999</v>
      </c>
      <c r="J1104" s="379">
        <v>589.95000000000005</v>
      </c>
      <c r="K1104" s="379">
        <v>327.75</v>
      </c>
      <c r="L1104" s="379"/>
      <c r="M1104" s="379"/>
      <c r="N1104" s="379"/>
      <c r="O1104" s="379"/>
      <c r="P1104" s="379">
        <v>4370</v>
      </c>
      <c r="Q1104" s="379"/>
      <c r="R1104" s="379"/>
      <c r="S1104" s="379"/>
      <c r="T1104" s="379"/>
      <c r="U1104" s="379"/>
      <c r="V1104" s="380">
        <v>5442.84</v>
      </c>
      <c r="W1104" s="381"/>
      <c r="X1104" s="379"/>
      <c r="Y1104" s="379"/>
      <c r="Z1104" s="379">
        <v>1411001</v>
      </c>
      <c r="AA1104" s="379" t="s">
        <v>3101</v>
      </c>
      <c r="AB1104" s="380">
        <f t="shared" si="15"/>
        <v>0</v>
      </c>
    </row>
    <row r="1105" spans="1:28" outlineLevel="2" x14ac:dyDescent="0.3">
      <c r="A1105" s="379">
        <v>431</v>
      </c>
      <c r="B1105" s="379">
        <v>984100</v>
      </c>
      <c r="C1105" s="379" t="s">
        <v>3245</v>
      </c>
      <c r="D1105" s="379">
        <v>30797506</v>
      </c>
      <c r="E1105" s="379" t="s">
        <v>2644</v>
      </c>
      <c r="F1105" s="379" t="s">
        <v>2361</v>
      </c>
      <c r="G1105" s="383">
        <v>43435</v>
      </c>
      <c r="H1105" s="379">
        <v>3781</v>
      </c>
      <c r="I1105" s="379">
        <v>134.22</v>
      </c>
      <c r="J1105" s="379">
        <v>510.44</v>
      </c>
      <c r="K1105" s="379">
        <v>283.60000000000002</v>
      </c>
      <c r="L1105" s="379"/>
      <c r="M1105" s="379"/>
      <c r="N1105" s="379"/>
      <c r="O1105" s="379"/>
      <c r="P1105" s="379">
        <v>3781</v>
      </c>
      <c r="Q1105" s="379"/>
      <c r="R1105" s="379"/>
      <c r="S1105" s="379"/>
      <c r="T1105" s="379"/>
      <c r="U1105" s="379"/>
      <c r="V1105" s="380">
        <v>4709.26</v>
      </c>
      <c r="W1105" s="381"/>
      <c r="X1105" s="379"/>
      <c r="Y1105" s="379"/>
      <c r="Z1105" s="379">
        <v>951001</v>
      </c>
      <c r="AA1105" s="379" t="s">
        <v>2364</v>
      </c>
      <c r="AB1105" s="380">
        <f t="shared" si="15"/>
        <v>0</v>
      </c>
    </row>
    <row r="1106" spans="1:28" outlineLevel="2" x14ac:dyDescent="0.3">
      <c r="A1106" s="379">
        <v>654</v>
      </c>
      <c r="B1106" s="379">
        <v>984100</v>
      </c>
      <c r="C1106" s="379" t="s">
        <v>3245</v>
      </c>
      <c r="D1106" s="379">
        <v>2459743</v>
      </c>
      <c r="E1106" s="379" t="s">
        <v>2770</v>
      </c>
      <c r="F1106" s="379" t="s">
        <v>2346</v>
      </c>
      <c r="G1106" s="383">
        <v>41395</v>
      </c>
      <c r="H1106" s="379">
        <v>632</v>
      </c>
      <c r="I1106" s="379">
        <v>22.45</v>
      </c>
      <c r="J1106" s="379">
        <v>79.650000000000006</v>
      </c>
      <c r="K1106" s="379">
        <v>47.43</v>
      </c>
      <c r="L1106" s="379"/>
      <c r="M1106" s="379"/>
      <c r="N1106" s="379"/>
      <c r="O1106" s="379"/>
      <c r="P1106" s="379">
        <v>590</v>
      </c>
      <c r="Q1106" s="379">
        <v>42</v>
      </c>
      <c r="R1106" s="379"/>
      <c r="S1106" s="379"/>
      <c r="T1106" s="379"/>
      <c r="U1106" s="379"/>
      <c r="V1106" s="380">
        <v>781.53</v>
      </c>
      <c r="W1106" s="381"/>
      <c r="X1106" s="379"/>
      <c r="Y1106" s="379"/>
      <c r="Z1106" s="379">
        <v>5923001</v>
      </c>
      <c r="AA1106" s="379" t="s">
        <v>2354</v>
      </c>
      <c r="AB1106" s="380">
        <f t="shared" si="15"/>
        <v>0</v>
      </c>
    </row>
    <row r="1107" spans="1:28" outlineLevel="1" x14ac:dyDescent="0.3">
      <c r="A1107" s="379"/>
      <c r="B1107" s="384" t="s">
        <v>3246</v>
      </c>
      <c r="C1107" s="379"/>
      <c r="D1107" s="379"/>
      <c r="E1107" s="379"/>
      <c r="F1107" s="379"/>
      <c r="G1107" s="383"/>
      <c r="H1107" s="379"/>
      <c r="I1107" s="379"/>
      <c r="J1107" s="379"/>
      <c r="K1107" s="379"/>
      <c r="L1107" s="379"/>
      <c r="M1107" s="379"/>
      <c r="N1107" s="379"/>
      <c r="O1107" s="379"/>
      <c r="P1107" s="379"/>
      <c r="Q1107" s="379"/>
      <c r="R1107" s="379"/>
      <c r="S1107" s="379"/>
      <c r="T1107" s="379"/>
      <c r="U1107" s="379"/>
      <c r="V1107" s="380">
        <f>SUBTOTAL(9,V1102:V1106)</f>
        <v>23688.89</v>
      </c>
      <c r="W1107" s="381">
        <f>SUBTOTAL(9,W1102:W1106)</f>
        <v>0</v>
      </c>
      <c r="X1107" s="379"/>
      <c r="Y1107" s="379"/>
      <c r="Z1107" s="379"/>
      <c r="AA1107" s="379"/>
      <c r="AB1107" s="380">
        <f>SUBTOTAL(9,AB1102:AB1106)</f>
        <v>0</v>
      </c>
    </row>
    <row r="1108" spans="1:28" outlineLevel="2" x14ac:dyDescent="0.3">
      <c r="A1108" s="379">
        <v>431</v>
      </c>
      <c r="B1108" s="379">
        <v>984110</v>
      </c>
      <c r="C1108" s="379" t="s">
        <v>3247</v>
      </c>
      <c r="D1108" s="379">
        <v>2200401</v>
      </c>
      <c r="E1108" s="379" t="s">
        <v>2922</v>
      </c>
      <c r="F1108" s="379" t="s">
        <v>2349</v>
      </c>
      <c r="G1108" s="383">
        <v>43435</v>
      </c>
      <c r="H1108" s="379">
        <v>12838.5</v>
      </c>
      <c r="I1108" s="379">
        <v>455.76</v>
      </c>
      <c r="J1108" s="379">
        <v>1652.73</v>
      </c>
      <c r="K1108" s="379">
        <v>962.91</v>
      </c>
      <c r="L1108" s="379"/>
      <c r="M1108" s="379">
        <v>48.94</v>
      </c>
      <c r="N1108" s="379"/>
      <c r="O1108" s="379"/>
      <c r="P1108" s="379">
        <v>12242.5</v>
      </c>
      <c r="Q1108" s="379">
        <v>596</v>
      </c>
      <c r="R1108" s="379"/>
      <c r="S1108" s="379"/>
      <c r="T1108" s="379"/>
      <c r="U1108" s="379"/>
      <c r="V1108" s="380">
        <v>15958.84</v>
      </c>
      <c r="W1108" s="381"/>
      <c r="X1108" s="379"/>
      <c r="Y1108" s="379"/>
      <c r="Z1108" s="379">
        <v>5921001</v>
      </c>
      <c r="AA1108" s="379" t="s">
        <v>2374</v>
      </c>
      <c r="AB1108" s="380">
        <f t="shared" si="15"/>
        <v>0</v>
      </c>
    </row>
    <row r="1109" spans="1:28" outlineLevel="1" x14ac:dyDescent="0.3">
      <c r="A1109" s="379"/>
      <c r="B1109" s="384" t="s">
        <v>3248</v>
      </c>
      <c r="C1109" s="379"/>
      <c r="D1109" s="379"/>
      <c r="E1109" s="379"/>
      <c r="F1109" s="379"/>
      <c r="G1109" s="383"/>
      <c r="H1109" s="379"/>
      <c r="I1109" s="379"/>
      <c r="J1109" s="379"/>
      <c r="K1109" s="379"/>
      <c r="L1109" s="379"/>
      <c r="M1109" s="379"/>
      <c r="N1109" s="379"/>
      <c r="O1109" s="379"/>
      <c r="P1109" s="379"/>
      <c r="Q1109" s="379"/>
      <c r="R1109" s="379"/>
      <c r="S1109" s="379"/>
      <c r="T1109" s="379"/>
      <c r="U1109" s="379"/>
      <c r="V1109" s="380">
        <f>SUBTOTAL(9,V1108:V1108)</f>
        <v>15958.84</v>
      </c>
      <c r="W1109" s="381">
        <f>SUBTOTAL(9,W1108:W1108)</f>
        <v>0</v>
      </c>
      <c r="X1109" s="379"/>
      <c r="Y1109" s="379"/>
      <c r="Z1109" s="379"/>
      <c r="AA1109" s="379"/>
      <c r="AB1109" s="380">
        <f>SUBTOTAL(9,AB1108:AB1108)</f>
        <v>0</v>
      </c>
    </row>
    <row r="1110" spans="1:28" outlineLevel="2" x14ac:dyDescent="0.3">
      <c r="A1110" s="379">
        <v>431</v>
      </c>
      <c r="B1110" s="379">
        <v>984710</v>
      </c>
      <c r="C1110" s="379" t="s">
        <v>584</v>
      </c>
      <c r="D1110" s="379">
        <v>30285315</v>
      </c>
      <c r="E1110" s="379" t="s">
        <v>3185</v>
      </c>
      <c r="F1110" s="379" t="s">
        <v>2552</v>
      </c>
      <c r="G1110" s="383">
        <v>43101</v>
      </c>
      <c r="H1110" s="379">
        <v>7417</v>
      </c>
      <c r="I1110" s="379">
        <v>263.31</v>
      </c>
      <c r="J1110" s="379">
        <v>904.51</v>
      </c>
      <c r="K1110" s="379">
        <v>556.29999999999995</v>
      </c>
      <c r="L1110" s="379"/>
      <c r="M1110" s="379"/>
      <c r="N1110" s="379"/>
      <c r="O1110" s="379">
        <v>6700</v>
      </c>
      <c r="P1110" s="379"/>
      <c r="Q1110" s="379">
        <v>717</v>
      </c>
      <c r="R1110" s="379"/>
      <c r="S1110" s="379"/>
      <c r="T1110" s="379"/>
      <c r="U1110" s="379"/>
      <c r="V1110" s="380">
        <v>9141.1200000000008</v>
      </c>
      <c r="W1110" s="381"/>
      <c r="X1110" s="379"/>
      <c r="Y1110" s="379"/>
      <c r="Z1110" s="379">
        <v>1411001</v>
      </c>
      <c r="AA1110" s="379" t="s">
        <v>3101</v>
      </c>
      <c r="AB1110" s="380">
        <f t="shared" si="15"/>
        <v>0</v>
      </c>
    </row>
    <row r="1111" spans="1:28" outlineLevel="1" x14ac:dyDescent="0.3">
      <c r="A1111" s="379"/>
      <c r="B1111" s="384" t="s">
        <v>3249</v>
      </c>
      <c r="C1111" s="379"/>
      <c r="D1111" s="379"/>
      <c r="E1111" s="379"/>
      <c r="F1111" s="379"/>
      <c r="G1111" s="383"/>
      <c r="H1111" s="379"/>
      <c r="I1111" s="379"/>
      <c r="J1111" s="379"/>
      <c r="K1111" s="379"/>
      <c r="L1111" s="379"/>
      <c r="M1111" s="379"/>
      <c r="N1111" s="379"/>
      <c r="O1111" s="379"/>
      <c r="P1111" s="379"/>
      <c r="Q1111" s="379"/>
      <c r="R1111" s="379"/>
      <c r="S1111" s="379"/>
      <c r="T1111" s="379"/>
      <c r="U1111" s="379"/>
      <c r="V1111" s="380">
        <f>SUBTOTAL(9,V1110:V1110)</f>
        <v>9141.1200000000008</v>
      </c>
      <c r="W1111" s="381">
        <f>SUBTOTAL(9,W1110:W1110)</f>
        <v>0</v>
      </c>
      <c r="X1111" s="379"/>
      <c r="Y1111" s="379"/>
      <c r="Z1111" s="379"/>
      <c r="AA1111" s="379"/>
      <c r="AB1111" s="380">
        <f>SUBTOTAL(9,AB1110:AB1110)</f>
        <v>0</v>
      </c>
    </row>
    <row r="1112" spans="1:28" outlineLevel="2" x14ac:dyDescent="0.3">
      <c r="A1112" s="379">
        <v>431</v>
      </c>
      <c r="B1112" s="379">
        <v>990000</v>
      </c>
      <c r="C1112" s="379" t="s">
        <v>1699</v>
      </c>
      <c r="D1112" s="379">
        <v>7927694</v>
      </c>
      <c r="E1112" s="379" t="s">
        <v>2442</v>
      </c>
      <c r="F1112" s="379" t="s">
        <v>2913</v>
      </c>
      <c r="G1112" s="383">
        <v>38018</v>
      </c>
      <c r="H1112" s="379">
        <v>23093.74</v>
      </c>
      <c r="I1112" s="379">
        <v>4.9800000000000004</v>
      </c>
      <c r="J1112" s="379"/>
      <c r="K1112" s="379">
        <v>77.84</v>
      </c>
      <c r="L1112" s="379"/>
      <c r="M1112" s="379">
        <v>83.24</v>
      </c>
      <c r="N1112" s="379"/>
      <c r="O1112" s="379"/>
      <c r="P1112" s="379"/>
      <c r="Q1112" s="379"/>
      <c r="R1112" s="379">
        <v>1038.1199999999999</v>
      </c>
      <c r="S1112" s="379">
        <v>22055.62</v>
      </c>
      <c r="T1112" s="379"/>
      <c r="U1112" s="379"/>
      <c r="V1112" s="380">
        <v>23259.8</v>
      </c>
      <c r="W1112" s="381">
        <v>2.6240000000000001</v>
      </c>
      <c r="X1112" s="379"/>
      <c r="Y1112" s="379"/>
      <c r="Z1112" s="379">
        <v>9992001</v>
      </c>
      <c r="AA1112" s="379" t="s">
        <v>2914</v>
      </c>
      <c r="AB1112" s="380">
        <f t="shared" si="15"/>
        <v>0.21866666666666668</v>
      </c>
    </row>
    <row r="1113" spans="1:28" outlineLevel="2" x14ac:dyDescent="0.3">
      <c r="A1113" s="379">
        <v>432</v>
      </c>
      <c r="B1113" s="379">
        <v>990000</v>
      </c>
      <c r="C1113" s="379" t="s">
        <v>1699</v>
      </c>
      <c r="D1113" s="379">
        <v>93996</v>
      </c>
      <c r="E1113" s="379" t="s">
        <v>3250</v>
      </c>
      <c r="F1113" s="379" t="s">
        <v>2376</v>
      </c>
      <c r="G1113" s="383">
        <v>33848</v>
      </c>
      <c r="H1113" s="379">
        <v>34933.06</v>
      </c>
      <c r="I1113" s="379"/>
      <c r="J1113" s="379"/>
      <c r="K1113" s="379">
        <v>2620</v>
      </c>
      <c r="L1113" s="379"/>
      <c r="M1113" s="379"/>
      <c r="N1113" s="379"/>
      <c r="O1113" s="379"/>
      <c r="P1113" s="379"/>
      <c r="Q1113" s="379"/>
      <c r="R1113" s="379"/>
      <c r="S1113" s="379">
        <v>32654.560000000001</v>
      </c>
      <c r="T1113" s="379">
        <v>1828.5</v>
      </c>
      <c r="U1113" s="379"/>
      <c r="V1113" s="380">
        <v>37553.06</v>
      </c>
      <c r="W1113" s="381">
        <v>4.32</v>
      </c>
      <c r="X1113" s="379"/>
      <c r="Y1113" s="379"/>
      <c r="Z1113" s="379">
        <v>9991001</v>
      </c>
      <c r="AA1113" s="379" t="s">
        <v>2496</v>
      </c>
      <c r="AB1113" s="380">
        <f t="shared" si="15"/>
        <v>0.36000000000000004</v>
      </c>
    </row>
    <row r="1114" spans="1:28" outlineLevel="2" x14ac:dyDescent="0.3">
      <c r="A1114" s="379">
        <v>432</v>
      </c>
      <c r="B1114" s="379">
        <v>990000</v>
      </c>
      <c r="C1114" s="379" t="s">
        <v>1699</v>
      </c>
      <c r="D1114" s="379">
        <v>313429</v>
      </c>
      <c r="E1114" s="379" t="s">
        <v>3010</v>
      </c>
      <c r="F1114" s="379" t="s">
        <v>2333</v>
      </c>
      <c r="G1114" s="383">
        <v>40330</v>
      </c>
      <c r="H1114" s="379">
        <v>268969.2</v>
      </c>
      <c r="I1114" s="379"/>
      <c r="J1114" s="379"/>
      <c r="K1114" s="379">
        <v>330.75</v>
      </c>
      <c r="L1114" s="379"/>
      <c r="M1114" s="379"/>
      <c r="N1114" s="379"/>
      <c r="O1114" s="379"/>
      <c r="P1114" s="379"/>
      <c r="Q1114" s="379"/>
      <c r="R1114" s="379"/>
      <c r="S1114" s="379">
        <v>268519.2</v>
      </c>
      <c r="T1114" s="379"/>
      <c r="U1114" s="379"/>
      <c r="V1114" s="380">
        <v>269299.95</v>
      </c>
      <c r="W1114" s="381">
        <v>6</v>
      </c>
      <c r="X1114" s="379"/>
      <c r="Y1114" s="379"/>
      <c r="Z1114" s="379">
        <v>9991001</v>
      </c>
      <c r="AA1114" s="379" t="s">
        <v>2496</v>
      </c>
      <c r="AB1114" s="380">
        <f t="shared" si="15"/>
        <v>0.5</v>
      </c>
    </row>
    <row r="1115" spans="1:28" outlineLevel="2" x14ac:dyDescent="0.3">
      <c r="A1115" s="379">
        <v>432</v>
      </c>
      <c r="B1115" s="379">
        <v>990000</v>
      </c>
      <c r="C1115" s="379" t="s">
        <v>1699</v>
      </c>
      <c r="D1115" s="379">
        <v>410088</v>
      </c>
      <c r="E1115" s="379" t="s">
        <v>2588</v>
      </c>
      <c r="F1115" s="379" t="s">
        <v>2707</v>
      </c>
      <c r="G1115" s="383">
        <v>40848</v>
      </c>
      <c r="H1115" s="379">
        <v>52496.99</v>
      </c>
      <c r="I1115" s="379"/>
      <c r="J1115" s="379"/>
      <c r="K1115" s="379">
        <v>33.75</v>
      </c>
      <c r="L1115" s="379"/>
      <c r="M1115" s="379"/>
      <c r="N1115" s="379"/>
      <c r="O1115" s="379"/>
      <c r="P1115" s="379"/>
      <c r="Q1115" s="379"/>
      <c r="R1115" s="379"/>
      <c r="S1115" s="379">
        <v>48803.33</v>
      </c>
      <c r="T1115" s="379">
        <v>3243.66</v>
      </c>
      <c r="U1115" s="379"/>
      <c r="V1115" s="380">
        <v>52530.74</v>
      </c>
      <c r="W1115" s="381">
        <v>5.04</v>
      </c>
      <c r="X1115" s="379"/>
      <c r="Y1115" s="379"/>
      <c r="Z1115" s="379">
        <v>9991001</v>
      </c>
      <c r="AA1115" s="379" t="s">
        <v>2496</v>
      </c>
      <c r="AB1115" s="380">
        <f t="shared" si="15"/>
        <v>0.42</v>
      </c>
    </row>
    <row r="1116" spans="1:28" outlineLevel="2" x14ac:dyDescent="0.3">
      <c r="A1116" s="379">
        <v>432</v>
      </c>
      <c r="B1116" s="379">
        <v>990000</v>
      </c>
      <c r="C1116" s="379" t="s">
        <v>1699</v>
      </c>
      <c r="D1116" s="379">
        <v>527226</v>
      </c>
      <c r="E1116" s="379" t="s">
        <v>3251</v>
      </c>
      <c r="F1116" s="379" t="s">
        <v>2382</v>
      </c>
      <c r="G1116" s="383">
        <v>27395</v>
      </c>
      <c r="H1116" s="379">
        <v>64795.66</v>
      </c>
      <c r="I1116" s="379"/>
      <c r="J1116" s="379"/>
      <c r="K1116" s="379">
        <v>4859.6000000000004</v>
      </c>
      <c r="L1116" s="379"/>
      <c r="M1116" s="379"/>
      <c r="N1116" s="379"/>
      <c r="O1116" s="379">
        <v>3024</v>
      </c>
      <c r="P1116" s="379"/>
      <c r="Q1116" s="379"/>
      <c r="R1116" s="379"/>
      <c r="S1116" s="379">
        <v>56217.26</v>
      </c>
      <c r="T1116" s="379">
        <v>5104.3999999999996</v>
      </c>
      <c r="U1116" s="379"/>
      <c r="V1116" s="380">
        <v>69655.259999999995</v>
      </c>
      <c r="W1116" s="381">
        <v>8.4</v>
      </c>
      <c r="X1116" s="379"/>
      <c r="Y1116" s="379"/>
      <c r="Z1116" s="379">
        <v>9991001</v>
      </c>
      <c r="AA1116" s="379" t="s">
        <v>2496</v>
      </c>
      <c r="AB1116" s="380">
        <f t="shared" si="15"/>
        <v>0.70000000000000007</v>
      </c>
    </row>
    <row r="1117" spans="1:28" outlineLevel="2" x14ac:dyDescent="0.3">
      <c r="A1117" s="379">
        <v>432</v>
      </c>
      <c r="B1117" s="379">
        <v>990000</v>
      </c>
      <c r="C1117" s="379" t="s">
        <v>1699</v>
      </c>
      <c r="D1117" s="379">
        <v>539471</v>
      </c>
      <c r="E1117" s="379" t="s">
        <v>3252</v>
      </c>
      <c r="F1117" s="379" t="s">
        <v>2379</v>
      </c>
      <c r="G1117" s="383">
        <v>30956</v>
      </c>
      <c r="H1117" s="379">
        <v>67041.72</v>
      </c>
      <c r="I1117" s="379"/>
      <c r="J1117" s="379"/>
      <c r="K1117" s="379">
        <v>5028.25</v>
      </c>
      <c r="L1117" s="379"/>
      <c r="M1117" s="379"/>
      <c r="N1117" s="379"/>
      <c r="O1117" s="379"/>
      <c r="P1117" s="379"/>
      <c r="Q1117" s="379"/>
      <c r="R1117" s="379"/>
      <c r="S1117" s="379">
        <v>63870.12</v>
      </c>
      <c r="T1117" s="379">
        <v>2721.6</v>
      </c>
      <c r="U1117" s="379"/>
      <c r="V1117" s="380">
        <v>72069.97</v>
      </c>
      <c r="W1117" s="381">
        <v>7.2</v>
      </c>
      <c r="X1117" s="379"/>
      <c r="Y1117" s="379"/>
      <c r="Z1117" s="379">
        <v>9991001</v>
      </c>
      <c r="AA1117" s="379" t="s">
        <v>2496</v>
      </c>
      <c r="AB1117" s="380">
        <f t="shared" si="15"/>
        <v>0.6</v>
      </c>
    </row>
    <row r="1118" spans="1:28" outlineLevel="2" x14ac:dyDescent="0.3">
      <c r="A1118" s="379">
        <v>432</v>
      </c>
      <c r="B1118" s="379">
        <v>990000</v>
      </c>
      <c r="C1118" s="379" t="s">
        <v>1699</v>
      </c>
      <c r="D1118" s="379">
        <v>578004</v>
      </c>
      <c r="E1118" s="379" t="s">
        <v>3253</v>
      </c>
      <c r="F1118" s="379" t="s">
        <v>3254</v>
      </c>
      <c r="G1118" s="383">
        <v>32905</v>
      </c>
      <c r="H1118" s="379">
        <v>48982.92</v>
      </c>
      <c r="I1118" s="379"/>
      <c r="J1118" s="379"/>
      <c r="K1118" s="379">
        <v>3673.55</v>
      </c>
      <c r="L1118" s="379"/>
      <c r="M1118" s="379"/>
      <c r="N1118" s="379"/>
      <c r="O1118" s="379"/>
      <c r="P1118" s="379"/>
      <c r="Q1118" s="379"/>
      <c r="R1118" s="379"/>
      <c r="S1118" s="379">
        <v>46375.45</v>
      </c>
      <c r="T1118" s="379">
        <v>2157.4699999999998</v>
      </c>
      <c r="U1118" s="379"/>
      <c r="V1118" s="380">
        <v>52656.47</v>
      </c>
      <c r="W1118" s="381">
        <v>4.92</v>
      </c>
      <c r="X1118" s="379"/>
      <c r="Y1118" s="379"/>
      <c r="Z1118" s="379">
        <v>9991001</v>
      </c>
      <c r="AA1118" s="379" t="s">
        <v>2496</v>
      </c>
      <c r="AB1118" s="380">
        <f t="shared" si="15"/>
        <v>0.41</v>
      </c>
    </row>
    <row r="1119" spans="1:28" outlineLevel="2" x14ac:dyDescent="0.3">
      <c r="A1119" s="379">
        <v>432</v>
      </c>
      <c r="B1119" s="379">
        <v>990000</v>
      </c>
      <c r="C1119" s="379" t="s">
        <v>1699</v>
      </c>
      <c r="D1119" s="379">
        <v>583663</v>
      </c>
      <c r="E1119" s="379" t="s">
        <v>3255</v>
      </c>
      <c r="F1119" s="379" t="s">
        <v>3256</v>
      </c>
      <c r="G1119" s="383">
        <v>27334</v>
      </c>
      <c r="H1119" s="379">
        <v>89815.7</v>
      </c>
      <c r="I1119" s="379"/>
      <c r="J1119" s="379"/>
      <c r="K1119" s="379">
        <v>6736.4</v>
      </c>
      <c r="L1119" s="379"/>
      <c r="M1119" s="379"/>
      <c r="N1119" s="379"/>
      <c r="O1119" s="379"/>
      <c r="P1119" s="379"/>
      <c r="Q1119" s="379"/>
      <c r="R1119" s="379"/>
      <c r="S1119" s="379">
        <v>84948.32</v>
      </c>
      <c r="T1119" s="379">
        <v>4417.38</v>
      </c>
      <c r="U1119" s="379"/>
      <c r="V1119" s="380">
        <v>96552.1</v>
      </c>
      <c r="W1119" s="381">
        <v>7.92</v>
      </c>
      <c r="X1119" s="379"/>
      <c r="Y1119" s="379"/>
      <c r="Z1119" s="379">
        <v>9991001</v>
      </c>
      <c r="AA1119" s="379" t="s">
        <v>2496</v>
      </c>
      <c r="AB1119" s="380">
        <f t="shared" si="15"/>
        <v>0.66</v>
      </c>
    </row>
    <row r="1120" spans="1:28" outlineLevel="2" x14ac:dyDescent="0.3">
      <c r="A1120" s="379">
        <v>432</v>
      </c>
      <c r="B1120" s="379">
        <v>990000</v>
      </c>
      <c r="C1120" s="379" t="s">
        <v>1699</v>
      </c>
      <c r="D1120" s="379">
        <v>587742</v>
      </c>
      <c r="E1120" s="379" t="s">
        <v>3257</v>
      </c>
      <c r="F1120" s="379" t="s">
        <v>2366</v>
      </c>
      <c r="G1120" s="383">
        <v>26908</v>
      </c>
      <c r="H1120" s="379">
        <v>82824.2</v>
      </c>
      <c r="I1120" s="379"/>
      <c r="J1120" s="379"/>
      <c r="K1120" s="379">
        <v>6211.85</v>
      </c>
      <c r="L1120" s="379"/>
      <c r="M1120" s="379"/>
      <c r="N1120" s="379"/>
      <c r="O1120" s="379"/>
      <c r="P1120" s="379"/>
      <c r="Q1120" s="379"/>
      <c r="R1120" s="379"/>
      <c r="S1120" s="379">
        <v>76968.100000000006</v>
      </c>
      <c r="T1120" s="379">
        <v>5406.1</v>
      </c>
      <c r="U1120" s="379"/>
      <c r="V1120" s="380">
        <v>89036.05</v>
      </c>
      <c r="W1120" s="381">
        <v>8.4</v>
      </c>
      <c r="X1120" s="379"/>
      <c r="Y1120" s="379"/>
      <c r="Z1120" s="379">
        <v>9991001</v>
      </c>
      <c r="AA1120" s="379" t="s">
        <v>2496</v>
      </c>
      <c r="AB1120" s="380">
        <f t="shared" si="15"/>
        <v>0.70000000000000007</v>
      </c>
    </row>
    <row r="1121" spans="1:28" outlineLevel="2" x14ac:dyDescent="0.3">
      <c r="A1121" s="379">
        <v>432</v>
      </c>
      <c r="B1121" s="379">
        <v>990000</v>
      </c>
      <c r="C1121" s="379" t="s">
        <v>1699</v>
      </c>
      <c r="D1121" s="379">
        <v>589538</v>
      </c>
      <c r="E1121" s="379" t="s">
        <v>3258</v>
      </c>
      <c r="F1121" s="379" t="s">
        <v>3259</v>
      </c>
      <c r="G1121" s="383">
        <v>32051</v>
      </c>
      <c r="H1121" s="379">
        <v>68765.91</v>
      </c>
      <c r="I1121" s="379"/>
      <c r="J1121" s="379"/>
      <c r="K1121" s="379">
        <v>5157.6000000000004</v>
      </c>
      <c r="L1121" s="379"/>
      <c r="M1121" s="379"/>
      <c r="N1121" s="379"/>
      <c r="O1121" s="379"/>
      <c r="P1121" s="379"/>
      <c r="Q1121" s="379"/>
      <c r="R1121" s="379"/>
      <c r="S1121" s="379">
        <v>63682.11</v>
      </c>
      <c r="T1121" s="379">
        <v>4633.8</v>
      </c>
      <c r="U1121" s="379"/>
      <c r="V1121" s="380">
        <v>73923.509999999995</v>
      </c>
      <c r="W1121" s="381">
        <v>7.2</v>
      </c>
      <c r="X1121" s="379"/>
      <c r="Y1121" s="379"/>
      <c r="Z1121" s="379">
        <v>9991001</v>
      </c>
      <c r="AA1121" s="379" t="s">
        <v>2496</v>
      </c>
      <c r="AB1121" s="380">
        <f t="shared" si="15"/>
        <v>0.6</v>
      </c>
    </row>
    <row r="1122" spans="1:28" outlineLevel="2" x14ac:dyDescent="0.3">
      <c r="A1122" s="379">
        <v>432</v>
      </c>
      <c r="B1122" s="379">
        <v>990000</v>
      </c>
      <c r="C1122" s="379" t="s">
        <v>1699</v>
      </c>
      <c r="D1122" s="379">
        <v>631719</v>
      </c>
      <c r="E1122" s="379" t="s">
        <v>970</v>
      </c>
      <c r="F1122" s="379" t="s">
        <v>3260</v>
      </c>
      <c r="G1122" s="383">
        <v>31444</v>
      </c>
      <c r="H1122" s="379">
        <v>185031.33</v>
      </c>
      <c r="I1122" s="379"/>
      <c r="J1122" s="379"/>
      <c r="K1122" s="379">
        <v>13877.4</v>
      </c>
      <c r="L1122" s="379"/>
      <c r="M1122" s="379"/>
      <c r="N1122" s="379"/>
      <c r="O1122" s="379">
        <v>65228.91</v>
      </c>
      <c r="P1122" s="379">
        <v>397.29</v>
      </c>
      <c r="Q1122" s="379">
        <v>10454</v>
      </c>
      <c r="R1122" s="379"/>
      <c r="S1122" s="379">
        <v>101600.68</v>
      </c>
      <c r="T1122" s="379">
        <v>6500.95</v>
      </c>
      <c r="U1122" s="379">
        <v>399.5</v>
      </c>
      <c r="V1122" s="380">
        <v>198908.73</v>
      </c>
      <c r="W1122" s="381">
        <v>13.584</v>
      </c>
      <c r="X1122" s="379"/>
      <c r="Y1122" s="379"/>
      <c r="Z1122" s="379">
        <v>9991001</v>
      </c>
      <c r="AA1122" s="379" t="s">
        <v>2496</v>
      </c>
      <c r="AB1122" s="380">
        <f t="shared" ref="AB1122:AB1185" si="16">W1122/12</f>
        <v>1.1319999999999999</v>
      </c>
    </row>
    <row r="1123" spans="1:28" outlineLevel="2" x14ac:dyDescent="0.3">
      <c r="A1123" s="379">
        <v>432</v>
      </c>
      <c r="B1123" s="379">
        <v>990000</v>
      </c>
      <c r="C1123" s="379" t="s">
        <v>1699</v>
      </c>
      <c r="D1123" s="379">
        <v>803000</v>
      </c>
      <c r="E1123" s="379" t="s">
        <v>3261</v>
      </c>
      <c r="F1123" s="379" t="s">
        <v>3129</v>
      </c>
      <c r="G1123" s="383">
        <v>36526</v>
      </c>
      <c r="H1123" s="379">
        <v>65696.679999999993</v>
      </c>
      <c r="I1123" s="379"/>
      <c r="J1123" s="379"/>
      <c r="K1123" s="379">
        <v>4927.1499999999996</v>
      </c>
      <c r="L1123" s="379"/>
      <c r="M1123" s="379"/>
      <c r="N1123" s="379"/>
      <c r="O1123" s="379"/>
      <c r="P1123" s="379"/>
      <c r="Q1123" s="379"/>
      <c r="R1123" s="379"/>
      <c r="S1123" s="379">
        <v>60999.03</v>
      </c>
      <c r="T1123" s="379">
        <v>4247.6499999999996</v>
      </c>
      <c r="U1123" s="379"/>
      <c r="V1123" s="380">
        <v>70623.83</v>
      </c>
      <c r="W1123" s="381">
        <v>6.6</v>
      </c>
      <c r="X1123" s="379"/>
      <c r="Y1123" s="379"/>
      <c r="Z1123" s="379">
        <v>9991001</v>
      </c>
      <c r="AA1123" s="379" t="s">
        <v>2496</v>
      </c>
      <c r="AB1123" s="380">
        <f t="shared" si="16"/>
        <v>0.54999999999999993</v>
      </c>
    </row>
    <row r="1124" spans="1:28" outlineLevel="2" x14ac:dyDescent="0.3">
      <c r="A1124" s="379">
        <v>432</v>
      </c>
      <c r="B1124" s="379">
        <v>990000</v>
      </c>
      <c r="C1124" s="379" t="s">
        <v>1699</v>
      </c>
      <c r="D1124" s="379">
        <v>891179</v>
      </c>
      <c r="E1124" s="379" t="s">
        <v>3262</v>
      </c>
      <c r="F1124" s="379" t="s">
        <v>2514</v>
      </c>
      <c r="G1124" s="383">
        <v>25965</v>
      </c>
      <c r="H1124" s="379">
        <v>79090.94</v>
      </c>
      <c r="I1124" s="379"/>
      <c r="J1124" s="379"/>
      <c r="K1124" s="379">
        <v>5931.8</v>
      </c>
      <c r="L1124" s="379"/>
      <c r="M1124" s="379"/>
      <c r="N1124" s="379"/>
      <c r="O1124" s="379"/>
      <c r="P1124" s="379"/>
      <c r="Q1124" s="379"/>
      <c r="R1124" s="379"/>
      <c r="S1124" s="379">
        <v>73234.84</v>
      </c>
      <c r="T1124" s="379">
        <v>5406.1</v>
      </c>
      <c r="U1124" s="379"/>
      <c r="V1124" s="380">
        <v>85022.74</v>
      </c>
      <c r="W1124" s="381">
        <v>8.4</v>
      </c>
      <c r="X1124" s="379"/>
      <c r="Y1124" s="379"/>
      <c r="Z1124" s="379">
        <v>9991001</v>
      </c>
      <c r="AA1124" s="379" t="s">
        <v>2496</v>
      </c>
      <c r="AB1124" s="380">
        <f t="shared" si="16"/>
        <v>0.70000000000000007</v>
      </c>
    </row>
    <row r="1125" spans="1:28" outlineLevel="2" x14ac:dyDescent="0.3">
      <c r="A1125" s="379">
        <v>432</v>
      </c>
      <c r="B1125" s="379">
        <v>990000</v>
      </c>
      <c r="C1125" s="379" t="s">
        <v>1699</v>
      </c>
      <c r="D1125" s="379">
        <v>900376</v>
      </c>
      <c r="E1125" s="379" t="s">
        <v>2457</v>
      </c>
      <c r="F1125" s="379" t="s">
        <v>3263</v>
      </c>
      <c r="G1125" s="383">
        <v>31503</v>
      </c>
      <c r="H1125" s="379">
        <v>44244.37</v>
      </c>
      <c r="I1125" s="379"/>
      <c r="J1125" s="379"/>
      <c r="K1125" s="379">
        <v>3318.25</v>
      </c>
      <c r="L1125" s="379"/>
      <c r="M1125" s="379"/>
      <c r="N1125" s="379"/>
      <c r="O1125" s="379"/>
      <c r="P1125" s="379"/>
      <c r="Q1125" s="379"/>
      <c r="R1125" s="379"/>
      <c r="S1125" s="379">
        <v>40403.589999999997</v>
      </c>
      <c r="T1125" s="379">
        <v>3390.78</v>
      </c>
      <c r="U1125" s="379"/>
      <c r="V1125" s="380">
        <v>47562.62</v>
      </c>
      <c r="W1125" s="381">
        <v>6</v>
      </c>
      <c r="X1125" s="379"/>
      <c r="Y1125" s="379"/>
      <c r="Z1125" s="379">
        <v>9991001</v>
      </c>
      <c r="AA1125" s="379" t="s">
        <v>2496</v>
      </c>
      <c r="AB1125" s="380">
        <f t="shared" si="16"/>
        <v>0.5</v>
      </c>
    </row>
    <row r="1126" spans="1:28" outlineLevel="2" x14ac:dyDescent="0.3">
      <c r="A1126" s="379">
        <v>432</v>
      </c>
      <c r="B1126" s="379">
        <v>990000</v>
      </c>
      <c r="C1126" s="379" t="s">
        <v>1699</v>
      </c>
      <c r="D1126" s="379">
        <v>921654</v>
      </c>
      <c r="E1126" s="379" t="s">
        <v>3264</v>
      </c>
      <c r="F1126" s="379" t="s">
        <v>2434</v>
      </c>
      <c r="G1126" s="383">
        <v>29465</v>
      </c>
      <c r="H1126" s="379">
        <v>50448.99</v>
      </c>
      <c r="I1126" s="379"/>
      <c r="J1126" s="379"/>
      <c r="K1126" s="379">
        <v>3783.5</v>
      </c>
      <c r="L1126" s="379"/>
      <c r="M1126" s="379"/>
      <c r="N1126" s="379"/>
      <c r="O1126" s="379"/>
      <c r="P1126" s="379"/>
      <c r="Q1126" s="379"/>
      <c r="R1126" s="379"/>
      <c r="S1126" s="379">
        <v>45928.97</v>
      </c>
      <c r="T1126" s="379">
        <v>4070.02</v>
      </c>
      <c r="U1126" s="379"/>
      <c r="V1126" s="380">
        <v>54232.49</v>
      </c>
      <c r="W1126" s="381">
        <v>7.44</v>
      </c>
      <c r="X1126" s="379"/>
      <c r="Y1126" s="379"/>
      <c r="Z1126" s="379">
        <v>9991001</v>
      </c>
      <c r="AA1126" s="379" t="s">
        <v>2496</v>
      </c>
      <c r="AB1126" s="380">
        <f t="shared" si="16"/>
        <v>0.62</v>
      </c>
    </row>
    <row r="1127" spans="1:28" outlineLevel="2" x14ac:dyDescent="0.3">
      <c r="A1127" s="379">
        <v>432</v>
      </c>
      <c r="B1127" s="379">
        <v>990000</v>
      </c>
      <c r="C1127" s="379" t="s">
        <v>1699</v>
      </c>
      <c r="D1127" s="379">
        <v>923118</v>
      </c>
      <c r="E1127" s="379" t="s">
        <v>3265</v>
      </c>
      <c r="F1127" s="379" t="s">
        <v>3266</v>
      </c>
      <c r="G1127" s="383">
        <v>42583</v>
      </c>
      <c r="H1127" s="379">
        <v>38909.07</v>
      </c>
      <c r="I1127" s="379"/>
      <c r="J1127" s="379"/>
      <c r="K1127" s="379">
        <v>33.75</v>
      </c>
      <c r="L1127" s="379"/>
      <c r="M1127" s="379"/>
      <c r="N1127" s="379"/>
      <c r="O1127" s="379"/>
      <c r="P1127" s="379"/>
      <c r="Q1127" s="379"/>
      <c r="R1127" s="379"/>
      <c r="S1127" s="379">
        <v>36565.43</v>
      </c>
      <c r="T1127" s="379">
        <v>1893.64</v>
      </c>
      <c r="U1127" s="379"/>
      <c r="V1127" s="380">
        <v>38942.82</v>
      </c>
      <c r="W1127" s="381">
        <v>3.3119999999999998</v>
      </c>
      <c r="X1127" s="379"/>
      <c r="Y1127" s="379"/>
      <c r="Z1127" s="379">
        <v>9991001</v>
      </c>
      <c r="AA1127" s="379" t="s">
        <v>2496</v>
      </c>
      <c r="AB1127" s="380">
        <f t="shared" si="16"/>
        <v>0.27599999999999997</v>
      </c>
    </row>
    <row r="1128" spans="1:28" outlineLevel="2" x14ac:dyDescent="0.3">
      <c r="A1128" s="379">
        <v>432</v>
      </c>
      <c r="B1128" s="379">
        <v>990000</v>
      </c>
      <c r="C1128" s="379" t="s">
        <v>1699</v>
      </c>
      <c r="D1128" s="379">
        <v>956649</v>
      </c>
      <c r="E1128" s="379" t="s">
        <v>3267</v>
      </c>
      <c r="F1128" s="379" t="s">
        <v>3268</v>
      </c>
      <c r="G1128" s="383">
        <v>28095</v>
      </c>
      <c r="H1128" s="379">
        <v>66515.289999999994</v>
      </c>
      <c r="I1128" s="379"/>
      <c r="J1128" s="379"/>
      <c r="K1128" s="379">
        <v>4988.55</v>
      </c>
      <c r="L1128" s="379"/>
      <c r="M1128" s="379"/>
      <c r="N1128" s="379"/>
      <c r="O1128" s="379"/>
      <c r="P1128" s="379"/>
      <c r="Q1128" s="379"/>
      <c r="R1128" s="379"/>
      <c r="S1128" s="379">
        <v>61468.42</v>
      </c>
      <c r="T1128" s="379">
        <v>4596.87</v>
      </c>
      <c r="U1128" s="379"/>
      <c r="V1128" s="380">
        <v>71503.839999999997</v>
      </c>
      <c r="W1128" s="381">
        <v>8.0399999999999991</v>
      </c>
      <c r="X1128" s="379"/>
      <c r="Y1128" s="379"/>
      <c r="Z1128" s="379">
        <v>3011002</v>
      </c>
      <c r="AA1128" s="379" t="s">
        <v>2594</v>
      </c>
      <c r="AB1128" s="380">
        <f t="shared" si="16"/>
        <v>0.66999999999999993</v>
      </c>
    </row>
    <row r="1129" spans="1:28" outlineLevel="2" x14ac:dyDescent="0.3">
      <c r="A1129" s="379">
        <v>432</v>
      </c>
      <c r="B1129" s="379">
        <v>990000</v>
      </c>
      <c r="C1129" s="379" t="s">
        <v>1699</v>
      </c>
      <c r="D1129" s="379">
        <v>1023027</v>
      </c>
      <c r="E1129" s="379" t="s">
        <v>2298</v>
      </c>
      <c r="F1129" s="379" t="s">
        <v>3269</v>
      </c>
      <c r="G1129" s="383">
        <v>28095</v>
      </c>
      <c r="H1129" s="379">
        <v>44320.24</v>
      </c>
      <c r="I1129" s="379"/>
      <c r="J1129" s="379"/>
      <c r="K1129" s="379">
        <v>3324.1</v>
      </c>
      <c r="L1129" s="379"/>
      <c r="M1129" s="379"/>
      <c r="N1129" s="379"/>
      <c r="O1129" s="379"/>
      <c r="P1129" s="379"/>
      <c r="Q1129" s="379"/>
      <c r="R1129" s="379"/>
      <c r="S1129" s="379">
        <v>41158.800000000003</v>
      </c>
      <c r="T1129" s="379">
        <v>2711.44</v>
      </c>
      <c r="U1129" s="379"/>
      <c r="V1129" s="380">
        <v>47644.34</v>
      </c>
      <c r="W1129" s="381">
        <v>5.1959999999999997</v>
      </c>
      <c r="X1129" s="379"/>
      <c r="Y1129" s="379"/>
      <c r="Z1129" s="379">
        <v>3208401</v>
      </c>
      <c r="AA1129" s="379" t="s">
        <v>3270</v>
      </c>
      <c r="AB1129" s="380">
        <f t="shared" si="16"/>
        <v>0.433</v>
      </c>
    </row>
    <row r="1130" spans="1:28" outlineLevel="2" x14ac:dyDescent="0.3">
      <c r="A1130" s="379">
        <v>432</v>
      </c>
      <c r="B1130" s="379">
        <v>990000</v>
      </c>
      <c r="C1130" s="379" t="s">
        <v>1699</v>
      </c>
      <c r="D1130" s="379">
        <v>1076895</v>
      </c>
      <c r="E1130" s="379" t="s">
        <v>2511</v>
      </c>
      <c r="F1130" s="379" t="s">
        <v>3142</v>
      </c>
      <c r="G1130" s="383">
        <v>32234</v>
      </c>
      <c r="H1130" s="379">
        <v>39443.19</v>
      </c>
      <c r="I1130" s="379"/>
      <c r="J1130" s="379"/>
      <c r="K1130" s="379">
        <v>2958.3</v>
      </c>
      <c r="L1130" s="379"/>
      <c r="M1130" s="379"/>
      <c r="N1130" s="379"/>
      <c r="O1130" s="379"/>
      <c r="P1130" s="379"/>
      <c r="Q1130" s="379"/>
      <c r="R1130" s="379"/>
      <c r="S1130" s="379">
        <v>36139.01</v>
      </c>
      <c r="T1130" s="379">
        <v>2854.18</v>
      </c>
      <c r="U1130" s="379"/>
      <c r="V1130" s="380">
        <v>42401.49</v>
      </c>
      <c r="W1130" s="381">
        <v>4.992</v>
      </c>
      <c r="X1130" s="379"/>
      <c r="Y1130" s="379"/>
      <c r="Z1130" s="379">
        <v>9991001</v>
      </c>
      <c r="AA1130" s="379" t="s">
        <v>2496</v>
      </c>
      <c r="AB1130" s="380">
        <f t="shared" si="16"/>
        <v>0.41599999999999998</v>
      </c>
    </row>
    <row r="1131" spans="1:28" outlineLevel="2" x14ac:dyDescent="0.3">
      <c r="A1131" s="379">
        <v>432</v>
      </c>
      <c r="B1131" s="379">
        <v>990000</v>
      </c>
      <c r="C1131" s="379" t="s">
        <v>1699</v>
      </c>
      <c r="D1131" s="379">
        <v>1239336</v>
      </c>
      <c r="E1131" s="379" t="s">
        <v>3271</v>
      </c>
      <c r="F1131" s="379" t="s">
        <v>3226</v>
      </c>
      <c r="G1131" s="383">
        <v>28856</v>
      </c>
      <c r="H1131" s="379">
        <v>69262.320000000007</v>
      </c>
      <c r="I1131" s="379"/>
      <c r="J1131" s="379"/>
      <c r="K1131" s="379">
        <v>5194.7</v>
      </c>
      <c r="L1131" s="379"/>
      <c r="M1131" s="379"/>
      <c r="N1131" s="379"/>
      <c r="O1131" s="379"/>
      <c r="P1131" s="379"/>
      <c r="Q1131" s="379"/>
      <c r="R1131" s="379"/>
      <c r="S1131" s="379">
        <v>64751.64</v>
      </c>
      <c r="T1131" s="379">
        <v>4060.68</v>
      </c>
      <c r="U1131" s="379"/>
      <c r="V1131" s="380">
        <v>74457.02</v>
      </c>
      <c r="W1131" s="381">
        <v>6.84</v>
      </c>
      <c r="X1131" s="379"/>
      <c r="Y1131" s="379"/>
      <c r="Z1131" s="379">
        <v>9991001</v>
      </c>
      <c r="AA1131" s="379" t="s">
        <v>2496</v>
      </c>
      <c r="AB1131" s="380">
        <f t="shared" si="16"/>
        <v>0.56999999999999995</v>
      </c>
    </row>
    <row r="1132" spans="1:28" outlineLevel="2" x14ac:dyDescent="0.3">
      <c r="A1132" s="379">
        <v>432</v>
      </c>
      <c r="B1132" s="379">
        <v>990000</v>
      </c>
      <c r="C1132" s="379" t="s">
        <v>1699</v>
      </c>
      <c r="D1132" s="379">
        <v>1298395</v>
      </c>
      <c r="E1132" s="379" t="s">
        <v>3272</v>
      </c>
      <c r="F1132" s="379" t="s">
        <v>3273</v>
      </c>
      <c r="G1132" s="383">
        <v>28887</v>
      </c>
      <c r="H1132" s="379">
        <v>107864.27</v>
      </c>
      <c r="I1132" s="379"/>
      <c r="J1132" s="379"/>
      <c r="K1132" s="379">
        <v>8089.7</v>
      </c>
      <c r="L1132" s="379"/>
      <c r="M1132" s="379"/>
      <c r="N1132" s="379"/>
      <c r="O1132" s="379"/>
      <c r="P1132" s="379"/>
      <c r="Q1132" s="379"/>
      <c r="R1132" s="379"/>
      <c r="S1132" s="379">
        <v>102471.55</v>
      </c>
      <c r="T1132" s="379">
        <v>4942.72</v>
      </c>
      <c r="U1132" s="379"/>
      <c r="V1132" s="380">
        <v>115953.97</v>
      </c>
      <c r="W1132" s="381">
        <v>7.68</v>
      </c>
      <c r="X1132" s="379"/>
      <c r="Y1132" s="379"/>
      <c r="Z1132" s="379">
        <v>9991001</v>
      </c>
      <c r="AA1132" s="379" t="s">
        <v>2496</v>
      </c>
      <c r="AB1132" s="380">
        <f t="shared" si="16"/>
        <v>0.64</v>
      </c>
    </row>
    <row r="1133" spans="1:28" outlineLevel="2" x14ac:dyDescent="0.3">
      <c r="A1133" s="379">
        <v>432</v>
      </c>
      <c r="B1133" s="379">
        <v>990000</v>
      </c>
      <c r="C1133" s="379" t="s">
        <v>1699</v>
      </c>
      <c r="D1133" s="379">
        <v>1349220</v>
      </c>
      <c r="E1133" s="379" t="s">
        <v>2983</v>
      </c>
      <c r="F1133" s="379" t="s">
        <v>3274</v>
      </c>
      <c r="G1133" s="383">
        <v>31321</v>
      </c>
      <c r="H1133" s="379">
        <v>51248.43</v>
      </c>
      <c r="I1133" s="379"/>
      <c r="J1133" s="379"/>
      <c r="K1133" s="379">
        <v>3843.45</v>
      </c>
      <c r="L1133" s="379"/>
      <c r="M1133" s="379"/>
      <c r="N1133" s="379"/>
      <c r="O1133" s="379"/>
      <c r="P1133" s="379"/>
      <c r="Q1133" s="379"/>
      <c r="R1133" s="379"/>
      <c r="S1133" s="379">
        <v>48107.85</v>
      </c>
      <c r="T1133" s="379">
        <v>2690.58</v>
      </c>
      <c r="U1133" s="379"/>
      <c r="V1133" s="380">
        <v>55091.88</v>
      </c>
      <c r="W1133" s="381">
        <v>5.7960000000000003</v>
      </c>
      <c r="X1133" s="379"/>
      <c r="Y1133" s="379"/>
      <c r="Z1133" s="379">
        <v>9991001</v>
      </c>
      <c r="AA1133" s="379" t="s">
        <v>2496</v>
      </c>
      <c r="AB1133" s="380">
        <f t="shared" si="16"/>
        <v>0.48300000000000004</v>
      </c>
    </row>
    <row r="1134" spans="1:28" outlineLevel="2" x14ac:dyDescent="0.3">
      <c r="A1134" s="379">
        <v>432</v>
      </c>
      <c r="B1134" s="379">
        <v>990000</v>
      </c>
      <c r="C1134" s="379" t="s">
        <v>1699</v>
      </c>
      <c r="D1134" s="379">
        <v>1498741</v>
      </c>
      <c r="E1134" s="379" t="s">
        <v>2730</v>
      </c>
      <c r="F1134" s="379" t="s">
        <v>3275</v>
      </c>
      <c r="G1134" s="383">
        <v>33055</v>
      </c>
      <c r="H1134" s="379">
        <v>21658.639999999999</v>
      </c>
      <c r="I1134" s="379"/>
      <c r="J1134" s="379"/>
      <c r="K1134" s="379">
        <v>1624.55</v>
      </c>
      <c r="L1134" s="379"/>
      <c r="M1134" s="379"/>
      <c r="N1134" s="379"/>
      <c r="O1134" s="379"/>
      <c r="P1134" s="379"/>
      <c r="Q1134" s="379"/>
      <c r="R1134" s="379"/>
      <c r="S1134" s="379">
        <v>19511.12</v>
      </c>
      <c r="T1134" s="379">
        <v>1697.52</v>
      </c>
      <c r="U1134" s="379"/>
      <c r="V1134" s="380">
        <v>23283.19</v>
      </c>
      <c r="W1134" s="381">
        <v>4.056</v>
      </c>
      <c r="X1134" s="379"/>
      <c r="Y1134" s="379"/>
      <c r="Z1134" s="379">
        <v>9991001</v>
      </c>
      <c r="AA1134" s="379" t="s">
        <v>2496</v>
      </c>
      <c r="AB1134" s="380">
        <f t="shared" si="16"/>
        <v>0.33800000000000002</v>
      </c>
    </row>
    <row r="1135" spans="1:28" outlineLevel="2" x14ac:dyDescent="0.3">
      <c r="A1135" s="379">
        <v>432</v>
      </c>
      <c r="B1135" s="379">
        <v>990000</v>
      </c>
      <c r="C1135" s="379" t="s">
        <v>1699</v>
      </c>
      <c r="D1135" s="379">
        <v>1550630</v>
      </c>
      <c r="E1135" s="379" t="s">
        <v>3276</v>
      </c>
      <c r="F1135" s="379" t="s">
        <v>2717</v>
      </c>
      <c r="G1135" s="383">
        <v>31444</v>
      </c>
      <c r="H1135" s="379">
        <v>17887.5</v>
      </c>
      <c r="I1135" s="379"/>
      <c r="J1135" s="379"/>
      <c r="K1135" s="379">
        <v>1341.55</v>
      </c>
      <c r="L1135" s="379"/>
      <c r="M1135" s="379"/>
      <c r="N1135" s="379"/>
      <c r="O1135" s="379"/>
      <c r="P1135" s="379"/>
      <c r="Q1135" s="379"/>
      <c r="R1135" s="379"/>
      <c r="S1135" s="379">
        <v>16320</v>
      </c>
      <c r="T1135" s="379">
        <v>1267.5</v>
      </c>
      <c r="U1135" s="379"/>
      <c r="V1135" s="380">
        <v>19229.05</v>
      </c>
      <c r="W1135" s="381"/>
      <c r="X1135" s="379"/>
      <c r="Y1135" s="379"/>
      <c r="Z1135" s="379">
        <v>311001</v>
      </c>
      <c r="AA1135" s="379" t="s">
        <v>3277</v>
      </c>
      <c r="AB1135" s="380">
        <f t="shared" si="16"/>
        <v>0</v>
      </c>
    </row>
    <row r="1136" spans="1:28" outlineLevel="2" x14ac:dyDescent="0.3">
      <c r="A1136" s="379">
        <v>432</v>
      </c>
      <c r="B1136" s="379">
        <v>990000</v>
      </c>
      <c r="C1136" s="379" t="s">
        <v>1699</v>
      </c>
      <c r="D1136" s="379">
        <v>1596922</v>
      </c>
      <c r="E1136" s="379" t="s">
        <v>3278</v>
      </c>
      <c r="F1136" s="379" t="s">
        <v>3279</v>
      </c>
      <c r="G1136" s="383">
        <v>32721</v>
      </c>
      <c r="H1136" s="379">
        <v>23222.26</v>
      </c>
      <c r="I1136" s="379"/>
      <c r="J1136" s="379"/>
      <c r="K1136" s="379">
        <v>1741.45</v>
      </c>
      <c r="L1136" s="379"/>
      <c r="M1136" s="379"/>
      <c r="N1136" s="379"/>
      <c r="O1136" s="379"/>
      <c r="P1136" s="379"/>
      <c r="Q1136" s="379"/>
      <c r="R1136" s="379"/>
      <c r="S1136" s="379">
        <v>21477.78</v>
      </c>
      <c r="T1136" s="379">
        <v>1294.48</v>
      </c>
      <c r="U1136" s="379"/>
      <c r="V1136" s="380">
        <v>24963.71</v>
      </c>
      <c r="W1136" s="381">
        <v>4.08</v>
      </c>
      <c r="X1136" s="379"/>
      <c r="Y1136" s="379"/>
      <c r="Z1136" s="379">
        <v>9991001</v>
      </c>
      <c r="AA1136" s="379" t="s">
        <v>2496</v>
      </c>
      <c r="AB1136" s="380">
        <f t="shared" si="16"/>
        <v>0.34</v>
      </c>
    </row>
    <row r="1137" spans="1:28" outlineLevel="2" x14ac:dyDescent="0.3">
      <c r="A1137" s="379">
        <v>432</v>
      </c>
      <c r="B1137" s="379">
        <v>990000</v>
      </c>
      <c r="C1137" s="379" t="s">
        <v>1699</v>
      </c>
      <c r="D1137" s="379">
        <v>2242141</v>
      </c>
      <c r="E1137" s="379" t="s">
        <v>2321</v>
      </c>
      <c r="F1137" s="379" t="s">
        <v>3280</v>
      </c>
      <c r="G1137" s="383">
        <v>33573</v>
      </c>
      <c r="H1137" s="379">
        <v>48618.6</v>
      </c>
      <c r="I1137" s="379"/>
      <c r="J1137" s="379"/>
      <c r="K1137" s="379">
        <v>3646.4</v>
      </c>
      <c r="L1137" s="379"/>
      <c r="M1137" s="379"/>
      <c r="N1137" s="379"/>
      <c r="O1137" s="379"/>
      <c r="P1137" s="379"/>
      <c r="Q1137" s="379"/>
      <c r="R1137" s="379"/>
      <c r="S1137" s="379">
        <v>44144.92</v>
      </c>
      <c r="T1137" s="379">
        <v>4023.68</v>
      </c>
      <c r="U1137" s="379"/>
      <c r="V1137" s="380">
        <v>52265</v>
      </c>
      <c r="W1137" s="381">
        <v>6.72</v>
      </c>
      <c r="X1137" s="379"/>
      <c r="Y1137" s="379"/>
      <c r="Z1137" s="379">
        <v>9991001</v>
      </c>
      <c r="AA1137" s="379" t="s">
        <v>2496</v>
      </c>
      <c r="AB1137" s="380">
        <f t="shared" si="16"/>
        <v>0.55999999999999994</v>
      </c>
    </row>
    <row r="1138" spans="1:28" outlineLevel="2" x14ac:dyDescent="0.3">
      <c r="A1138" s="379">
        <v>432</v>
      </c>
      <c r="B1138" s="379">
        <v>990000</v>
      </c>
      <c r="C1138" s="379" t="s">
        <v>1699</v>
      </c>
      <c r="D1138" s="379">
        <v>2418162</v>
      </c>
      <c r="E1138" s="379" t="s">
        <v>2340</v>
      </c>
      <c r="F1138" s="379" t="s">
        <v>2413</v>
      </c>
      <c r="G1138" s="383">
        <v>43435</v>
      </c>
      <c r="H1138" s="379">
        <v>47125.95</v>
      </c>
      <c r="I1138" s="379"/>
      <c r="J1138" s="379"/>
      <c r="K1138" s="379">
        <v>34.9</v>
      </c>
      <c r="L1138" s="379"/>
      <c r="M1138" s="379"/>
      <c r="N1138" s="379"/>
      <c r="O1138" s="379"/>
      <c r="P1138" s="379"/>
      <c r="Q1138" s="379"/>
      <c r="R1138" s="379"/>
      <c r="S1138" s="379">
        <v>44836.44</v>
      </c>
      <c r="T1138" s="379">
        <v>1839.51</v>
      </c>
      <c r="U1138" s="379"/>
      <c r="V1138" s="380">
        <v>47160.85</v>
      </c>
      <c r="W1138" s="381">
        <v>6.5519999999999996</v>
      </c>
      <c r="X1138" s="379"/>
      <c r="Y1138" s="379"/>
      <c r="Z1138" s="379">
        <v>9991001</v>
      </c>
      <c r="AA1138" s="379" t="s">
        <v>2496</v>
      </c>
      <c r="AB1138" s="380">
        <f t="shared" si="16"/>
        <v>0.54599999999999993</v>
      </c>
    </row>
    <row r="1139" spans="1:28" outlineLevel="2" x14ac:dyDescent="0.3">
      <c r="A1139" s="379">
        <v>432</v>
      </c>
      <c r="B1139" s="379">
        <v>990000</v>
      </c>
      <c r="C1139" s="379" t="s">
        <v>1699</v>
      </c>
      <c r="D1139" s="379">
        <v>2672687</v>
      </c>
      <c r="E1139" s="379" t="s">
        <v>2384</v>
      </c>
      <c r="F1139" s="379" t="s">
        <v>2707</v>
      </c>
      <c r="G1139" s="383">
        <v>39022</v>
      </c>
      <c r="H1139" s="379">
        <v>16577.55</v>
      </c>
      <c r="I1139" s="379"/>
      <c r="J1139" s="379"/>
      <c r="K1139" s="379">
        <v>33.75</v>
      </c>
      <c r="L1139" s="379"/>
      <c r="M1139" s="379"/>
      <c r="N1139" s="379"/>
      <c r="O1139" s="379"/>
      <c r="P1139" s="379"/>
      <c r="Q1139" s="379"/>
      <c r="R1139" s="379"/>
      <c r="S1139" s="379">
        <v>14666.16</v>
      </c>
      <c r="T1139" s="379">
        <v>1461.39</v>
      </c>
      <c r="U1139" s="379"/>
      <c r="V1139" s="380">
        <v>16611.3</v>
      </c>
      <c r="W1139" s="381">
        <v>2.556</v>
      </c>
      <c r="X1139" s="379"/>
      <c r="Y1139" s="379"/>
      <c r="Z1139" s="379">
        <v>9991001</v>
      </c>
      <c r="AA1139" s="379" t="s">
        <v>2496</v>
      </c>
      <c r="AB1139" s="380">
        <f t="shared" si="16"/>
        <v>0.21299999999999999</v>
      </c>
    </row>
    <row r="1140" spans="1:28" outlineLevel="2" x14ac:dyDescent="0.3">
      <c r="A1140" s="379">
        <v>432</v>
      </c>
      <c r="B1140" s="379">
        <v>990000</v>
      </c>
      <c r="C1140" s="379" t="s">
        <v>1699</v>
      </c>
      <c r="D1140" s="379">
        <v>2674295</v>
      </c>
      <c r="E1140" s="379" t="s">
        <v>2303</v>
      </c>
      <c r="F1140" s="379" t="s">
        <v>2588</v>
      </c>
      <c r="G1140" s="383">
        <v>28399</v>
      </c>
      <c r="H1140" s="379">
        <v>148275.84</v>
      </c>
      <c r="I1140" s="379"/>
      <c r="J1140" s="379"/>
      <c r="K1140" s="379">
        <v>11120.8</v>
      </c>
      <c r="L1140" s="379"/>
      <c r="M1140" s="379"/>
      <c r="N1140" s="379"/>
      <c r="O1140" s="379"/>
      <c r="P1140" s="379">
        <v>27972</v>
      </c>
      <c r="Q1140" s="379"/>
      <c r="R1140" s="379"/>
      <c r="S1140" s="379">
        <v>114447.74</v>
      </c>
      <c r="T1140" s="379">
        <v>5406.1</v>
      </c>
      <c r="U1140" s="379"/>
      <c r="V1140" s="380">
        <v>159396.64000000001</v>
      </c>
      <c r="W1140" s="381">
        <v>8.4</v>
      </c>
      <c r="X1140" s="379"/>
      <c r="Y1140" s="379"/>
      <c r="Z1140" s="379">
        <v>9991001</v>
      </c>
      <c r="AA1140" s="379" t="s">
        <v>2496</v>
      </c>
      <c r="AB1140" s="380">
        <f t="shared" si="16"/>
        <v>0.70000000000000007</v>
      </c>
    </row>
    <row r="1141" spans="1:28" outlineLevel="2" x14ac:dyDescent="0.3">
      <c r="A1141" s="379">
        <v>432</v>
      </c>
      <c r="B1141" s="379">
        <v>990000</v>
      </c>
      <c r="C1141" s="379" t="s">
        <v>1699</v>
      </c>
      <c r="D1141" s="379">
        <v>2682390</v>
      </c>
      <c r="E1141" s="379" t="s">
        <v>2519</v>
      </c>
      <c r="F1141" s="379" t="s">
        <v>2319</v>
      </c>
      <c r="G1141" s="383">
        <v>36281</v>
      </c>
      <c r="H1141" s="379">
        <v>41920.9</v>
      </c>
      <c r="I1141" s="379"/>
      <c r="J1141" s="379"/>
      <c r="K1141" s="379">
        <v>33.75</v>
      </c>
      <c r="L1141" s="379"/>
      <c r="M1141" s="379"/>
      <c r="N1141" s="379"/>
      <c r="O1141" s="379"/>
      <c r="P1141" s="379"/>
      <c r="Q1141" s="379"/>
      <c r="R1141" s="379"/>
      <c r="S1141" s="379">
        <v>38554.1</v>
      </c>
      <c r="T1141" s="379">
        <v>2916.8</v>
      </c>
      <c r="U1141" s="379"/>
      <c r="V1141" s="380">
        <v>41954.65</v>
      </c>
      <c r="W1141" s="381">
        <v>4.8</v>
      </c>
      <c r="X1141" s="379"/>
      <c r="Y1141" s="379"/>
      <c r="Z1141" s="379">
        <v>9991001</v>
      </c>
      <c r="AA1141" s="379" t="s">
        <v>2496</v>
      </c>
      <c r="AB1141" s="380">
        <f t="shared" si="16"/>
        <v>0.39999999999999997</v>
      </c>
    </row>
    <row r="1142" spans="1:28" outlineLevel="2" x14ac:dyDescent="0.3">
      <c r="A1142" s="379">
        <v>432</v>
      </c>
      <c r="B1142" s="379">
        <v>990000</v>
      </c>
      <c r="C1142" s="379" t="s">
        <v>1699</v>
      </c>
      <c r="D1142" s="379">
        <v>2682393</v>
      </c>
      <c r="E1142" s="379" t="s">
        <v>3281</v>
      </c>
      <c r="F1142" s="379" t="s">
        <v>3282</v>
      </c>
      <c r="G1142" s="383">
        <v>35034</v>
      </c>
      <c r="H1142" s="379">
        <v>10419.82</v>
      </c>
      <c r="I1142" s="379"/>
      <c r="J1142" s="379"/>
      <c r="K1142" s="379">
        <v>781.3</v>
      </c>
      <c r="L1142" s="379"/>
      <c r="M1142" s="379"/>
      <c r="N1142" s="379"/>
      <c r="O1142" s="379"/>
      <c r="P1142" s="379"/>
      <c r="Q1142" s="379"/>
      <c r="R1142" s="379"/>
      <c r="S1142" s="379">
        <v>9182.6299999999992</v>
      </c>
      <c r="T1142" s="379">
        <v>787.19</v>
      </c>
      <c r="U1142" s="379"/>
      <c r="V1142" s="380">
        <v>11201.12</v>
      </c>
      <c r="W1142" s="381">
        <v>3.24</v>
      </c>
      <c r="X1142" s="379"/>
      <c r="Y1142" s="379"/>
      <c r="Z1142" s="379">
        <v>9991001</v>
      </c>
      <c r="AA1142" s="379" t="s">
        <v>2496</v>
      </c>
      <c r="AB1142" s="380">
        <f t="shared" si="16"/>
        <v>0.27</v>
      </c>
    </row>
    <row r="1143" spans="1:28" outlineLevel="2" x14ac:dyDescent="0.3">
      <c r="A1143" s="379">
        <v>432</v>
      </c>
      <c r="B1143" s="379">
        <v>990000</v>
      </c>
      <c r="C1143" s="379" t="s">
        <v>1699</v>
      </c>
      <c r="D1143" s="379">
        <v>2682395</v>
      </c>
      <c r="E1143" s="379" t="s">
        <v>2307</v>
      </c>
      <c r="F1143" s="379" t="s">
        <v>2319</v>
      </c>
      <c r="G1143" s="383">
        <v>40603</v>
      </c>
      <c r="H1143" s="379">
        <v>30869.759999999998</v>
      </c>
      <c r="I1143" s="379"/>
      <c r="J1143" s="379"/>
      <c r="K1143" s="379">
        <v>33.75</v>
      </c>
      <c r="L1143" s="379"/>
      <c r="M1143" s="379"/>
      <c r="N1143" s="379"/>
      <c r="O1143" s="379"/>
      <c r="P1143" s="379"/>
      <c r="Q1143" s="379"/>
      <c r="R1143" s="379"/>
      <c r="S1143" s="379">
        <v>27789.72</v>
      </c>
      <c r="T1143" s="379">
        <v>2630.04</v>
      </c>
      <c r="U1143" s="379"/>
      <c r="V1143" s="380">
        <v>30903.51</v>
      </c>
      <c r="W1143" s="381">
        <v>5.04</v>
      </c>
      <c r="X1143" s="379"/>
      <c r="Y1143" s="379"/>
      <c r="Z1143" s="379">
        <v>9991001</v>
      </c>
      <c r="AA1143" s="379" t="s">
        <v>2496</v>
      </c>
      <c r="AB1143" s="380">
        <f t="shared" si="16"/>
        <v>0.42</v>
      </c>
    </row>
    <row r="1144" spans="1:28" outlineLevel="2" x14ac:dyDescent="0.3">
      <c r="A1144" s="379">
        <v>432</v>
      </c>
      <c r="B1144" s="379">
        <v>990000</v>
      </c>
      <c r="C1144" s="379" t="s">
        <v>1699</v>
      </c>
      <c r="D1144" s="379">
        <v>2682756</v>
      </c>
      <c r="E1144" s="379" t="s">
        <v>2787</v>
      </c>
      <c r="F1144" s="379" t="s">
        <v>3283</v>
      </c>
      <c r="G1144" s="383">
        <v>32021</v>
      </c>
      <c r="H1144" s="379">
        <v>33747.97</v>
      </c>
      <c r="I1144" s="379"/>
      <c r="J1144" s="379"/>
      <c r="K1144" s="379">
        <v>2531.3000000000002</v>
      </c>
      <c r="L1144" s="379"/>
      <c r="M1144" s="379"/>
      <c r="N1144" s="379"/>
      <c r="O1144" s="379"/>
      <c r="P1144" s="379"/>
      <c r="Q1144" s="379"/>
      <c r="R1144" s="379"/>
      <c r="S1144" s="379">
        <v>31164.959999999999</v>
      </c>
      <c r="T1144" s="379">
        <v>2133.0100000000002</v>
      </c>
      <c r="U1144" s="379"/>
      <c r="V1144" s="380">
        <v>36279.269999999997</v>
      </c>
      <c r="W1144" s="381">
        <v>4.74</v>
      </c>
      <c r="X1144" s="379"/>
      <c r="Y1144" s="379"/>
      <c r="Z1144" s="379">
        <v>5302001</v>
      </c>
      <c r="AA1144" s="379" t="s">
        <v>2367</v>
      </c>
      <c r="AB1144" s="380">
        <f t="shared" si="16"/>
        <v>0.39500000000000002</v>
      </c>
    </row>
    <row r="1145" spans="1:28" outlineLevel="2" x14ac:dyDescent="0.3">
      <c r="A1145" s="379">
        <v>432</v>
      </c>
      <c r="B1145" s="379">
        <v>990000</v>
      </c>
      <c r="C1145" s="379" t="s">
        <v>1699</v>
      </c>
      <c r="D1145" s="379">
        <v>2683284</v>
      </c>
      <c r="E1145" s="379" t="s">
        <v>2802</v>
      </c>
      <c r="F1145" s="379" t="s">
        <v>2810</v>
      </c>
      <c r="G1145" s="383">
        <v>27334</v>
      </c>
      <c r="H1145" s="379">
        <v>58071.97</v>
      </c>
      <c r="I1145" s="379"/>
      <c r="J1145" s="379"/>
      <c r="K1145" s="379">
        <v>4355.25</v>
      </c>
      <c r="L1145" s="379"/>
      <c r="M1145" s="379"/>
      <c r="N1145" s="379"/>
      <c r="O1145" s="379"/>
      <c r="P1145" s="379"/>
      <c r="Q1145" s="379"/>
      <c r="R1145" s="379"/>
      <c r="S1145" s="379">
        <v>52756.480000000003</v>
      </c>
      <c r="T1145" s="379">
        <v>4865.49</v>
      </c>
      <c r="U1145" s="379"/>
      <c r="V1145" s="380">
        <v>62427.22</v>
      </c>
      <c r="W1145" s="381">
        <v>8.4</v>
      </c>
      <c r="X1145" s="379"/>
      <c r="Y1145" s="379"/>
      <c r="Z1145" s="379">
        <v>9991001</v>
      </c>
      <c r="AA1145" s="379" t="s">
        <v>2496</v>
      </c>
      <c r="AB1145" s="380">
        <f t="shared" si="16"/>
        <v>0.70000000000000007</v>
      </c>
    </row>
    <row r="1146" spans="1:28" outlineLevel="2" x14ac:dyDescent="0.3">
      <c r="A1146" s="379">
        <v>432</v>
      </c>
      <c r="B1146" s="379">
        <v>990000</v>
      </c>
      <c r="C1146" s="379" t="s">
        <v>1699</v>
      </c>
      <c r="D1146" s="379">
        <v>2683657</v>
      </c>
      <c r="E1146" s="379" t="s">
        <v>2714</v>
      </c>
      <c r="F1146" s="379" t="s">
        <v>3284</v>
      </c>
      <c r="G1146" s="383">
        <v>42826</v>
      </c>
      <c r="H1146" s="379">
        <v>51741.79</v>
      </c>
      <c r="I1146" s="379"/>
      <c r="J1146" s="379"/>
      <c r="K1146" s="379">
        <v>145.35</v>
      </c>
      <c r="L1146" s="379"/>
      <c r="M1146" s="379"/>
      <c r="N1146" s="379"/>
      <c r="O1146" s="379">
        <v>1488</v>
      </c>
      <c r="P1146" s="379"/>
      <c r="Q1146" s="379"/>
      <c r="R1146" s="379"/>
      <c r="S1146" s="379">
        <v>46652.81</v>
      </c>
      <c r="T1146" s="379">
        <v>3150.98</v>
      </c>
      <c r="U1146" s="379"/>
      <c r="V1146" s="380">
        <v>51887.14</v>
      </c>
      <c r="W1146" s="381">
        <v>4.8959999999999999</v>
      </c>
      <c r="X1146" s="379"/>
      <c r="Y1146" s="379"/>
      <c r="Z1146" s="379">
        <v>9992001</v>
      </c>
      <c r="AA1146" s="379" t="s">
        <v>2914</v>
      </c>
      <c r="AB1146" s="380">
        <f t="shared" si="16"/>
        <v>0.40799999999999997</v>
      </c>
    </row>
    <row r="1147" spans="1:28" outlineLevel="2" x14ac:dyDescent="0.3">
      <c r="A1147" s="379">
        <v>432</v>
      </c>
      <c r="B1147" s="379">
        <v>990000</v>
      </c>
      <c r="C1147" s="379" t="s">
        <v>1699</v>
      </c>
      <c r="D1147" s="379">
        <v>2686265</v>
      </c>
      <c r="E1147" s="379" t="s">
        <v>3285</v>
      </c>
      <c r="F1147" s="379" t="s">
        <v>2707</v>
      </c>
      <c r="G1147" s="383">
        <v>26390</v>
      </c>
      <c r="H1147" s="379">
        <v>30537.5</v>
      </c>
      <c r="I1147" s="379"/>
      <c r="J1147" s="379"/>
      <c r="K1147" s="379">
        <v>2290.3000000000002</v>
      </c>
      <c r="L1147" s="379"/>
      <c r="M1147" s="379"/>
      <c r="N1147" s="379"/>
      <c r="O1147" s="379"/>
      <c r="P1147" s="379"/>
      <c r="Q1147" s="379"/>
      <c r="R1147" s="379"/>
      <c r="S1147" s="379">
        <v>27864.48</v>
      </c>
      <c r="T1147" s="379">
        <v>2223.02</v>
      </c>
      <c r="U1147" s="379"/>
      <c r="V1147" s="380">
        <v>32827.800000000003</v>
      </c>
      <c r="W1147" s="381">
        <v>4.26</v>
      </c>
      <c r="X1147" s="379"/>
      <c r="Y1147" s="379"/>
      <c r="Z1147" s="379">
        <v>5923001</v>
      </c>
      <c r="AA1147" s="379" t="s">
        <v>2354</v>
      </c>
      <c r="AB1147" s="380">
        <f t="shared" si="16"/>
        <v>0.35499999999999998</v>
      </c>
    </row>
    <row r="1148" spans="1:28" outlineLevel="2" x14ac:dyDescent="0.3">
      <c r="A1148" s="379">
        <v>432</v>
      </c>
      <c r="B1148" s="379">
        <v>990000</v>
      </c>
      <c r="C1148" s="379" t="s">
        <v>1699</v>
      </c>
      <c r="D1148" s="379">
        <v>2700339</v>
      </c>
      <c r="E1148" s="379" t="s">
        <v>3286</v>
      </c>
      <c r="F1148" s="379" t="s">
        <v>3287</v>
      </c>
      <c r="G1148" s="383">
        <v>26330</v>
      </c>
      <c r="H1148" s="379">
        <v>86399.26</v>
      </c>
      <c r="I1148" s="379"/>
      <c r="J1148" s="379"/>
      <c r="K1148" s="379">
        <v>6480.1</v>
      </c>
      <c r="L1148" s="379"/>
      <c r="M1148" s="379"/>
      <c r="N1148" s="379"/>
      <c r="O1148" s="379"/>
      <c r="P1148" s="379">
        <v>11834.52</v>
      </c>
      <c r="Q1148" s="379"/>
      <c r="R1148" s="379"/>
      <c r="S1148" s="379">
        <v>68708.639999999999</v>
      </c>
      <c r="T1148" s="379">
        <v>5406.1</v>
      </c>
      <c r="U1148" s="379"/>
      <c r="V1148" s="380">
        <v>92879.360000000001</v>
      </c>
      <c r="W1148" s="381">
        <v>8.4</v>
      </c>
      <c r="X1148" s="379"/>
      <c r="Y1148" s="379"/>
      <c r="Z1148" s="379">
        <v>9991001</v>
      </c>
      <c r="AA1148" s="379" t="s">
        <v>2496</v>
      </c>
      <c r="AB1148" s="380">
        <f t="shared" si="16"/>
        <v>0.70000000000000007</v>
      </c>
    </row>
    <row r="1149" spans="1:28" outlineLevel="2" x14ac:dyDescent="0.3">
      <c r="A1149" s="379">
        <v>432</v>
      </c>
      <c r="B1149" s="379">
        <v>990000</v>
      </c>
      <c r="C1149" s="379" t="s">
        <v>1699</v>
      </c>
      <c r="D1149" s="379">
        <v>2700341</v>
      </c>
      <c r="E1149" s="379" t="s">
        <v>3286</v>
      </c>
      <c r="F1149" s="379" t="s">
        <v>3142</v>
      </c>
      <c r="G1149" s="383">
        <v>30225</v>
      </c>
      <c r="H1149" s="379">
        <v>64468.02</v>
      </c>
      <c r="I1149" s="379"/>
      <c r="J1149" s="379"/>
      <c r="K1149" s="379">
        <v>4835.1499999999996</v>
      </c>
      <c r="L1149" s="379"/>
      <c r="M1149" s="379"/>
      <c r="N1149" s="379"/>
      <c r="O1149" s="379"/>
      <c r="P1149" s="379"/>
      <c r="Q1149" s="379"/>
      <c r="R1149" s="379"/>
      <c r="S1149" s="379">
        <v>58611.92</v>
      </c>
      <c r="T1149" s="379">
        <v>5406.1</v>
      </c>
      <c r="U1149" s="379"/>
      <c r="V1149" s="380">
        <v>69303.17</v>
      </c>
      <c r="W1149" s="381">
        <v>8.4</v>
      </c>
      <c r="X1149" s="379"/>
      <c r="Y1149" s="379"/>
      <c r="Z1149" s="379">
        <v>9991001</v>
      </c>
      <c r="AA1149" s="379" t="s">
        <v>2496</v>
      </c>
      <c r="AB1149" s="380">
        <f t="shared" si="16"/>
        <v>0.70000000000000007</v>
      </c>
    </row>
    <row r="1150" spans="1:28" outlineLevel="2" x14ac:dyDescent="0.3">
      <c r="A1150" s="379">
        <v>432</v>
      </c>
      <c r="B1150" s="379">
        <v>990000</v>
      </c>
      <c r="C1150" s="379" t="s">
        <v>1699</v>
      </c>
      <c r="D1150" s="379">
        <v>2700502</v>
      </c>
      <c r="E1150" s="379" t="s">
        <v>3288</v>
      </c>
      <c r="F1150" s="379" t="s">
        <v>2366</v>
      </c>
      <c r="G1150" s="383">
        <v>42552</v>
      </c>
      <c r="H1150" s="379">
        <v>35654.730000000003</v>
      </c>
      <c r="I1150" s="379"/>
      <c r="J1150" s="379"/>
      <c r="K1150" s="379">
        <v>33.75</v>
      </c>
      <c r="L1150" s="379"/>
      <c r="M1150" s="379"/>
      <c r="N1150" s="379"/>
      <c r="O1150" s="379"/>
      <c r="P1150" s="379"/>
      <c r="Q1150" s="379"/>
      <c r="R1150" s="379"/>
      <c r="S1150" s="379">
        <v>32460.6</v>
      </c>
      <c r="T1150" s="379">
        <v>2744.13</v>
      </c>
      <c r="U1150" s="379"/>
      <c r="V1150" s="380">
        <v>35688.480000000003</v>
      </c>
      <c r="W1150" s="381">
        <v>4.92</v>
      </c>
      <c r="X1150" s="379"/>
      <c r="Y1150" s="379"/>
      <c r="Z1150" s="379">
        <v>9991001</v>
      </c>
      <c r="AA1150" s="379" t="s">
        <v>2496</v>
      </c>
      <c r="AB1150" s="380">
        <f t="shared" si="16"/>
        <v>0.41</v>
      </c>
    </row>
    <row r="1151" spans="1:28" outlineLevel="2" x14ac:dyDescent="0.3">
      <c r="A1151" s="379">
        <v>432</v>
      </c>
      <c r="B1151" s="379">
        <v>990000</v>
      </c>
      <c r="C1151" s="379" t="s">
        <v>1699</v>
      </c>
      <c r="D1151" s="379">
        <v>2701216</v>
      </c>
      <c r="E1151" s="379" t="s">
        <v>2451</v>
      </c>
      <c r="F1151" s="379" t="s">
        <v>2363</v>
      </c>
      <c r="G1151" s="383">
        <v>27395</v>
      </c>
      <c r="H1151" s="379">
        <v>216400.7</v>
      </c>
      <c r="I1151" s="379"/>
      <c r="J1151" s="379"/>
      <c r="K1151" s="379">
        <v>16229.95</v>
      </c>
      <c r="L1151" s="379"/>
      <c r="M1151" s="379"/>
      <c r="N1151" s="379"/>
      <c r="O1151" s="379"/>
      <c r="P1151" s="379">
        <v>62482.32</v>
      </c>
      <c r="Q1151" s="379"/>
      <c r="R1151" s="379"/>
      <c r="S1151" s="379">
        <v>148062.28</v>
      </c>
      <c r="T1151" s="379">
        <v>5406.1</v>
      </c>
      <c r="U1151" s="379"/>
      <c r="V1151" s="380">
        <v>232630.65</v>
      </c>
      <c r="W1151" s="381">
        <v>8.4</v>
      </c>
      <c r="X1151" s="379"/>
      <c r="Y1151" s="379"/>
      <c r="Z1151" s="379">
        <v>9991001</v>
      </c>
      <c r="AA1151" s="379" t="s">
        <v>2496</v>
      </c>
      <c r="AB1151" s="380">
        <f t="shared" si="16"/>
        <v>0.70000000000000007</v>
      </c>
    </row>
    <row r="1152" spans="1:28" outlineLevel="2" x14ac:dyDescent="0.3">
      <c r="A1152" s="379">
        <v>432</v>
      </c>
      <c r="B1152" s="379">
        <v>990000</v>
      </c>
      <c r="C1152" s="379" t="s">
        <v>1699</v>
      </c>
      <c r="D1152" s="379">
        <v>2701449</v>
      </c>
      <c r="E1152" s="379" t="s">
        <v>3289</v>
      </c>
      <c r="F1152" s="379" t="s">
        <v>3290</v>
      </c>
      <c r="G1152" s="383">
        <v>33817</v>
      </c>
      <c r="H1152" s="379">
        <v>31137.67</v>
      </c>
      <c r="I1152" s="379"/>
      <c r="J1152" s="379"/>
      <c r="K1152" s="379">
        <v>2335.3000000000002</v>
      </c>
      <c r="L1152" s="379"/>
      <c r="M1152" s="379"/>
      <c r="N1152" s="379"/>
      <c r="O1152" s="379">
        <v>2124</v>
      </c>
      <c r="P1152" s="379"/>
      <c r="Q1152" s="379"/>
      <c r="R1152" s="379"/>
      <c r="S1152" s="379">
        <v>26377.47</v>
      </c>
      <c r="T1152" s="379">
        <v>2186.1999999999998</v>
      </c>
      <c r="U1152" s="379"/>
      <c r="V1152" s="380">
        <v>33472.97</v>
      </c>
      <c r="W1152" s="381">
        <v>4.08</v>
      </c>
      <c r="X1152" s="379"/>
      <c r="Y1152" s="379"/>
      <c r="Z1152" s="379">
        <v>9991001</v>
      </c>
      <c r="AA1152" s="379" t="s">
        <v>2496</v>
      </c>
      <c r="AB1152" s="380">
        <f t="shared" si="16"/>
        <v>0.34</v>
      </c>
    </row>
    <row r="1153" spans="1:28" outlineLevel="2" x14ac:dyDescent="0.3">
      <c r="A1153" s="379">
        <v>432</v>
      </c>
      <c r="B1153" s="379">
        <v>990000</v>
      </c>
      <c r="C1153" s="379" t="s">
        <v>1699</v>
      </c>
      <c r="D1153" s="379">
        <v>2705599</v>
      </c>
      <c r="E1153" s="379" t="s">
        <v>2303</v>
      </c>
      <c r="F1153" s="379" t="s">
        <v>2319</v>
      </c>
      <c r="G1153" s="383">
        <v>31503</v>
      </c>
      <c r="H1153" s="379">
        <v>13638.21</v>
      </c>
      <c r="I1153" s="379"/>
      <c r="J1153" s="379"/>
      <c r="K1153" s="379">
        <v>1022.75</v>
      </c>
      <c r="L1153" s="379"/>
      <c r="M1153" s="379"/>
      <c r="N1153" s="379"/>
      <c r="O1153" s="379">
        <v>924</v>
      </c>
      <c r="P1153" s="379"/>
      <c r="Q1153" s="379"/>
      <c r="R1153" s="379"/>
      <c r="S1153" s="379">
        <v>11364.36</v>
      </c>
      <c r="T1153" s="379">
        <v>899.85</v>
      </c>
      <c r="U1153" s="379"/>
      <c r="V1153" s="380">
        <v>14660.96</v>
      </c>
      <c r="W1153" s="381">
        <v>3.6</v>
      </c>
      <c r="X1153" s="379"/>
      <c r="Y1153" s="379"/>
      <c r="Z1153" s="379">
        <v>9991001</v>
      </c>
      <c r="AA1153" s="379" t="s">
        <v>2496</v>
      </c>
      <c r="AB1153" s="380">
        <f t="shared" si="16"/>
        <v>0.3</v>
      </c>
    </row>
    <row r="1154" spans="1:28" outlineLevel="2" x14ac:dyDescent="0.3">
      <c r="A1154" s="379">
        <v>432</v>
      </c>
      <c r="B1154" s="379">
        <v>990000</v>
      </c>
      <c r="C1154" s="379" t="s">
        <v>1699</v>
      </c>
      <c r="D1154" s="379">
        <v>2706591</v>
      </c>
      <c r="E1154" s="379" t="s">
        <v>3291</v>
      </c>
      <c r="F1154" s="379" t="s">
        <v>2452</v>
      </c>
      <c r="G1154" s="383">
        <v>29068</v>
      </c>
      <c r="H1154" s="379">
        <v>67208.7</v>
      </c>
      <c r="I1154" s="379"/>
      <c r="J1154" s="379"/>
      <c r="K1154" s="379">
        <v>5040.6499999999996</v>
      </c>
      <c r="L1154" s="379"/>
      <c r="M1154" s="379"/>
      <c r="N1154" s="379"/>
      <c r="O1154" s="379">
        <v>2604</v>
      </c>
      <c r="P1154" s="379"/>
      <c r="Q1154" s="379"/>
      <c r="R1154" s="379"/>
      <c r="S1154" s="379">
        <v>59366.44</v>
      </c>
      <c r="T1154" s="379">
        <v>4788.26</v>
      </c>
      <c r="U1154" s="379"/>
      <c r="V1154" s="380">
        <v>72249.350000000006</v>
      </c>
      <c r="W1154" s="381">
        <v>7.44</v>
      </c>
      <c r="X1154" s="379"/>
      <c r="Y1154" s="379"/>
      <c r="Z1154" s="379">
        <v>9991001</v>
      </c>
      <c r="AA1154" s="379" t="s">
        <v>2496</v>
      </c>
      <c r="AB1154" s="380">
        <f t="shared" si="16"/>
        <v>0.62</v>
      </c>
    </row>
    <row r="1155" spans="1:28" outlineLevel="2" x14ac:dyDescent="0.3">
      <c r="A1155" s="379">
        <v>432</v>
      </c>
      <c r="B1155" s="379">
        <v>990000</v>
      </c>
      <c r="C1155" s="379" t="s">
        <v>1699</v>
      </c>
      <c r="D1155" s="379">
        <v>2708709</v>
      </c>
      <c r="E1155" s="379" t="s">
        <v>2398</v>
      </c>
      <c r="F1155" s="379" t="s">
        <v>3292</v>
      </c>
      <c r="G1155" s="383">
        <v>26390</v>
      </c>
      <c r="H1155" s="379">
        <v>86649.7</v>
      </c>
      <c r="I1155" s="379"/>
      <c r="J1155" s="379"/>
      <c r="K1155" s="379">
        <v>6498.8</v>
      </c>
      <c r="L1155" s="379"/>
      <c r="M1155" s="379"/>
      <c r="N1155" s="379"/>
      <c r="O1155" s="379">
        <v>2352</v>
      </c>
      <c r="P1155" s="379">
        <v>9499.2000000000007</v>
      </c>
      <c r="Q1155" s="379"/>
      <c r="R1155" s="379"/>
      <c r="S1155" s="379">
        <v>68942.399999999994</v>
      </c>
      <c r="T1155" s="379">
        <v>5406.1</v>
      </c>
      <c r="U1155" s="379"/>
      <c r="V1155" s="380">
        <v>93148.5</v>
      </c>
      <c r="W1155" s="381">
        <v>8.4</v>
      </c>
      <c r="X1155" s="379"/>
      <c r="Y1155" s="379"/>
      <c r="Z1155" s="379">
        <v>9991001</v>
      </c>
      <c r="AA1155" s="379" t="s">
        <v>2496</v>
      </c>
      <c r="AB1155" s="380">
        <f t="shared" si="16"/>
        <v>0.70000000000000007</v>
      </c>
    </row>
    <row r="1156" spans="1:28" outlineLevel="2" x14ac:dyDescent="0.3">
      <c r="A1156" s="379">
        <v>432</v>
      </c>
      <c r="B1156" s="379">
        <v>990000</v>
      </c>
      <c r="C1156" s="379" t="s">
        <v>1699</v>
      </c>
      <c r="D1156" s="379">
        <v>2709981</v>
      </c>
      <c r="E1156" s="379" t="s">
        <v>2546</v>
      </c>
      <c r="F1156" s="379" t="s">
        <v>2717</v>
      </c>
      <c r="G1156" s="383">
        <v>27150</v>
      </c>
      <c r="H1156" s="379">
        <v>68473.61</v>
      </c>
      <c r="I1156" s="379"/>
      <c r="J1156" s="379"/>
      <c r="K1156" s="379">
        <v>5135.6000000000004</v>
      </c>
      <c r="L1156" s="379"/>
      <c r="M1156" s="379"/>
      <c r="N1156" s="379"/>
      <c r="O1156" s="379"/>
      <c r="P1156" s="379"/>
      <c r="Q1156" s="379"/>
      <c r="R1156" s="379"/>
      <c r="S1156" s="379">
        <v>62617.51</v>
      </c>
      <c r="T1156" s="379">
        <v>5406.1</v>
      </c>
      <c r="U1156" s="379"/>
      <c r="V1156" s="380">
        <v>73609.210000000006</v>
      </c>
      <c r="W1156" s="381">
        <v>8.4</v>
      </c>
      <c r="X1156" s="379"/>
      <c r="Y1156" s="379"/>
      <c r="Z1156" s="379">
        <v>9991001</v>
      </c>
      <c r="AA1156" s="379" t="s">
        <v>2496</v>
      </c>
      <c r="AB1156" s="380">
        <f t="shared" si="16"/>
        <v>0.70000000000000007</v>
      </c>
    </row>
    <row r="1157" spans="1:28" outlineLevel="2" x14ac:dyDescent="0.3">
      <c r="A1157" s="379">
        <v>432</v>
      </c>
      <c r="B1157" s="379">
        <v>990000</v>
      </c>
      <c r="C1157" s="379" t="s">
        <v>1699</v>
      </c>
      <c r="D1157" s="379">
        <v>2709982</v>
      </c>
      <c r="E1157" s="379" t="s">
        <v>3293</v>
      </c>
      <c r="F1157" s="379" t="s">
        <v>2361</v>
      </c>
      <c r="G1157" s="383">
        <v>34486</v>
      </c>
      <c r="H1157" s="379">
        <v>16918.29</v>
      </c>
      <c r="I1157" s="379"/>
      <c r="J1157" s="379"/>
      <c r="K1157" s="379">
        <v>1269</v>
      </c>
      <c r="L1157" s="379"/>
      <c r="M1157" s="379"/>
      <c r="N1157" s="379"/>
      <c r="O1157" s="379"/>
      <c r="P1157" s="379"/>
      <c r="Q1157" s="379"/>
      <c r="R1157" s="379"/>
      <c r="S1157" s="379">
        <v>15062.76</v>
      </c>
      <c r="T1157" s="379">
        <v>1405.53</v>
      </c>
      <c r="U1157" s="379"/>
      <c r="V1157" s="380">
        <v>18187.29</v>
      </c>
      <c r="W1157" s="381">
        <v>5.04</v>
      </c>
      <c r="X1157" s="379"/>
      <c r="Y1157" s="379"/>
      <c r="Z1157" s="379">
        <v>9991001</v>
      </c>
      <c r="AA1157" s="379" t="s">
        <v>2496</v>
      </c>
      <c r="AB1157" s="380">
        <f t="shared" si="16"/>
        <v>0.42</v>
      </c>
    </row>
    <row r="1158" spans="1:28" outlineLevel="2" x14ac:dyDescent="0.3">
      <c r="A1158" s="379">
        <v>432</v>
      </c>
      <c r="B1158" s="379">
        <v>990000</v>
      </c>
      <c r="C1158" s="379" t="s">
        <v>1699</v>
      </c>
      <c r="D1158" s="379">
        <v>2808609</v>
      </c>
      <c r="E1158" s="379" t="s">
        <v>2384</v>
      </c>
      <c r="F1158" s="379" t="s">
        <v>3294</v>
      </c>
      <c r="G1158" s="383">
        <v>35065</v>
      </c>
      <c r="H1158" s="379">
        <v>50797.64</v>
      </c>
      <c r="I1158" s="379"/>
      <c r="J1158" s="379"/>
      <c r="K1158" s="379">
        <v>3809.85</v>
      </c>
      <c r="L1158" s="379"/>
      <c r="M1158" s="379"/>
      <c r="N1158" s="379"/>
      <c r="O1158" s="379"/>
      <c r="P1158" s="379"/>
      <c r="Q1158" s="379"/>
      <c r="R1158" s="379"/>
      <c r="S1158" s="379">
        <v>47355.839999999997</v>
      </c>
      <c r="T1158" s="379">
        <v>2991.8</v>
      </c>
      <c r="U1158" s="379"/>
      <c r="V1158" s="380">
        <v>54607.49</v>
      </c>
      <c r="W1158" s="381">
        <v>5.28</v>
      </c>
      <c r="X1158" s="379"/>
      <c r="Y1158" s="379"/>
      <c r="Z1158" s="379">
        <v>9991001</v>
      </c>
      <c r="AA1158" s="379" t="s">
        <v>2496</v>
      </c>
      <c r="AB1158" s="380">
        <f t="shared" si="16"/>
        <v>0.44</v>
      </c>
    </row>
    <row r="1159" spans="1:28" outlineLevel="2" x14ac:dyDescent="0.3">
      <c r="A1159" s="379">
        <v>432</v>
      </c>
      <c r="B1159" s="379">
        <v>990000</v>
      </c>
      <c r="C1159" s="379" t="s">
        <v>1699</v>
      </c>
      <c r="D1159" s="379">
        <v>2903592</v>
      </c>
      <c r="E1159" s="379" t="s">
        <v>2788</v>
      </c>
      <c r="F1159" s="379" t="s">
        <v>3031</v>
      </c>
      <c r="G1159" s="383">
        <v>36130</v>
      </c>
      <c r="H1159" s="379">
        <v>19826.97</v>
      </c>
      <c r="I1159" s="379"/>
      <c r="J1159" s="379"/>
      <c r="K1159" s="379">
        <v>1487.15</v>
      </c>
      <c r="L1159" s="379"/>
      <c r="M1159" s="379"/>
      <c r="N1159" s="379"/>
      <c r="O1159" s="379"/>
      <c r="P1159" s="379"/>
      <c r="Q1159" s="379"/>
      <c r="R1159" s="379"/>
      <c r="S1159" s="379">
        <v>17756.61</v>
      </c>
      <c r="T1159" s="379">
        <v>1620.36</v>
      </c>
      <c r="U1159" s="379"/>
      <c r="V1159" s="380">
        <v>21314.12</v>
      </c>
      <c r="W1159" s="381">
        <v>3.024</v>
      </c>
      <c r="X1159" s="379"/>
      <c r="Y1159" s="379"/>
      <c r="Z1159" s="379">
        <v>9991001</v>
      </c>
      <c r="AA1159" s="379" t="s">
        <v>2496</v>
      </c>
      <c r="AB1159" s="380">
        <f t="shared" si="16"/>
        <v>0.252</v>
      </c>
    </row>
    <row r="1160" spans="1:28" outlineLevel="2" x14ac:dyDescent="0.3">
      <c r="A1160" s="379">
        <v>432</v>
      </c>
      <c r="B1160" s="379">
        <v>990000</v>
      </c>
      <c r="C1160" s="379" t="s">
        <v>1699</v>
      </c>
      <c r="D1160" s="379">
        <v>3017541</v>
      </c>
      <c r="E1160" s="379" t="s">
        <v>3295</v>
      </c>
      <c r="F1160" s="379" t="s">
        <v>3296</v>
      </c>
      <c r="G1160" s="383">
        <v>27303</v>
      </c>
      <c r="H1160" s="379">
        <v>235842.4</v>
      </c>
      <c r="I1160" s="379"/>
      <c r="J1160" s="379"/>
      <c r="K1160" s="379">
        <v>17688.2</v>
      </c>
      <c r="L1160" s="379"/>
      <c r="M1160" s="379"/>
      <c r="N1160" s="379"/>
      <c r="O1160" s="379"/>
      <c r="P1160" s="379">
        <v>82503.240000000005</v>
      </c>
      <c r="Q1160" s="379"/>
      <c r="R1160" s="379"/>
      <c r="S1160" s="379">
        <v>147776.16</v>
      </c>
      <c r="T1160" s="379">
        <v>5113</v>
      </c>
      <c r="U1160" s="379"/>
      <c r="V1160" s="380">
        <v>253530.6</v>
      </c>
      <c r="W1160" s="381">
        <v>8.4</v>
      </c>
      <c r="X1160" s="379"/>
      <c r="Y1160" s="379"/>
      <c r="Z1160" s="379">
        <v>9991001</v>
      </c>
      <c r="AA1160" s="379" t="s">
        <v>2496</v>
      </c>
      <c r="AB1160" s="380">
        <f t="shared" si="16"/>
        <v>0.70000000000000007</v>
      </c>
    </row>
    <row r="1161" spans="1:28" outlineLevel="2" x14ac:dyDescent="0.3">
      <c r="A1161" s="379">
        <v>432</v>
      </c>
      <c r="B1161" s="379">
        <v>990000</v>
      </c>
      <c r="C1161" s="379" t="s">
        <v>1699</v>
      </c>
      <c r="D1161" s="379">
        <v>3065779</v>
      </c>
      <c r="E1161" s="379" t="s">
        <v>3297</v>
      </c>
      <c r="F1161" s="379" t="s">
        <v>2944</v>
      </c>
      <c r="G1161" s="383">
        <v>28034</v>
      </c>
      <c r="H1161" s="379">
        <v>37984.17</v>
      </c>
      <c r="I1161" s="379"/>
      <c r="J1161" s="379"/>
      <c r="K1161" s="379">
        <v>2849.05</v>
      </c>
      <c r="L1161" s="379"/>
      <c r="M1161" s="379"/>
      <c r="N1161" s="379"/>
      <c r="O1161" s="379">
        <v>1248</v>
      </c>
      <c r="P1161" s="379"/>
      <c r="Q1161" s="379"/>
      <c r="R1161" s="379"/>
      <c r="S1161" s="379">
        <v>33340.199999999997</v>
      </c>
      <c r="T1161" s="379">
        <v>2945.97</v>
      </c>
      <c r="U1161" s="379"/>
      <c r="V1161" s="380">
        <v>40833.22</v>
      </c>
      <c r="W1161" s="381">
        <v>7.44</v>
      </c>
      <c r="X1161" s="379"/>
      <c r="Y1161" s="379"/>
      <c r="Z1161" s="379">
        <v>9991001</v>
      </c>
      <c r="AA1161" s="379" t="s">
        <v>2496</v>
      </c>
      <c r="AB1161" s="380">
        <f t="shared" si="16"/>
        <v>0.62</v>
      </c>
    </row>
    <row r="1162" spans="1:28" outlineLevel="2" x14ac:dyDescent="0.3">
      <c r="A1162" s="379">
        <v>432</v>
      </c>
      <c r="B1162" s="379">
        <v>990000</v>
      </c>
      <c r="C1162" s="379" t="s">
        <v>1699</v>
      </c>
      <c r="D1162" s="379">
        <v>3195549</v>
      </c>
      <c r="E1162" s="379" t="s">
        <v>3298</v>
      </c>
      <c r="F1162" s="379" t="s">
        <v>3211</v>
      </c>
      <c r="G1162" s="383">
        <v>36739</v>
      </c>
      <c r="H1162" s="379">
        <v>29991.74</v>
      </c>
      <c r="I1162" s="379"/>
      <c r="J1162" s="379"/>
      <c r="K1162" s="379">
        <v>2249.1999999999998</v>
      </c>
      <c r="L1162" s="379"/>
      <c r="M1162" s="379"/>
      <c r="N1162" s="379"/>
      <c r="O1162" s="379"/>
      <c r="P1162" s="379"/>
      <c r="Q1162" s="379"/>
      <c r="R1162" s="379"/>
      <c r="S1162" s="379">
        <v>27483.439999999999</v>
      </c>
      <c r="T1162" s="379">
        <v>2058.3000000000002</v>
      </c>
      <c r="U1162" s="379"/>
      <c r="V1162" s="380">
        <v>32240.94</v>
      </c>
      <c r="W1162" s="381">
        <v>3.6</v>
      </c>
      <c r="X1162" s="379"/>
      <c r="Y1162" s="379"/>
      <c r="Z1162" s="379">
        <v>9991001</v>
      </c>
      <c r="AA1162" s="379" t="s">
        <v>2496</v>
      </c>
      <c r="AB1162" s="380">
        <f t="shared" si="16"/>
        <v>0.3</v>
      </c>
    </row>
    <row r="1163" spans="1:28" outlineLevel="2" x14ac:dyDescent="0.3">
      <c r="A1163" s="379">
        <v>432</v>
      </c>
      <c r="B1163" s="379">
        <v>990000</v>
      </c>
      <c r="C1163" s="379" t="s">
        <v>1699</v>
      </c>
      <c r="D1163" s="379">
        <v>4061359</v>
      </c>
      <c r="E1163" s="379" t="s">
        <v>2365</v>
      </c>
      <c r="F1163" s="379" t="s">
        <v>3299</v>
      </c>
      <c r="G1163" s="383">
        <v>43800</v>
      </c>
      <c r="H1163" s="379">
        <v>4597.5600000000004</v>
      </c>
      <c r="I1163" s="379">
        <v>148.19999999999999</v>
      </c>
      <c r="J1163" s="379"/>
      <c r="K1163" s="379">
        <v>344.83</v>
      </c>
      <c r="L1163" s="379"/>
      <c r="M1163" s="379"/>
      <c r="N1163" s="379"/>
      <c r="O1163" s="379">
        <v>4174.76</v>
      </c>
      <c r="P1163" s="379"/>
      <c r="Q1163" s="379"/>
      <c r="R1163" s="379"/>
      <c r="S1163" s="379">
        <v>422.8</v>
      </c>
      <c r="T1163" s="379"/>
      <c r="U1163" s="379"/>
      <c r="V1163" s="380">
        <v>5090.59</v>
      </c>
      <c r="W1163" s="381">
        <v>0.7</v>
      </c>
      <c r="X1163" s="379"/>
      <c r="Y1163" s="379"/>
      <c r="Z1163" s="379">
        <v>9991001</v>
      </c>
      <c r="AA1163" s="379" t="s">
        <v>2496</v>
      </c>
      <c r="AB1163" s="380">
        <f t="shared" si="16"/>
        <v>5.8333333333333327E-2</v>
      </c>
    </row>
    <row r="1164" spans="1:28" outlineLevel="2" x14ac:dyDescent="0.3">
      <c r="A1164" s="379">
        <v>432</v>
      </c>
      <c r="B1164" s="379">
        <v>990000</v>
      </c>
      <c r="C1164" s="379" t="s">
        <v>1699</v>
      </c>
      <c r="D1164" s="379">
        <v>4274397</v>
      </c>
      <c r="E1164" s="379" t="s">
        <v>2340</v>
      </c>
      <c r="F1164" s="379" t="s">
        <v>2368</v>
      </c>
      <c r="G1164" s="383">
        <v>25143</v>
      </c>
      <c r="H1164" s="379">
        <v>103040.52</v>
      </c>
      <c r="I1164" s="379"/>
      <c r="J1164" s="379"/>
      <c r="K1164" s="379">
        <v>7727.9</v>
      </c>
      <c r="L1164" s="379"/>
      <c r="M1164" s="379"/>
      <c r="N1164" s="379"/>
      <c r="O1164" s="379"/>
      <c r="P1164" s="379">
        <v>18421.2</v>
      </c>
      <c r="Q1164" s="379"/>
      <c r="R1164" s="379"/>
      <c r="S1164" s="379">
        <v>78763.22</v>
      </c>
      <c r="T1164" s="379">
        <v>5406.1</v>
      </c>
      <c r="U1164" s="379"/>
      <c r="V1164" s="380">
        <v>110768.42</v>
      </c>
      <c r="W1164" s="381">
        <v>8.4</v>
      </c>
      <c r="X1164" s="379"/>
      <c r="Y1164" s="379"/>
      <c r="Z1164" s="379">
        <v>9991001</v>
      </c>
      <c r="AA1164" s="379" t="s">
        <v>2496</v>
      </c>
      <c r="AB1164" s="380">
        <f t="shared" si="16"/>
        <v>0.70000000000000007</v>
      </c>
    </row>
    <row r="1165" spans="1:28" outlineLevel="2" x14ac:dyDescent="0.3">
      <c r="A1165" s="379">
        <v>432</v>
      </c>
      <c r="B1165" s="379">
        <v>990000</v>
      </c>
      <c r="C1165" s="379" t="s">
        <v>1699</v>
      </c>
      <c r="D1165" s="379">
        <v>4281547</v>
      </c>
      <c r="E1165" s="379" t="s">
        <v>3300</v>
      </c>
      <c r="F1165" s="379" t="s">
        <v>3301</v>
      </c>
      <c r="G1165" s="383">
        <v>28065</v>
      </c>
      <c r="H1165" s="379">
        <v>54054.29</v>
      </c>
      <c r="I1165" s="379"/>
      <c r="J1165" s="379"/>
      <c r="K1165" s="379">
        <v>4054.2</v>
      </c>
      <c r="L1165" s="379"/>
      <c r="M1165" s="379"/>
      <c r="N1165" s="379"/>
      <c r="O1165" s="379">
        <v>1968</v>
      </c>
      <c r="P1165" s="379"/>
      <c r="Q1165" s="379"/>
      <c r="R1165" s="379"/>
      <c r="S1165" s="379">
        <v>47581.94</v>
      </c>
      <c r="T1165" s="379">
        <v>4054.35</v>
      </c>
      <c r="U1165" s="379"/>
      <c r="V1165" s="380">
        <v>58108.49</v>
      </c>
      <c r="W1165" s="381">
        <v>7.8</v>
      </c>
      <c r="X1165" s="379"/>
      <c r="Y1165" s="379"/>
      <c r="Z1165" s="379">
        <v>9991001</v>
      </c>
      <c r="AA1165" s="379" t="s">
        <v>2496</v>
      </c>
      <c r="AB1165" s="380">
        <f t="shared" si="16"/>
        <v>0.65</v>
      </c>
    </row>
    <row r="1166" spans="1:28" outlineLevel="2" x14ac:dyDescent="0.3">
      <c r="A1166" s="379">
        <v>432</v>
      </c>
      <c r="B1166" s="379">
        <v>990000</v>
      </c>
      <c r="C1166" s="379" t="s">
        <v>1699</v>
      </c>
      <c r="D1166" s="379">
        <v>4296104</v>
      </c>
      <c r="E1166" s="379" t="s">
        <v>3302</v>
      </c>
      <c r="F1166" s="379" t="s">
        <v>2707</v>
      </c>
      <c r="G1166" s="383">
        <v>28004</v>
      </c>
      <c r="H1166" s="379">
        <v>9477.74</v>
      </c>
      <c r="I1166" s="379"/>
      <c r="J1166" s="379"/>
      <c r="K1166" s="379">
        <v>710.8</v>
      </c>
      <c r="L1166" s="379"/>
      <c r="M1166" s="379"/>
      <c r="N1166" s="379"/>
      <c r="O1166" s="379"/>
      <c r="P1166" s="379"/>
      <c r="Q1166" s="379"/>
      <c r="R1166" s="379"/>
      <c r="S1166" s="379">
        <v>9477.74</v>
      </c>
      <c r="T1166" s="379"/>
      <c r="U1166" s="379"/>
      <c r="V1166" s="380">
        <v>10188.540000000001</v>
      </c>
      <c r="W1166" s="381">
        <v>1.3740000000000001</v>
      </c>
      <c r="X1166" s="379"/>
      <c r="Y1166" s="379"/>
      <c r="Z1166" s="379">
        <v>5821002</v>
      </c>
      <c r="AA1166" s="379" t="s">
        <v>3303</v>
      </c>
      <c r="AB1166" s="380">
        <f t="shared" si="16"/>
        <v>0.1145</v>
      </c>
    </row>
    <row r="1167" spans="1:28" outlineLevel="2" x14ac:dyDescent="0.3">
      <c r="A1167" s="379">
        <v>432</v>
      </c>
      <c r="B1167" s="379">
        <v>990000</v>
      </c>
      <c r="C1167" s="379" t="s">
        <v>1699</v>
      </c>
      <c r="D1167" s="379">
        <v>4326873</v>
      </c>
      <c r="E1167" s="379" t="s">
        <v>2627</v>
      </c>
      <c r="F1167" s="379" t="s">
        <v>3304</v>
      </c>
      <c r="G1167" s="383">
        <v>34731</v>
      </c>
      <c r="H1167" s="379">
        <v>11974.9</v>
      </c>
      <c r="I1167" s="379"/>
      <c r="J1167" s="379"/>
      <c r="K1167" s="379">
        <v>33.75</v>
      </c>
      <c r="L1167" s="379"/>
      <c r="M1167" s="379"/>
      <c r="N1167" s="379"/>
      <c r="O1167" s="379"/>
      <c r="P1167" s="379"/>
      <c r="Q1167" s="379"/>
      <c r="R1167" s="379"/>
      <c r="S1167" s="379">
        <v>10679.4</v>
      </c>
      <c r="T1167" s="379">
        <v>845.5</v>
      </c>
      <c r="U1167" s="379"/>
      <c r="V1167" s="380">
        <v>12008.65</v>
      </c>
      <c r="W1167" s="381">
        <v>1.74</v>
      </c>
      <c r="X1167" s="379"/>
      <c r="Y1167" s="379"/>
      <c r="Z1167" s="379">
        <v>9992001</v>
      </c>
      <c r="AA1167" s="379" t="s">
        <v>2914</v>
      </c>
      <c r="AB1167" s="380">
        <f t="shared" si="16"/>
        <v>0.14499999999999999</v>
      </c>
    </row>
    <row r="1168" spans="1:28" outlineLevel="2" x14ac:dyDescent="0.3">
      <c r="A1168" s="379">
        <v>432</v>
      </c>
      <c r="B1168" s="379">
        <v>990000</v>
      </c>
      <c r="C1168" s="379" t="s">
        <v>1699</v>
      </c>
      <c r="D1168" s="379">
        <v>4331561</v>
      </c>
      <c r="E1168" s="379" t="s">
        <v>2442</v>
      </c>
      <c r="F1168" s="379" t="s">
        <v>3254</v>
      </c>
      <c r="G1168" s="383">
        <v>37561</v>
      </c>
      <c r="H1168" s="379">
        <v>30303.119999999999</v>
      </c>
      <c r="I1168" s="379"/>
      <c r="J1168" s="379"/>
      <c r="K1168" s="379">
        <v>33.75</v>
      </c>
      <c r="L1168" s="379"/>
      <c r="M1168" s="379"/>
      <c r="N1168" s="379"/>
      <c r="O1168" s="379"/>
      <c r="P1168" s="379"/>
      <c r="Q1168" s="379"/>
      <c r="R1168" s="379"/>
      <c r="S1168" s="379">
        <v>27693.48</v>
      </c>
      <c r="T1168" s="379">
        <v>2159.64</v>
      </c>
      <c r="U1168" s="379"/>
      <c r="V1168" s="380">
        <v>30336.87</v>
      </c>
      <c r="W1168" s="381">
        <v>4.32</v>
      </c>
      <c r="X1168" s="379"/>
      <c r="Y1168" s="379"/>
      <c r="Z1168" s="379">
        <v>9992001</v>
      </c>
      <c r="AA1168" s="379" t="s">
        <v>2914</v>
      </c>
      <c r="AB1168" s="380">
        <f t="shared" si="16"/>
        <v>0.36000000000000004</v>
      </c>
    </row>
    <row r="1169" spans="1:28" outlineLevel="2" x14ac:dyDescent="0.3">
      <c r="A1169" s="379">
        <v>432</v>
      </c>
      <c r="B1169" s="379">
        <v>990000</v>
      </c>
      <c r="C1169" s="379" t="s">
        <v>1699</v>
      </c>
      <c r="D1169" s="379">
        <v>4352091</v>
      </c>
      <c r="E1169" s="379" t="s">
        <v>2674</v>
      </c>
      <c r="F1169" s="379" t="s">
        <v>2445</v>
      </c>
      <c r="G1169" s="383">
        <v>31686</v>
      </c>
      <c r="H1169" s="379">
        <v>43599.519999999997</v>
      </c>
      <c r="I1169" s="379"/>
      <c r="J1169" s="379"/>
      <c r="K1169" s="379">
        <v>3270.1</v>
      </c>
      <c r="L1169" s="379"/>
      <c r="M1169" s="379"/>
      <c r="N1169" s="379"/>
      <c r="O1169" s="379"/>
      <c r="P1169" s="379"/>
      <c r="Q1169" s="379"/>
      <c r="R1169" s="379"/>
      <c r="S1169" s="379">
        <v>39288.019999999997</v>
      </c>
      <c r="T1169" s="379">
        <v>3861.5</v>
      </c>
      <c r="U1169" s="379"/>
      <c r="V1169" s="380">
        <v>46869.62</v>
      </c>
      <c r="W1169" s="381">
        <v>6</v>
      </c>
      <c r="X1169" s="379"/>
      <c r="Y1169" s="379"/>
      <c r="Z1169" s="379">
        <v>9991001</v>
      </c>
      <c r="AA1169" s="379" t="s">
        <v>2496</v>
      </c>
      <c r="AB1169" s="380">
        <f t="shared" si="16"/>
        <v>0.5</v>
      </c>
    </row>
    <row r="1170" spans="1:28" outlineLevel="2" x14ac:dyDescent="0.3">
      <c r="A1170" s="379">
        <v>432</v>
      </c>
      <c r="B1170" s="379">
        <v>990000</v>
      </c>
      <c r="C1170" s="379" t="s">
        <v>1699</v>
      </c>
      <c r="D1170" s="379">
        <v>4352092</v>
      </c>
      <c r="E1170" s="379" t="s">
        <v>3305</v>
      </c>
      <c r="F1170" s="379" t="s">
        <v>2378</v>
      </c>
      <c r="G1170" s="383">
        <v>33878</v>
      </c>
      <c r="H1170" s="379">
        <v>14385.25</v>
      </c>
      <c r="I1170" s="379"/>
      <c r="J1170" s="379"/>
      <c r="K1170" s="379">
        <v>1078.8499999999999</v>
      </c>
      <c r="L1170" s="379"/>
      <c r="M1170" s="379"/>
      <c r="N1170" s="379"/>
      <c r="O1170" s="379">
        <v>1098</v>
      </c>
      <c r="P1170" s="379"/>
      <c r="Q1170" s="379"/>
      <c r="R1170" s="379"/>
      <c r="S1170" s="379">
        <v>11789.16</v>
      </c>
      <c r="T1170" s="379">
        <v>1048.0899999999999</v>
      </c>
      <c r="U1170" s="379"/>
      <c r="V1170" s="380">
        <v>15464.1</v>
      </c>
      <c r="W1170" s="381">
        <v>3.9</v>
      </c>
      <c r="X1170" s="379"/>
      <c r="Y1170" s="379"/>
      <c r="Z1170" s="379">
        <v>9991001</v>
      </c>
      <c r="AA1170" s="379" t="s">
        <v>2496</v>
      </c>
      <c r="AB1170" s="380">
        <f t="shared" si="16"/>
        <v>0.32500000000000001</v>
      </c>
    </row>
    <row r="1171" spans="1:28" outlineLevel="2" x14ac:dyDescent="0.3">
      <c r="A1171" s="379">
        <v>432</v>
      </c>
      <c r="B1171" s="379">
        <v>990000</v>
      </c>
      <c r="C1171" s="379" t="s">
        <v>1699</v>
      </c>
      <c r="D1171" s="379">
        <v>4352203</v>
      </c>
      <c r="E1171" s="379" t="s">
        <v>3306</v>
      </c>
      <c r="F1171" s="379" t="s">
        <v>2583</v>
      </c>
      <c r="G1171" s="383">
        <v>36434</v>
      </c>
      <c r="H1171" s="379">
        <v>27044.79</v>
      </c>
      <c r="I1171" s="379"/>
      <c r="J1171" s="379"/>
      <c r="K1171" s="379">
        <v>2028.25</v>
      </c>
      <c r="L1171" s="379"/>
      <c r="M1171" s="379"/>
      <c r="N1171" s="379"/>
      <c r="O1171" s="379">
        <v>960</v>
      </c>
      <c r="P1171" s="379"/>
      <c r="Q1171" s="379"/>
      <c r="R1171" s="379"/>
      <c r="S1171" s="379">
        <v>23802.240000000002</v>
      </c>
      <c r="T1171" s="379">
        <v>1832.55</v>
      </c>
      <c r="U1171" s="379"/>
      <c r="V1171" s="380">
        <v>29073.040000000001</v>
      </c>
      <c r="W1171" s="381">
        <v>3.42</v>
      </c>
      <c r="X1171" s="379"/>
      <c r="Y1171" s="379"/>
      <c r="Z1171" s="379">
        <v>9991001</v>
      </c>
      <c r="AA1171" s="379" t="s">
        <v>2496</v>
      </c>
      <c r="AB1171" s="380">
        <f t="shared" si="16"/>
        <v>0.28499999999999998</v>
      </c>
    </row>
    <row r="1172" spans="1:28" outlineLevel="2" x14ac:dyDescent="0.3">
      <c r="A1172" s="379">
        <v>432</v>
      </c>
      <c r="B1172" s="379">
        <v>990000</v>
      </c>
      <c r="C1172" s="379" t="s">
        <v>1699</v>
      </c>
      <c r="D1172" s="379">
        <v>4352230</v>
      </c>
      <c r="E1172" s="379" t="s">
        <v>2581</v>
      </c>
      <c r="F1172" s="379" t="s">
        <v>3307</v>
      </c>
      <c r="G1172" s="383">
        <v>22494</v>
      </c>
      <c r="H1172" s="379">
        <v>89250.06</v>
      </c>
      <c r="I1172" s="379"/>
      <c r="J1172" s="379"/>
      <c r="K1172" s="379">
        <v>6693.6</v>
      </c>
      <c r="L1172" s="379"/>
      <c r="M1172" s="379"/>
      <c r="N1172" s="379"/>
      <c r="O1172" s="379"/>
      <c r="P1172" s="379">
        <v>11220.72</v>
      </c>
      <c r="Q1172" s="379"/>
      <c r="R1172" s="379"/>
      <c r="S1172" s="379">
        <v>72945.539999999994</v>
      </c>
      <c r="T1172" s="379">
        <v>4633.8</v>
      </c>
      <c r="U1172" s="379"/>
      <c r="V1172" s="380">
        <v>95943.66</v>
      </c>
      <c r="W1172" s="381">
        <v>7.2</v>
      </c>
      <c r="X1172" s="379"/>
      <c r="Y1172" s="379"/>
      <c r="Z1172" s="379">
        <v>9991001</v>
      </c>
      <c r="AA1172" s="379" t="s">
        <v>2496</v>
      </c>
      <c r="AB1172" s="380">
        <f t="shared" si="16"/>
        <v>0.6</v>
      </c>
    </row>
    <row r="1173" spans="1:28" outlineLevel="2" x14ac:dyDescent="0.3">
      <c r="A1173" s="379">
        <v>432</v>
      </c>
      <c r="B1173" s="379">
        <v>990000</v>
      </c>
      <c r="C1173" s="379" t="s">
        <v>1699</v>
      </c>
      <c r="D1173" s="379">
        <v>4367863</v>
      </c>
      <c r="E1173" s="379" t="s">
        <v>2491</v>
      </c>
      <c r="F1173" s="379" t="s">
        <v>2376</v>
      </c>
      <c r="G1173" s="383">
        <v>28095</v>
      </c>
      <c r="H1173" s="379">
        <v>26605.78</v>
      </c>
      <c r="I1173" s="379"/>
      <c r="J1173" s="379"/>
      <c r="K1173" s="379">
        <v>1995.25</v>
      </c>
      <c r="L1173" s="379"/>
      <c r="M1173" s="379"/>
      <c r="N1173" s="379"/>
      <c r="O1173" s="379">
        <v>744</v>
      </c>
      <c r="P1173" s="379"/>
      <c r="Q1173" s="379"/>
      <c r="R1173" s="379"/>
      <c r="S1173" s="379">
        <v>23539.439999999999</v>
      </c>
      <c r="T1173" s="379">
        <v>1872.34</v>
      </c>
      <c r="U1173" s="379"/>
      <c r="V1173" s="380">
        <v>28601.03</v>
      </c>
      <c r="W1173" s="381">
        <v>3.5880000000000001</v>
      </c>
      <c r="X1173" s="379"/>
      <c r="Y1173" s="379"/>
      <c r="Z1173" s="379">
        <v>5923001</v>
      </c>
      <c r="AA1173" s="379" t="s">
        <v>2354</v>
      </c>
      <c r="AB1173" s="380">
        <f t="shared" si="16"/>
        <v>0.29899999999999999</v>
      </c>
    </row>
    <row r="1174" spans="1:28" outlineLevel="2" x14ac:dyDescent="0.3">
      <c r="A1174" s="379">
        <v>432</v>
      </c>
      <c r="B1174" s="379">
        <v>990000</v>
      </c>
      <c r="C1174" s="379" t="s">
        <v>1699</v>
      </c>
      <c r="D1174" s="379">
        <v>4547353</v>
      </c>
      <c r="E1174" s="379" t="s">
        <v>3308</v>
      </c>
      <c r="F1174" s="379" t="s">
        <v>2549</v>
      </c>
      <c r="G1174" s="383">
        <v>34029</v>
      </c>
      <c r="H1174" s="379">
        <v>44217.84</v>
      </c>
      <c r="I1174" s="379"/>
      <c r="J1174" s="379"/>
      <c r="K1174" s="379">
        <v>3316.2</v>
      </c>
      <c r="L1174" s="379"/>
      <c r="M1174" s="379"/>
      <c r="N1174" s="379"/>
      <c r="O1174" s="379"/>
      <c r="P1174" s="379"/>
      <c r="Q1174" s="379"/>
      <c r="R1174" s="379"/>
      <c r="S1174" s="379">
        <v>40215.26</v>
      </c>
      <c r="T1174" s="379">
        <v>3552.58</v>
      </c>
      <c r="U1174" s="379"/>
      <c r="V1174" s="380">
        <v>47534.04</v>
      </c>
      <c r="W1174" s="381">
        <v>5.52</v>
      </c>
      <c r="X1174" s="379"/>
      <c r="Y1174" s="379"/>
      <c r="Z1174" s="379">
        <v>9991001</v>
      </c>
      <c r="AA1174" s="379" t="s">
        <v>2496</v>
      </c>
      <c r="AB1174" s="380">
        <f t="shared" si="16"/>
        <v>0.45999999999999996</v>
      </c>
    </row>
    <row r="1175" spans="1:28" outlineLevel="2" x14ac:dyDescent="0.3">
      <c r="A1175" s="379">
        <v>432</v>
      </c>
      <c r="B1175" s="379">
        <v>990000</v>
      </c>
      <c r="C1175" s="379" t="s">
        <v>1699</v>
      </c>
      <c r="D1175" s="379">
        <v>4562744</v>
      </c>
      <c r="E1175" s="379" t="s">
        <v>3309</v>
      </c>
      <c r="F1175" s="379" t="s">
        <v>2549</v>
      </c>
      <c r="G1175" s="383">
        <v>30651</v>
      </c>
      <c r="H1175" s="379">
        <v>223837.8</v>
      </c>
      <c r="I1175" s="379"/>
      <c r="J1175" s="379"/>
      <c r="K1175" s="379">
        <v>16787.55</v>
      </c>
      <c r="L1175" s="379"/>
      <c r="M1175" s="379"/>
      <c r="N1175" s="379"/>
      <c r="O1175" s="379"/>
      <c r="P1175" s="379"/>
      <c r="Q1175" s="379"/>
      <c r="R1175" s="379"/>
      <c r="S1175" s="379">
        <v>223387.8</v>
      </c>
      <c r="T1175" s="379"/>
      <c r="U1175" s="379"/>
      <c r="V1175" s="380">
        <v>240625.35</v>
      </c>
      <c r="W1175" s="381">
        <v>5.28</v>
      </c>
      <c r="X1175" s="379"/>
      <c r="Y1175" s="379"/>
      <c r="Z1175" s="379">
        <v>2012001</v>
      </c>
      <c r="AA1175" s="379" t="s">
        <v>2297</v>
      </c>
      <c r="AB1175" s="380">
        <f t="shared" si="16"/>
        <v>0.44</v>
      </c>
    </row>
    <row r="1176" spans="1:28" outlineLevel="2" x14ac:dyDescent="0.3">
      <c r="A1176" s="379">
        <v>432</v>
      </c>
      <c r="B1176" s="379">
        <v>990000</v>
      </c>
      <c r="C1176" s="379" t="s">
        <v>1699</v>
      </c>
      <c r="D1176" s="379">
        <v>4570594</v>
      </c>
      <c r="E1176" s="379" t="s">
        <v>2468</v>
      </c>
      <c r="F1176" s="379" t="s">
        <v>2731</v>
      </c>
      <c r="G1176" s="383">
        <v>33359</v>
      </c>
      <c r="H1176" s="379">
        <v>34875.9</v>
      </c>
      <c r="I1176" s="379"/>
      <c r="J1176" s="379"/>
      <c r="K1176" s="379">
        <v>2615.8000000000002</v>
      </c>
      <c r="L1176" s="379"/>
      <c r="M1176" s="379"/>
      <c r="N1176" s="379"/>
      <c r="O1176" s="379"/>
      <c r="P1176" s="379"/>
      <c r="Q1176" s="379"/>
      <c r="R1176" s="379"/>
      <c r="S1176" s="379">
        <v>31128.18</v>
      </c>
      <c r="T1176" s="379">
        <v>3297.72</v>
      </c>
      <c r="U1176" s="379"/>
      <c r="V1176" s="380">
        <v>37491.699999999997</v>
      </c>
      <c r="W1176" s="381">
        <v>5.1239999999999997</v>
      </c>
      <c r="X1176" s="379"/>
      <c r="Y1176" s="379"/>
      <c r="Z1176" s="379">
        <v>9991001</v>
      </c>
      <c r="AA1176" s="379" t="s">
        <v>2496</v>
      </c>
      <c r="AB1176" s="380">
        <f t="shared" si="16"/>
        <v>0.42699999999999999</v>
      </c>
    </row>
    <row r="1177" spans="1:28" outlineLevel="2" x14ac:dyDescent="0.3">
      <c r="A1177" s="379">
        <v>432</v>
      </c>
      <c r="B1177" s="379">
        <v>990000</v>
      </c>
      <c r="C1177" s="379" t="s">
        <v>1699</v>
      </c>
      <c r="D1177" s="379">
        <v>4578282</v>
      </c>
      <c r="E1177" s="379" t="s">
        <v>2549</v>
      </c>
      <c r="F1177" s="379" t="s">
        <v>3310</v>
      </c>
      <c r="G1177" s="383">
        <v>28734</v>
      </c>
      <c r="H1177" s="379">
        <v>21137.86</v>
      </c>
      <c r="I1177" s="379"/>
      <c r="J1177" s="379"/>
      <c r="K1177" s="379">
        <v>1585.1</v>
      </c>
      <c r="L1177" s="379"/>
      <c r="M1177" s="379"/>
      <c r="N1177" s="379"/>
      <c r="O1177" s="379"/>
      <c r="P1177" s="379"/>
      <c r="Q1177" s="379"/>
      <c r="R1177" s="379"/>
      <c r="S1177" s="379">
        <v>19171.8</v>
      </c>
      <c r="T1177" s="379">
        <v>1516.06</v>
      </c>
      <c r="U1177" s="379"/>
      <c r="V1177" s="380">
        <v>22722.959999999999</v>
      </c>
      <c r="W1177" s="381">
        <v>3.12</v>
      </c>
      <c r="X1177" s="379"/>
      <c r="Y1177" s="379"/>
      <c r="Z1177" s="379">
        <v>5923001</v>
      </c>
      <c r="AA1177" s="379" t="s">
        <v>2354</v>
      </c>
      <c r="AB1177" s="380">
        <f t="shared" si="16"/>
        <v>0.26</v>
      </c>
    </row>
    <row r="1178" spans="1:28" outlineLevel="2" x14ac:dyDescent="0.3">
      <c r="A1178" s="379">
        <v>432</v>
      </c>
      <c r="B1178" s="379">
        <v>990000</v>
      </c>
      <c r="C1178" s="379" t="s">
        <v>1699</v>
      </c>
      <c r="D1178" s="379">
        <v>4578431</v>
      </c>
      <c r="E1178" s="379" t="s">
        <v>2301</v>
      </c>
      <c r="F1178" s="379" t="s">
        <v>3112</v>
      </c>
      <c r="G1178" s="383">
        <v>42339</v>
      </c>
      <c r="H1178" s="379">
        <v>6463.97</v>
      </c>
      <c r="I1178" s="379"/>
      <c r="J1178" s="379"/>
      <c r="K1178" s="379">
        <v>22.5</v>
      </c>
      <c r="L1178" s="379"/>
      <c r="M1178" s="379"/>
      <c r="N1178" s="379"/>
      <c r="O1178" s="379">
        <v>227</v>
      </c>
      <c r="P1178" s="379"/>
      <c r="Q1178" s="379"/>
      <c r="R1178" s="379"/>
      <c r="S1178" s="379">
        <v>4974.8500000000004</v>
      </c>
      <c r="T1178" s="379">
        <v>962.12</v>
      </c>
      <c r="U1178" s="379"/>
      <c r="V1178" s="380">
        <v>6486.47</v>
      </c>
      <c r="W1178" s="381">
        <v>0.82499999999999996</v>
      </c>
      <c r="X1178" s="379"/>
      <c r="Y1178" s="379"/>
      <c r="Z1178" s="379">
        <v>9991001</v>
      </c>
      <c r="AA1178" s="379" t="s">
        <v>2496</v>
      </c>
      <c r="AB1178" s="380">
        <f t="shared" si="16"/>
        <v>6.8749999999999992E-2</v>
      </c>
    </row>
    <row r="1179" spans="1:28" outlineLevel="2" x14ac:dyDescent="0.3">
      <c r="A1179" s="379">
        <v>432</v>
      </c>
      <c r="B1179" s="379">
        <v>990000</v>
      </c>
      <c r="C1179" s="379" t="s">
        <v>1699</v>
      </c>
      <c r="D1179" s="379">
        <v>4581694</v>
      </c>
      <c r="E1179" s="379" t="s">
        <v>2585</v>
      </c>
      <c r="F1179" s="379" t="s">
        <v>975</v>
      </c>
      <c r="G1179" s="383">
        <v>24532</v>
      </c>
      <c r="H1179" s="379">
        <v>46602.14</v>
      </c>
      <c r="I1179" s="379"/>
      <c r="J1179" s="379"/>
      <c r="K1179" s="379">
        <v>3495.05</v>
      </c>
      <c r="L1179" s="379"/>
      <c r="M1179" s="379"/>
      <c r="N1179" s="379"/>
      <c r="O1179" s="379"/>
      <c r="P1179" s="379"/>
      <c r="Q1179" s="379"/>
      <c r="R1179" s="379"/>
      <c r="S1179" s="379">
        <v>42601.58</v>
      </c>
      <c r="T1179" s="379">
        <v>3550.56</v>
      </c>
      <c r="U1179" s="379"/>
      <c r="V1179" s="380">
        <v>50097.19</v>
      </c>
      <c r="W1179" s="381">
        <v>6.8040000000000003</v>
      </c>
      <c r="X1179" s="379"/>
      <c r="Y1179" s="379"/>
      <c r="Z1179" s="379">
        <v>9991001</v>
      </c>
      <c r="AA1179" s="379" t="s">
        <v>2496</v>
      </c>
      <c r="AB1179" s="380">
        <f t="shared" si="16"/>
        <v>0.56700000000000006</v>
      </c>
    </row>
    <row r="1180" spans="1:28" outlineLevel="2" x14ac:dyDescent="0.3">
      <c r="A1180" s="379">
        <v>432</v>
      </c>
      <c r="B1180" s="379">
        <v>990000</v>
      </c>
      <c r="C1180" s="379" t="s">
        <v>1699</v>
      </c>
      <c r="D1180" s="379">
        <v>4582451</v>
      </c>
      <c r="E1180" s="379" t="s">
        <v>2634</v>
      </c>
      <c r="F1180" s="379" t="s">
        <v>2465</v>
      </c>
      <c r="G1180" s="383">
        <v>42339</v>
      </c>
      <c r="H1180" s="379">
        <v>1932.95</v>
      </c>
      <c r="I1180" s="379"/>
      <c r="J1180" s="379"/>
      <c r="K1180" s="379"/>
      <c r="L1180" s="379"/>
      <c r="M1180" s="379"/>
      <c r="N1180" s="379"/>
      <c r="O1180" s="379"/>
      <c r="P1180" s="379"/>
      <c r="Q1180" s="379"/>
      <c r="R1180" s="379"/>
      <c r="S1180" s="379">
        <v>1932.95</v>
      </c>
      <c r="T1180" s="379"/>
      <c r="U1180" s="379"/>
      <c r="V1180" s="380">
        <v>1932.95</v>
      </c>
      <c r="W1180" s="381">
        <v>0.28999999999999998</v>
      </c>
      <c r="X1180" s="379"/>
      <c r="Y1180" s="379"/>
      <c r="Z1180" s="379">
        <v>9991001</v>
      </c>
      <c r="AA1180" s="379" t="s">
        <v>2496</v>
      </c>
      <c r="AB1180" s="380">
        <f t="shared" si="16"/>
        <v>2.4166666666666666E-2</v>
      </c>
    </row>
    <row r="1181" spans="1:28" outlineLevel="2" x14ac:dyDescent="0.3">
      <c r="A1181" s="379">
        <v>432</v>
      </c>
      <c r="B1181" s="379">
        <v>990000</v>
      </c>
      <c r="C1181" s="379" t="s">
        <v>1699</v>
      </c>
      <c r="D1181" s="379">
        <v>4589545</v>
      </c>
      <c r="E1181" s="379" t="s">
        <v>2582</v>
      </c>
      <c r="F1181" s="379" t="s">
        <v>2333</v>
      </c>
      <c r="G1181" s="383">
        <v>28065</v>
      </c>
      <c r="H1181" s="379">
        <v>32977.160000000003</v>
      </c>
      <c r="I1181" s="379"/>
      <c r="J1181" s="379"/>
      <c r="K1181" s="379">
        <v>2473.25</v>
      </c>
      <c r="L1181" s="379"/>
      <c r="M1181" s="379"/>
      <c r="N1181" s="379"/>
      <c r="O1181" s="379">
        <v>960</v>
      </c>
      <c r="P1181" s="379"/>
      <c r="Q1181" s="379"/>
      <c r="R1181" s="379"/>
      <c r="S1181" s="379">
        <v>29256.48</v>
      </c>
      <c r="T1181" s="379">
        <v>2310.6799999999998</v>
      </c>
      <c r="U1181" s="379"/>
      <c r="V1181" s="380">
        <v>35450.410000000003</v>
      </c>
      <c r="W1181" s="381">
        <v>4.4279999999999999</v>
      </c>
      <c r="X1181" s="379"/>
      <c r="Y1181" s="379"/>
      <c r="Z1181" s="379">
        <v>5923001</v>
      </c>
      <c r="AA1181" s="379" t="s">
        <v>2354</v>
      </c>
      <c r="AB1181" s="380">
        <f t="shared" si="16"/>
        <v>0.36899999999999999</v>
      </c>
    </row>
    <row r="1182" spans="1:28" outlineLevel="2" x14ac:dyDescent="0.3">
      <c r="A1182" s="379">
        <v>432</v>
      </c>
      <c r="B1182" s="379">
        <v>990000</v>
      </c>
      <c r="C1182" s="379" t="s">
        <v>1699</v>
      </c>
      <c r="D1182" s="379">
        <v>4634021</v>
      </c>
      <c r="E1182" s="379" t="s">
        <v>2674</v>
      </c>
      <c r="F1182" s="379" t="s">
        <v>2352</v>
      </c>
      <c r="G1182" s="383">
        <v>28246</v>
      </c>
      <c r="H1182" s="379">
        <v>22336.19</v>
      </c>
      <c r="I1182" s="379"/>
      <c r="J1182" s="379"/>
      <c r="K1182" s="379">
        <v>1675.45</v>
      </c>
      <c r="L1182" s="379"/>
      <c r="M1182" s="379"/>
      <c r="N1182" s="379"/>
      <c r="O1182" s="379"/>
      <c r="P1182" s="379"/>
      <c r="Q1182" s="379"/>
      <c r="R1182" s="379"/>
      <c r="S1182" s="379">
        <v>20300.16</v>
      </c>
      <c r="T1182" s="379">
        <v>1586.03</v>
      </c>
      <c r="U1182" s="379"/>
      <c r="V1182" s="380">
        <v>24011.64</v>
      </c>
      <c r="W1182" s="381">
        <v>3.2639999999999998</v>
      </c>
      <c r="X1182" s="379"/>
      <c r="Y1182" s="379"/>
      <c r="Z1182" s="379">
        <v>9991001</v>
      </c>
      <c r="AA1182" s="379" t="s">
        <v>2496</v>
      </c>
      <c r="AB1182" s="380">
        <f t="shared" si="16"/>
        <v>0.27199999999999996</v>
      </c>
    </row>
    <row r="1183" spans="1:28" outlineLevel="2" x14ac:dyDescent="0.3">
      <c r="A1183" s="379">
        <v>432</v>
      </c>
      <c r="B1183" s="379">
        <v>990000</v>
      </c>
      <c r="C1183" s="379" t="s">
        <v>1699</v>
      </c>
      <c r="D1183" s="379">
        <v>4638504</v>
      </c>
      <c r="E1183" s="379" t="s">
        <v>2486</v>
      </c>
      <c r="F1183" s="379" t="s">
        <v>3226</v>
      </c>
      <c r="G1183" s="383">
        <v>27211</v>
      </c>
      <c r="H1183" s="379">
        <v>83228.91</v>
      </c>
      <c r="I1183" s="379"/>
      <c r="J1183" s="379"/>
      <c r="K1183" s="379">
        <v>6242.05</v>
      </c>
      <c r="L1183" s="379"/>
      <c r="M1183" s="379"/>
      <c r="N1183" s="379"/>
      <c r="O1183" s="379">
        <v>6686.4</v>
      </c>
      <c r="P1183" s="379"/>
      <c r="Q1183" s="379"/>
      <c r="R1183" s="379"/>
      <c r="S1183" s="379">
        <v>70686.41</v>
      </c>
      <c r="T1183" s="379">
        <v>5406.1</v>
      </c>
      <c r="U1183" s="379"/>
      <c r="V1183" s="380">
        <v>89470.96</v>
      </c>
      <c r="W1183" s="381">
        <v>8.4</v>
      </c>
      <c r="X1183" s="379"/>
      <c r="Y1183" s="379"/>
      <c r="Z1183" s="379">
        <v>9991001</v>
      </c>
      <c r="AA1183" s="379" t="s">
        <v>2496</v>
      </c>
      <c r="AB1183" s="380">
        <f t="shared" si="16"/>
        <v>0.70000000000000007</v>
      </c>
    </row>
    <row r="1184" spans="1:28" outlineLevel="2" x14ac:dyDescent="0.3">
      <c r="A1184" s="379">
        <v>432</v>
      </c>
      <c r="B1184" s="379">
        <v>990000</v>
      </c>
      <c r="C1184" s="379" t="s">
        <v>1699</v>
      </c>
      <c r="D1184" s="379">
        <v>4640273</v>
      </c>
      <c r="E1184" s="379" t="s">
        <v>3311</v>
      </c>
      <c r="F1184" s="379" t="s">
        <v>2580</v>
      </c>
      <c r="G1184" s="383">
        <v>22007</v>
      </c>
      <c r="H1184" s="379">
        <v>99075.56</v>
      </c>
      <c r="I1184" s="379"/>
      <c r="J1184" s="379"/>
      <c r="K1184" s="379">
        <v>7430.6</v>
      </c>
      <c r="L1184" s="379"/>
      <c r="M1184" s="379"/>
      <c r="N1184" s="379"/>
      <c r="O1184" s="379"/>
      <c r="P1184" s="379">
        <v>14386.08</v>
      </c>
      <c r="Q1184" s="379"/>
      <c r="R1184" s="379"/>
      <c r="S1184" s="379">
        <v>78833.38</v>
      </c>
      <c r="T1184" s="379">
        <v>5406.1</v>
      </c>
      <c r="U1184" s="379"/>
      <c r="V1184" s="380">
        <v>106506.16</v>
      </c>
      <c r="W1184" s="381">
        <v>8.4</v>
      </c>
      <c r="X1184" s="379"/>
      <c r="Y1184" s="379"/>
      <c r="Z1184" s="379">
        <v>9991001</v>
      </c>
      <c r="AA1184" s="379" t="s">
        <v>2496</v>
      </c>
      <c r="AB1184" s="380">
        <f t="shared" si="16"/>
        <v>0.70000000000000007</v>
      </c>
    </row>
    <row r="1185" spans="1:28" outlineLevel="2" x14ac:dyDescent="0.3">
      <c r="A1185" s="379">
        <v>432</v>
      </c>
      <c r="B1185" s="379">
        <v>990000</v>
      </c>
      <c r="C1185" s="379" t="s">
        <v>1699</v>
      </c>
      <c r="D1185" s="379">
        <v>4658024</v>
      </c>
      <c r="E1185" s="379" t="s">
        <v>3312</v>
      </c>
      <c r="F1185" s="379" t="s">
        <v>2322</v>
      </c>
      <c r="G1185" s="383">
        <v>26390</v>
      </c>
      <c r="H1185" s="379">
        <v>81081.62</v>
      </c>
      <c r="I1185" s="379"/>
      <c r="J1185" s="379"/>
      <c r="K1185" s="379">
        <v>6080.95</v>
      </c>
      <c r="L1185" s="379"/>
      <c r="M1185" s="379"/>
      <c r="N1185" s="379"/>
      <c r="O1185" s="379">
        <v>6686.4</v>
      </c>
      <c r="P1185" s="379"/>
      <c r="Q1185" s="379"/>
      <c r="R1185" s="379"/>
      <c r="S1185" s="379">
        <v>68539.12</v>
      </c>
      <c r="T1185" s="379">
        <v>5406.1</v>
      </c>
      <c r="U1185" s="379"/>
      <c r="V1185" s="380">
        <v>87162.57</v>
      </c>
      <c r="W1185" s="381">
        <v>8.4</v>
      </c>
      <c r="X1185" s="379"/>
      <c r="Y1185" s="379"/>
      <c r="Z1185" s="379">
        <v>9991001</v>
      </c>
      <c r="AA1185" s="379" t="s">
        <v>2496</v>
      </c>
      <c r="AB1185" s="380">
        <f t="shared" si="16"/>
        <v>0.70000000000000007</v>
      </c>
    </row>
    <row r="1186" spans="1:28" outlineLevel="2" x14ac:dyDescent="0.3">
      <c r="A1186" s="379">
        <v>432</v>
      </c>
      <c r="B1186" s="379">
        <v>990000</v>
      </c>
      <c r="C1186" s="379" t="s">
        <v>1699</v>
      </c>
      <c r="D1186" s="379">
        <v>4659813</v>
      </c>
      <c r="E1186" s="379" t="s">
        <v>2729</v>
      </c>
      <c r="F1186" s="379" t="s">
        <v>2366</v>
      </c>
      <c r="G1186" s="383">
        <v>29921</v>
      </c>
      <c r="H1186" s="379">
        <v>8854.2099999999991</v>
      </c>
      <c r="I1186" s="379"/>
      <c r="J1186" s="379"/>
      <c r="K1186" s="379">
        <v>664.25</v>
      </c>
      <c r="L1186" s="379"/>
      <c r="M1186" s="379"/>
      <c r="N1186" s="379"/>
      <c r="O1186" s="379"/>
      <c r="P1186" s="379"/>
      <c r="Q1186" s="379"/>
      <c r="R1186" s="379"/>
      <c r="S1186" s="379">
        <v>7837.2</v>
      </c>
      <c r="T1186" s="379">
        <v>567.01</v>
      </c>
      <c r="U1186" s="379"/>
      <c r="V1186" s="380">
        <v>9518.4599999999991</v>
      </c>
      <c r="W1186" s="381">
        <v>1.26</v>
      </c>
      <c r="X1186" s="379"/>
      <c r="Y1186" s="379"/>
      <c r="Z1186" s="379">
        <v>5923001</v>
      </c>
      <c r="AA1186" s="379" t="s">
        <v>2354</v>
      </c>
      <c r="AB1186" s="380">
        <f t="shared" ref="AB1186:AB1249" si="17">W1186/12</f>
        <v>0.105</v>
      </c>
    </row>
    <row r="1187" spans="1:28" outlineLevel="2" x14ac:dyDescent="0.3">
      <c r="A1187" s="379">
        <v>432</v>
      </c>
      <c r="B1187" s="379">
        <v>990000</v>
      </c>
      <c r="C1187" s="379" t="s">
        <v>1699</v>
      </c>
      <c r="D1187" s="379">
        <v>4659944</v>
      </c>
      <c r="E1187" s="379" t="s">
        <v>3313</v>
      </c>
      <c r="F1187" s="379" t="s">
        <v>2887</v>
      </c>
      <c r="G1187" s="383">
        <v>41640</v>
      </c>
      <c r="H1187" s="379">
        <v>48225.45</v>
      </c>
      <c r="I1187" s="379"/>
      <c r="J1187" s="379"/>
      <c r="K1187" s="379">
        <v>433.95</v>
      </c>
      <c r="L1187" s="379"/>
      <c r="M1187" s="379"/>
      <c r="N1187" s="379"/>
      <c r="O1187" s="379"/>
      <c r="P1187" s="379">
        <v>5332.8</v>
      </c>
      <c r="Q1187" s="379"/>
      <c r="R1187" s="379"/>
      <c r="S1187" s="379">
        <v>39671.69</v>
      </c>
      <c r="T1187" s="379">
        <v>2770.96</v>
      </c>
      <c r="U1187" s="379"/>
      <c r="V1187" s="380">
        <v>48659.4</v>
      </c>
      <c r="W1187" s="381">
        <v>4.5599999999999996</v>
      </c>
      <c r="X1187" s="379"/>
      <c r="Y1187" s="379"/>
      <c r="Z1187" s="379">
        <v>9991001</v>
      </c>
      <c r="AA1187" s="379" t="s">
        <v>2496</v>
      </c>
      <c r="AB1187" s="380">
        <f t="shared" si="17"/>
        <v>0.37999999999999995</v>
      </c>
    </row>
    <row r="1188" spans="1:28" outlineLevel="2" x14ac:dyDescent="0.3">
      <c r="A1188" s="379">
        <v>432</v>
      </c>
      <c r="B1188" s="379">
        <v>990000</v>
      </c>
      <c r="C1188" s="379" t="s">
        <v>1699</v>
      </c>
      <c r="D1188" s="379">
        <v>4690651</v>
      </c>
      <c r="E1188" s="379" t="s">
        <v>3314</v>
      </c>
      <c r="F1188" s="379" t="s">
        <v>2582</v>
      </c>
      <c r="G1188" s="383">
        <v>25903</v>
      </c>
      <c r="H1188" s="379">
        <v>48054.37</v>
      </c>
      <c r="I1188" s="379"/>
      <c r="J1188" s="379"/>
      <c r="K1188" s="379">
        <v>3604.2</v>
      </c>
      <c r="L1188" s="379"/>
      <c r="M1188" s="379"/>
      <c r="N1188" s="379"/>
      <c r="O1188" s="379"/>
      <c r="P1188" s="379"/>
      <c r="Q1188" s="379"/>
      <c r="R1188" s="379"/>
      <c r="S1188" s="379">
        <v>44397.32</v>
      </c>
      <c r="T1188" s="379">
        <v>3207.05</v>
      </c>
      <c r="U1188" s="379"/>
      <c r="V1188" s="380">
        <v>51658.57</v>
      </c>
      <c r="W1188" s="381">
        <v>6.6</v>
      </c>
      <c r="X1188" s="379"/>
      <c r="Y1188" s="379"/>
      <c r="Z1188" s="379">
        <v>9991001</v>
      </c>
      <c r="AA1188" s="379" t="s">
        <v>2496</v>
      </c>
      <c r="AB1188" s="380">
        <f t="shared" si="17"/>
        <v>0.54999999999999993</v>
      </c>
    </row>
    <row r="1189" spans="1:28" outlineLevel="2" x14ac:dyDescent="0.3">
      <c r="A1189" s="379">
        <v>432</v>
      </c>
      <c r="B1189" s="379">
        <v>990000</v>
      </c>
      <c r="C1189" s="379" t="s">
        <v>1699</v>
      </c>
      <c r="D1189" s="379">
        <v>4728024</v>
      </c>
      <c r="E1189" s="379" t="s">
        <v>2323</v>
      </c>
      <c r="F1189" s="379" t="s">
        <v>3045</v>
      </c>
      <c r="G1189" s="383">
        <v>43435</v>
      </c>
      <c r="H1189" s="379">
        <v>1751.74</v>
      </c>
      <c r="I1189" s="379">
        <v>8</v>
      </c>
      <c r="J1189" s="379"/>
      <c r="K1189" s="379">
        <v>131.4</v>
      </c>
      <c r="L1189" s="379"/>
      <c r="M1189" s="379"/>
      <c r="N1189" s="379"/>
      <c r="O1189" s="379">
        <v>1665.44</v>
      </c>
      <c r="P1189" s="379"/>
      <c r="Q1189" s="379"/>
      <c r="R1189" s="379"/>
      <c r="S1189" s="379">
        <v>86.3</v>
      </c>
      <c r="T1189" s="379"/>
      <c r="U1189" s="379"/>
      <c r="V1189" s="380">
        <v>1891.14</v>
      </c>
      <c r="W1189" s="381">
        <v>0.48</v>
      </c>
      <c r="X1189" s="379"/>
      <c r="Y1189" s="379"/>
      <c r="Z1189" s="379">
        <v>9991001</v>
      </c>
      <c r="AA1189" s="379" t="s">
        <v>2496</v>
      </c>
      <c r="AB1189" s="380">
        <f t="shared" si="17"/>
        <v>0.04</v>
      </c>
    </row>
    <row r="1190" spans="1:28" outlineLevel="2" x14ac:dyDescent="0.3">
      <c r="A1190" s="379">
        <v>432</v>
      </c>
      <c r="B1190" s="379">
        <v>990000</v>
      </c>
      <c r="C1190" s="379" t="s">
        <v>1699</v>
      </c>
      <c r="D1190" s="379">
        <v>4752131</v>
      </c>
      <c r="E1190" s="379" t="s">
        <v>3315</v>
      </c>
      <c r="F1190" s="379" t="s">
        <v>3316</v>
      </c>
      <c r="G1190" s="383">
        <v>22251</v>
      </c>
      <c r="H1190" s="379">
        <v>38969.53</v>
      </c>
      <c r="I1190" s="379"/>
      <c r="J1190" s="379"/>
      <c r="K1190" s="379">
        <v>2922.75</v>
      </c>
      <c r="L1190" s="379"/>
      <c r="M1190" s="379"/>
      <c r="N1190" s="379"/>
      <c r="O1190" s="379"/>
      <c r="P1190" s="379"/>
      <c r="Q1190" s="379"/>
      <c r="R1190" s="379"/>
      <c r="S1190" s="379">
        <v>35605.81</v>
      </c>
      <c r="T1190" s="379">
        <v>2913.72</v>
      </c>
      <c r="U1190" s="379"/>
      <c r="V1190" s="380">
        <v>41892.28</v>
      </c>
      <c r="W1190" s="381">
        <v>4.9080000000000004</v>
      </c>
      <c r="X1190" s="379"/>
      <c r="Y1190" s="379"/>
      <c r="Z1190" s="379">
        <v>9991001</v>
      </c>
      <c r="AA1190" s="379" t="s">
        <v>2496</v>
      </c>
      <c r="AB1190" s="380">
        <f t="shared" si="17"/>
        <v>0.40900000000000003</v>
      </c>
    </row>
    <row r="1191" spans="1:28" outlineLevel="2" x14ac:dyDescent="0.3">
      <c r="A1191" s="379">
        <v>432</v>
      </c>
      <c r="B1191" s="379">
        <v>990000</v>
      </c>
      <c r="C1191" s="379" t="s">
        <v>1699</v>
      </c>
      <c r="D1191" s="379">
        <v>4790423</v>
      </c>
      <c r="E1191" s="379" t="s">
        <v>2549</v>
      </c>
      <c r="F1191" s="379" t="s">
        <v>3317</v>
      </c>
      <c r="G1191" s="383">
        <v>27364</v>
      </c>
      <c r="H1191" s="379">
        <v>47192.28</v>
      </c>
      <c r="I1191" s="379"/>
      <c r="J1191" s="379"/>
      <c r="K1191" s="379">
        <v>3539.5</v>
      </c>
      <c r="L1191" s="379"/>
      <c r="M1191" s="379"/>
      <c r="N1191" s="379"/>
      <c r="O1191" s="379"/>
      <c r="P1191" s="379"/>
      <c r="Q1191" s="379"/>
      <c r="R1191" s="379"/>
      <c r="S1191" s="379">
        <v>43023.360000000001</v>
      </c>
      <c r="T1191" s="379">
        <v>3718.92</v>
      </c>
      <c r="U1191" s="379"/>
      <c r="V1191" s="380">
        <v>50731.78</v>
      </c>
      <c r="W1191" s="381">
        <v>8.1</v>
      </c>
      <c r="X1191" s="379"/>
      <c r="Y1191" s="379"/>
      <c r="Z1191" s="379">
        <v>9991001</v>
      </c>
      <c r="AA1191" s="379" t="s">
        <v>2496</v>
      </c>
      <c r="AB1191" s="380">
        <f t="shared" si="17"/>
        <v>0.67499999999999993</v>
      </c>
    </row>
    <row r="1192" spans="1:28" outlineLevel="2" x14ac:dyDescent="0.3">
      <c r="A1192" s="379">
        <v>432</v>
      </c>
      <c r="B1192" s="379">
        <v>990000</v>
      </c>
      <c r="C1192" s="379" t="s">
        <v>1699</v>
      </c>
      <c r="D1192" s="379">
        <v>4812663</v>
      </c>
      <c r="E1192" s="379" t="s">
        <v>3318</v>
      </c>
      <c r="F1192" s="379" t="s">
        <v>3290</v>
      </c>
      <c r="G1192" s="383">
        <v>26115</v>
      </c>
      <c r="H1192" s="379">
        <v>71197.23</v>
      </c>
      <c r="I1192" s="379"/>
      <c r="J1192" s="379"/>
      <c r="K1192" s="379">
        <v>5339.9</v>
      </c>
      <c r="L1192" s="379"/>
      <c r="M1192" s="379"/>
      <c r="N1192" s="379"/>
      <c r="O1192" s="379"/>
      <c r="P1192" s="379"/>
      <c r="Q1192" s="379"/>
      <c r="R1192" s="379"/>
      <c r="S1192" s="379">
        <v>65341.13</v>
      </c>
      <c r="T1192" s="379">
        <v>5406.1</v>
      </c>
      <c r="U1192" s="379"/>
      <c r="V1192" s="380">
        <v>76537.13</v>
      </c>
      <c r="W1192" s="381">
        <v>8.4</v>
      </c>
      <c r="X1192" s="379"/>
      <c r="Y1192" s="379"/>
      <c r="Z1192" s="379">
        <v>9991001</v>
      </c>
      <c r="AA1192" s="379" t="s">
        <v>2496</v>
      </c>
      <c r="AB1192" s="380">
        <f t="shared" si="17"/>
        <v>0.70000000000000007</v>
      </c>
    </row>
    <row r="1193" spans="1:28" outlineLevel="2" x14ac:dyDescent="0.3">
      <c r="A1193" s="379">
        <v>432</v>
      </c>
      <c r="B1193" s="379">
        <v>990000</v>
      </c>
      <c r="C1193" s="379" t="s">
        <v>1699</v>
      </c>
      <c r="D1193" s="379">
        <v>4825185</v>
      </c>
      <c r="E1193" s="379" t="s">
        <v>2580</v>
      </c>
      <c r="F1193" s="379" t="s">
        <v>3319</v>
      </c>
      <c r="G1193" s="383">
        <v>41518</v>
      </c>
      <c r="H1193" s="379">
        <v>22690.32</v>
      </c>
      <c r="I1193" s="379"/>
      <c r="J1193" s="379"/>
      <c r="K1193" s="379">
        <v>33.75</v>
      </c>
      <c r="L1193" s="379"/>
      <c r="M1193" s="379"/>
      <c r="N1193" s="379"/>
      <c r="O1193" s="379"/>
      <c r="P1193" s="379"/>
      <c r="Q1193" s="379"/>
      <c r="R1193" s="379"/>
      <c r="S1193" s="379">
        <v>20490.240000000002</v>
      </c>
      <c r="T1193" s="379">
        <v>1750.08</v>
      </c>
      <c r="U1193" s="379"/>
      <c r="V1193" s="380">
        <v>22724.07</v>
      </c>
      <c r="W1193" s="381">
        <v>2.88</v>
      </c>
      <c r="X1193" s="379"/>
      <c r="Y1193" s="379"/>
      <c r="Z1193" s="379">
        <v>9991001</v>
      </c>
      <c r="AA1193" s="379" t="s">
        <v>2496</v>
      </c>
      <c r="AB1193" s="380">
        <f t="shared" si="17"/>
        <v>0.24</v>
      </c>
    </row>
    <row r="1194" spans="1:28" outlineLevel="2" x14ac:dyDescent="0.3">
      <c r="A1194" s="379">
        <v>432</v>
      </c>
      <c r="B1194" s="379">
        <v>990000</v>
      </c>
      <c r="C1194" s="379" t="s">
        <v>1699</v>
      </c>
      <c r="D1194" s="379">
        <v>4883274</v>
      </c>
      <c r="E1194" s="379" t="s">
        <v>3320</v>
      </c>
      <c r="F1194" s="379" t="s">
        <v>2465</v>
      </c>
      <c r="G1194" s="383">
        <v>25204</v>
      </c>
      <c r="H1194" s="379">
        <v>196321.29</v>
      </c>
      <c r="I1194" s="379"/>
      <c r="J1194" s="379"/>
      <c r="K1194" s="379">
        <v>14724.05</v>
      </c>
      <c r="L1194" s="379"/>
      <c r="M1194" s="379"/>
      <c r="N1194" s="379"/>
      <c r="O1194" s="379"/>
      <c r="P1194" s="379"/>
      <c r="Q1194" s="379"/>
      <c r="R1194" s="379"/>
      <c r="S1194" s="379">
        <v>190465.19</v>
      </c>
      <c r="T1194" s="379">
        <v>5406.1</v>
      </c>
      <c r="U1194" s="379"/>
      <c r="V1194" s="380">
        <v>211045.34</v>
      </c>
      <c r="W1194" s="381">
        <v>8.4</v>
      </c>
      <c r="X1194" s="379"/>
      <c r="Y1194" s="379"/>
      <c r="Z1194" s="379">
        <v>9991001</v>
      </c>
      <c r="AA1194" s="379" t="s">
        <v>2496</v>
      </c>
      <c r="AB1194" s="380">
        <f t="shared" si="17"/>
        <v>0.70000000000000007</v>
      </c>
    </row>
    <row r="1195" spans="1:28" outlineLevel="2" x14ac:dyDescent="0.3">
      <c r="A1195" s="379">
        <v>432</v>
      </c>
      <c r="B1195" s="379">
        <v>990000</v>
      </c>
      <c r="C1195" s="379" t="s">
        <v>1699</v>
      </c>
      <c r="D1195" s="379">
        <v>4927354</v>
      </c>
      <c r="E1195" s="379" t="s">
        <v>2661</v>
      </c>
      <c r="F1195" s="379" t="s">
        <v>2436</v>
      </c>
      <c r="G1195" s="383">
        <v>33786</v>
      </c>
      <c r="H1195" s="379">
        <v>28520.34</v>
      </c>
      <c r="I1195" s="379"/>
      <c r="J1195" s="379"/>
      <c r="K1195" s="379">
        <v>2139.25</v>
      </c>
      <c r="L1195" s="379"/>
      <c r="M1195" s="379"/>
      <c r="N1195" s="379"/>
      <c r="O1195" s="379"/>
      <c r="P1195" s="379"/>
      <c r="Q1195" s="379"/>
      <c r="R1195" s="379"/>
      <c r="S1195" s="379">
        <v>25948.44</v>
      </c>
      <c r="T1195" s="379">
        <v>2121.9</v>
      </c>
      <c r="U1195" s="379"/>
      <c r="V1195" s="380">
        <v>30659.59</v>
      </c>
      <c r="W1195" s="381">
        <v>3.96</v>
      </c>
      <c r="X1195" s="379"/>
      <c r="Y1195" s="379"/>
      <c r="Z1195" s="379">
        <v>9991001</v>
      </c>
      <c r="AA1195" s="379" t="s">
        <v>2496</v>
      </c>
      <c r="AB1195" s="380">
        <f t="shared" si="17"/>
        <v>0.33</v>
      </c>
    </row>
    <row r="1196" spans="1:28" outlineLevel="2" x14ac:dyDescent="0.3">
      <c r="A1196" s="379">
        <v>432</v>
      </c>
      <c r="B1196" s="379">
        <v>990000</v>
      </c>
      <c r="C1196" s="379" t="s">
        <v>1699</v>
      </c>
      <c r="D1196" s="379">
        <v>4927703</v>
      </c>
      <c r="E1196" s="379" t="s">
        <v>2363</v>
      </c>
      <c r="F1196" s="379" t="s">
        <v>3321</v>
      </c>
      <c r="G1196" s="383">
        <v>31382</v>
      </c>
      <c r="H1196" s="379">
        <v>13688.86</v>
      </c>
      <c r="I1196" s="379"/>
      <c r="J1196" s="379"/>
      <c r="K1196" s="379">
        <v>1026.6500000000001</v>
      </c>
      <c r="L1196" s="379"/>
      <c r="M1196" s="379"/>
      <c r="N1196" s="379"/>
      <c r="O1196" s="379">
        <v>408</v>
      </c>
      <c r="P1196" s="379"/>
      <c r="Q1196" s="379"/>
      <c r="R1196" s="379"/>
      <c r="S1196" s="379">
        <v>11840.64</v>
      </c>
      <c r="T1196" s="379">
        <v>990.22</v>
      </c>
      <c r="U1196" s="379"/>
      <c r="V1196" s="380">
        <v>14715.51</v>
      </c>
      <c r="W1196" s="381">
        <v>3.468</v>
      </c>
      <c r="X1196" s="379"/>
      <c r="Y1196" s="379"/>
      <c r="Z1196" s="379">
        <v>9991001</v>
      </c>
      <c r="AA1196" s="379" t="s">
        <v>2496</v>
      </c>
      <c r="AB1196" s="380">
        <f t="shared" si="17"/>
        <v>0.28899999999999998</v>
      </c>
    </row>
    <row r="1197" spans="1:28" outlineLevel="2" x14ac:dyDescent="0.3">
      <c r="A1197" s="379">
        <v>432</v>
      </c>
      <c r="B1197" s="379">
        <v>990000</v>
      </c>
      <c r="C1197" s="379" t="s">
        <v>1699</v>
      </c>
      <c r="D1197" s="379">
        <v>4944044</v>
      </c>
      <c r="E1197" s="379" t="s">
        <v>3072</v>
      </c>
      <c r="F1197" s="379" t="s">
        <v>2958</v>
      </c>
      <c r="G1197" s="383">
        <v>28157</v>
      </c>
      <c r="H1197" s="379">
        <v>87807.62</v>
      </c>
      <c r="I1197" s="379"/>
      <c r="J1197" s="379"/>
      <c r="K1197" s="379">
        <v>6585.5</v>
      </c>
      <c r="L1197" s="379"/>
      <c r="M1197" s="379"/>
      <c r="N1197" s="379"/>
      <c r="O1197" s="379"/>
      <c r="P1197" s="379">
        <v>12555.96</v>
      </c>
      <c r="Q1197" s="379"/>
      <c r="R1197" s="379"/>
      <c r="S1197" s="379">
        <v>69395.56</v>
      </c>
      <c r="T1197" s="379">
        <v>5406.1</v>
      </c>
      <c r="U1197" s="379"/>
      <c r="V1197" s="380">
        <v>94393.12</v>
      </c>
      <c r="W1197" s="381">
        <v>8.4</v>
      </c>
      <c r="X1197" s="379"/>
      <c r="Y1197" s="379"/>
      <c r="Z1197" s="379">
        <v>9991001</v>
      </c>
      <c r="AA1197" s="379" t="s">
        <v>2496</v>
      </c>
      <c r="AB1197" s="380">
        <f t="shared" si="17"/>
        <v>0.70000000000000007</v>
      </c>
    </row>
    <row r="1198" spans="1:28" outlineLevel="2" x14ac:dyDescent="0.3">
      <c r="A1198" s="379">
        <v>432</v>
      </c>
      <c r="B1198" s="379">
        <v>990000</v>
      </c>
      <c r="C1198" s="379" t="s">
        <v>1699</v>
      </c>
      <c r="D1198" s="379">
        <v>4949305</v>
      </c>
      <c r="E1198" s="379" t="s">
        <v>3291</v>
      </c>
      <c r="F1198" s="379" t="s">
        <v>2711</v>
      </c>
      <c r="G1198" s="383">
        <v>28095</v>
      </c>
      <c r="H1198" s="379">
        <v>75229.83</v>
      </c>
      <c r="I1198" s="379"/>
      <c r="J1198" s="379"/>
      <c r="K1198" s="379">
        <v>5642.35</v>
      </c>
      <c r="L1198" s="379"/>
      <c r="M1198" s="379"/>
      <c r="N1198" s="379"/>
      <c r="O1198" s="379">
        <v>6686.4</v>
      </c>
      <c r="P1198" s="379"/>
      <c r="Q1198" s="379"/>
      <c r="R1198" s="379"/>
      <c r="S1198" s="379">
        <v>62687.33</v>
      </c>
      <c r="T1198" s="379">
        <v>5406.1</v>
      </c>
      <c r="U1198" s="379"/>
      <c r="V1198" s="380">
        <v>80872.179999999993</v>
      </c>
      <c r="W1198" s="381">
        <v>8.4</v>
      </c>
      <c r="X1198" s="379"/>
      <c r="Y1198" s="379"/>
      <c r="Z1198" s="379">
        <v>9991001</v>
      </c>
      <c r="AA1198" s="379" t="s">
        <v>2496</v>
      </c>
      <c r="AB1198" s="380">
        <f t="shared" si="17"/>
        <v>0.70000000000000007</v>
      </c>
    </row>
    <row r="1199" spans="1:28" outlineLevel="2" x14ac:dyDescent="0.3">
      <c r="A1199" s="379">
        <v>432</v>
      </c>
      <c r="B1199" s="379">
        <v>990000</v>
      </c>
      <c r="C1199" s="379" t="s">
        <v>1699</v>
      </c>
      <c r="D1199" s="379">
        <v>4977311</v>
      </c>
      <c r="E1199" s="379" t="s">
        <v>3322</v>
      </c>
      <c r="F1199" s="379" t="s">
        <v>2856</v>
      </c>
      <c r="G1199" s="383">
        <v>41000</v>
      </c>
      <c r="H1199" s="379">
        <v>171884.4</v>
      </c>
      <c r="I1199" s="379"/>
      <c r="J1199" s="379"/>
      <c r="K1199" s="379">
        <v>33.75</v>
      </c>
      <c r="L1199" s="379"/>
      <c r="M1199" s="379"/>
      <c r="N1199" s="379"/>
      <c r="O1199" s="379"/>
      <c r="P1199" s="379"/>
      <c r="Q1199" s="379"/>
      <c r="R1199" s="379"/>
      <c r="S1199" s="379">
        <v>171434.4</v>
      </c>
      <c r="T1199" s="379"/>
      <c r="U1199" s="379"/>
      <c r="V1199" s="380">
        <v>171918.15</v>
      </c>
      <c r="W1199" s="381">
        <v>3.8879999999999999</v>
      </c>
      <c r="X1199" s="379"/>
      <c r="Y1199" s="379"/>
      <c r="Z1199" s="379">
        <v>9991001</v>
      </c>
      <c r="AA1199" s="379" t="s">
        <v>2496</v>
      </c>
      <c r="AB1199" s="380">
        <f t="shared" si="17"/>
        <v>0.32400000000000001</v>
      </c>
    </row>
    <row r="1200" spans="1:28" outlineLevel="2" x14ac:dyDescent="0.3">
      <c r="A1200" s="379">
        <v>432</v>
      </c>
      <c r="B1200" s="379">
        <v>990000</v>
      </c>
      <c r="C1200" s="379" t="s">
        <v>1699</v>
      </c>
      <c r="D1200" s="379">
        <v>4995421</v>
      </c>
      <c r="E1200" s="379" t="s">
        <v>2554</v>
      </c>
      <c r="F1200" s="379" t="s">
        <v>3323</v>
      </c>
      <c r="G1200" s="383">
        <v>39783</v>
      </c>
      <c r="H1200" s="379">
        <v>54996.69</v>
      </c>
      <c r="I1200" s="379"/>
      <c r="J1200" s="379"/>
      <c r="K1200" s="379">
        <v>33.75</v>
      </c>
      <c r="L1200" s="379"/>
      <c r="M1200" s="379"/>
      <c r="N1200" s="379"/>
      <c r="O1200" s="379"/>
      <c r="P1200" s="379">
        <v>4827.96</v>
      </c>
      <c r="Q1200" s="379"/>
      <c r="R1200" s="379"/>
      <c r="S1200" s="379">
        <v>46475.07</v>
      </c>
      <c r="T1200" s="379">
        <v>3243.66</v>
      </c>
      <c r="U1200" s="379"/>
      <c r="V1200" s="380">
        <v>55030.44</v>
      </c>
      <c r="W1200" s="381">
        <v>5.04</v>
      </c>
      <c r="X1200" s="379"/>
      <c r="Y1200" s="379"/>
      <c r="Z1200" s="379">
        <v>9991001</v>
      </c>
      <c r="AA1200" s="379" t="s">
        <v>2496</v>
      </c>
      <c r="AB1200" s="380">
        <f t="shared" si="17"/>
        <v>0.42</v>
      </c>
    </row>
    <row r="1201" spans="1:28" outlineLevel="2" x14ac:dyDescent="0.3">
      <c r="A1201" s="379">
        <v>432</v>
      </c>
      <c r="B1201" s="379">
        <v>990000</v>
      </c>
      <c r="C1201" s="379" t="s">
        <v>1699</v>
      </c>
      <c r="D1201" s="379">
        <v>5018916</v>
      </c>
      <c r="E1201" s="379" t="s">
        <v>3324</v>
      </c>
      <c r="F1201" s="379" t="s">
        <v>2591</v>
      </c>
      <c r="G1201" s="383">
        <v>43435</v>
      </c>
      <c r="H1201" s="379">
        <v>45255.96</v>
      </c>
      <c r="I1201" s="379"/>
      <c r="J1201" s="379"/>
      <c r="K1201" s="379">
        <v>3394.1</v>
      </c>
      <c r="L1201" s="379"/>
      <c r="M1201" s="379"/>
      <c r="N1201" s="379"/>
      <c r="O1201" s="379">
        <v>36988.68</v>
      </c>
      <c r="P1201" s="379"/>
      <c r="Q1201" s="379">
        <v>165</v>
      </c>
      <c r="R1201" s="379"/>
      <c r="S1201" s="379">
        <v>7548.6</v>
      </c>
      <c r="T1201" s="379">
        <v>103.68</v>
      </c>
      <c r="U1201" s="379"/>
      <c r="V1201" s="380">
        <v>48650.06</v>
      </c>
      <c r="W1201" s="381">
        <v>3.3959999999999999</v>
      </c>
      <c r="X1201" s="379"/>
      <c r="Y1201" s="379"/>
      <c r="Z1201" s="379">
        <v>9991001</v>
      </c>
      <c r="AA1201" s="379" t="s">
        <v>2496</v>
      </c>
      <c r="AB1201" s="380">
        <f t="shared" si="17"/>
        <v>0.28299999999999997</v>
      </c>
    </row>
    <row r="1202" spans="1:28" outlineLevel="2" x14ac:dyDescent="0.3">
      <c r="A1202" s="379">
        <v>432</v>
      </c>
      <c r="B1202" s="379">
        <v>990000</v>
      </c>
      <c r="C1202" s="379" t="s">
        <v>1699</v>
      </c>
      <c r="D1202" s="379">
        <v>5031520</v>
      </c>
      <c r="E1202" s="379" t="s">
        <v>3325</v>
      </c>
      <c r="F1202" s="379" t="s">
        <v>2643</v>
      </c>
      <c r="G1202" s="383">
        <v>27820</v>
      </c>
      <c r="H1202" s="379">
        <v>80699.649999999994</v>
      </c>
      <c r="I1202" s="379"/>
      <c r="J1202" s="379"/>
      <c r="K1202" s="379">
        <v>6052.6</v>
      </c>
      <c r="L1202" s="379"/>
      <c r="M1202" s="379"/>
      <c r="N1202" s="379"/>
      <c r="O1202" s="379"/>
      <c r="P1202" s="379"/>
      <c r="Q1202" s="379"/>
      <c r="R1202" s="379"/>
      <c r="S1202" s="379">
        <v>74843.55</v>
      </c>
      <c r="T1202" s="379">
        <v>5406.1</v>
      </c>
      <c r="U1202" s="379"/>
      <c r="V1202" s="380">
        <v>86752.25</v>
      </c>
      <c r="W1202" s="381">
        <v>8.4</v>
      </c>
      <c r="X1202" s="379"/>
      <c r="Y1202" s="379"/>
      <c r="Z1202" s="379">
        <v>9991001</v>
      </c>
      <c r="AA1202" s="379" t="s">
        <v>2496</v>
      </c>
      <c r="AB1202" s="380">
        <f t="shared" si="17"/>
        <v>0.70000000000000007</v>
      </c>
    </row>
    <row r="1203" spans="1:28" outlineLevel="2" x14ac:dyDescent="0.3">
      <c r="A1203" s="379">
        <v>432</v>
      </c>
      <c r="B1203" s="379">
        <v>990000</v>
      </c>
      <c r="C1203" s="379" t="s">
        <v>1699</v>
      </c>
      <c r="D1203" s="379">
        <v>5040582</v>
      </c>
      <c r="E1203" s="379" t="s">
        <v>3326</v>
      </c>
      <c r="F1203" s="379" t="s">
        <v>3327</v>
      </c>
      <c r="G1203" s="383">
        <v>30072</v>
      </c>
      <c r="H1203" s="379">
        <v>56177.54</v>
      </c>
      <c r="I1203" s="379"/>
      <c r="J1203" s="379"/>
      <c r="K1203" s="379">
        <v>4213.5</v>
      </c>
      <c r="L1203" s="379"/>
      <c r="M1203" s="379"/>
      <c r="N1203" s="379"/>
      <c r="O1203" s="379">
        <v>474</v>
      </c>
      <c r="P1203" s="379">
        <v>7108.2</v>
      </c>
      <c r="Q1203" s="379"/>
      <c r="R1203" s="379"/>
      <c r="S1203" s="379">
        <v>46087</v>
      </c>
      <c r="T1203" s="379">
        <v>2058.34</v>
      </c>
      <c r="U1203" s="379"/>
      <c r="V1203" s="380">
        <v>60391.040000000001</v>
      </c>
      <c r="W1203" s="381">
        <v>4.5359999999999996</v>
      </c>
      <c r="X1203" s="379"/>
      <c r="Y1203" s="379"/>
      <c r="Z1203" s="379">
        <v>9991001</v>
      </c>
      <c r="AA1203" s="379" t="s">
        <v>2496</v>
      </c>
      <c r="AB1203" s="380">
        <f t="shared" si="17"/>
        <v>0.37799999999999995</v>
      </c>
    </row>
    <row r="1204" spans="1:28" outlineLevel="2" x14ac:dyDescent="0.3">
      <c r="A1204" s="379">
        <v>432</v>
      </c>
      <c r="B1204" s="379">
        <v>990000</v>
      </c>
      <c r="C1204" s="379" t="s">
        <v>1699</v>
      </c>
      <c r="D1204" s="379">
        <v>5080082</v>
      </c>
      <c r="E1204" s="379" t="s">
        <v>3328</v>
      </c>
      <c r="F1204" s="379" t="s">
        <v>3226</v>
      </c>
      <c r="G1204" s="383">
        <v>25447</v>
      </c>
      <c r="H1204" s="379">
        <v>70908.11</v>
      </c>
      <c r="I1204" s="379"/>
      <c r="J1204" s="379"/>
      <c r="K1204" s="379">
        <v>5317.95</v>
      </c>
      <c r="L1204" s="379"/>
      <c r="M1204" s="379"/>
      <c r="N1204" s="379"/>
      <c r="O1204" s="379"/>
      <c r="P1204" s="379"/>
      <c r="Q1204" s="379"/>
      <c r="R1204" s="379"/>
      <c r="S1204" s="379">
        <v>65052.01</v>
      </c>
      <c r="T1204" s="379">
        <v>5406.1</v>
      </c>
      <c r="U1204" s="379"/>
      <c r="V1204" s="380">
        <v>76226.06</v>
      </c>
      <c r="W1204" s="381">
        <v>8.4</v>
      </c>
      <c r="X1204" s="379"/>
      <c r="Y1204" s="379"/>
      <c r="Z1204" s="379">
        <v>9991001</v>
      </c>
      <c r="AA1204" s="379" t="s">
        <v>2496</v>
      </c>
      <c r="AB1204" s="380">
        <f t="shared" si="17"/>
        <v>0.70000000000000007</v>
      </c>
    </row>
    <row r="1205" spans="1:28" outlineLevel="2" x14ac:dyDescent="0.3">
      <c r="A1205" s="379">
        <v>432</v>
      </c>
      <c r="B1205" s="379">
        <v>990000</v>
      </c>
      <c r="C1205" s="379" t="s">
        <v>1699</v>
      </c>
      <c r="D1205" s="379">
        <v>5125416</v>
      </c>
      <c r="E1205" s="379" t="s">
        <v>3192</v>
      </c>
      <c r="F1205" s="379" t="s">
        <v>2361</v>
      </c>
      <c r="G1205" s="383">
        <v>29618</v>
      </c>
      <c r="H1205" s="379">
        <v>89548.15</v>
      </c>
      <c r="I1205" s="379"/>
      <c r="J1205" s="379"/>
      <c r="K1205" s="379">
        <v>6715.95</v>
      </c>
      <c r="L1205" s="379"/>
      <c r="M1205" s="379"/>
      <c r="N1205" s="379"/>
      <c r="O1205" s="379"/>
      <c r="P1205" s="379"/>
      <c r="Q1205" s="379"/>
      <c r="R1205" s="379"/>
      <c r="S1205" s="379">
        <v>85893.1</v>
      </c>
      <c r="T1205" s="379">
        <v>3205.05</v>
      </c>
      <c r="U1205" s="379"/>
      <c r="V1205" s="380">
        <v>96264.1</v>
      </c>
      <c r="W1205" s="381">
        <v>7.44</v>
      </c>
      <c r="X1205" s="379"/>
      <c r="Y1205" s="379"/>
      <c r="Z1205" s="379">
        <v>9991001</v>
      </c>
      <c r="AA1205" s="379" t="s">
        <v>2496</v>
      </c>
      <c r="AB1205" s="380">
        <f t="shared" si="17"/>
        <v>0.62</v>
      </c>
    </row>
    <row r="1206" spans="1:28" outlineLevel="2" x14ac:dyDescent="0.3">
      <c r="A1206" s="379">
        <v>432</v>
      </c>
      <c r="B1206" s="379">
        <v>990000</v>
      </c>
      <c r="C1206" s="379" t="s">
        <v>1699</v>
      </c>
      <c r="D1206" s="379">
        <v>5143220</v>
      </c>
      <c r="E1206" s="379" t="s">
        <v>3329</v>
      </c>
      <c r="F1206" s="379" t="s">
        <v>2554</v>
      </c>
      <c r="G1206" s="383">
        <v>28216</v>
      </c>
      <c r="H1206" s="379">
        <v>66625.34</v>
      </c>
      <c r="I1206" s="379"/>
      <c r="J1206" s="379"/>
      <c r="K1206" s="379">
        <v>4996.95</v>
      </c>
      <c r="L1206" s="379"/>
      <c r="M1206" s="379"/>
      <c r="N1206" s="379"/>
      <c r="O1206" s="379"/>
      <c r="P1206" s="379"/>
      <c r="Q1206" s="379"/>
      <c r="R1206" s="379"/>
      <c r="S1206" s="379">
        <v>60769.24</v>
      </c>
      <c r="T1206" s="379">
        <v>5406.1</v>
      </c>
      <c r="U1206" s="379"/>
      <c r="V1206" s="380">
        <v>71622.289999999994</v>
      </c>
      <c r="W1206" s="381">
        <v>8.4</v>
      </c>
      <c r="X1206" s="379"/>
      <c r="Y1206" s="379"/>
      <c r="Z1206" s="379">
        <v>9991001</v>
      </c>
      <c r="AA1206" s="379" t="s">
        <v>2496</v>
      </c>
      <c r="AB1206" s="380">
        <f t="shared" si="17"/>
        <v>0.70000000000000007</v>
      </c>
    </row>
    <row r="1207" spans="1:28" outlineLevel="2" x14ac:dyDescent="0.3">
      <c r="A1207" s="379">
        <v>432</v>
      </c>
      <c r="B1207" s="379">
        <v>990000</v>
      </c>
      <c r="C1207" s="379" t="s">
        <v>1699</v>
      </c>
      <c r="D1207" s="379">
        <v>5143836</v>
      </c>
      <c r="E1207" s="379" t="s">
        <v>3330</v>
      </c>
      <c r="F1207" s="379" t="s">
        <v>2525</v>
      </c>
      <c r="G1207" s="383">
        <v>28216</v>
      </c>
      <c r="H1207" s="379">
        <v>95381.4</v>
      </c>
      <c r="I1207" s="379"/>
      <c r="J1207" s="379"/>
      <c r="K1207" s="379">
        <v>7153.6</v>
      </c>
      <c r="L1207" s="379"/>
      <c r="M1207" s="379"/>
      <c r="N1207" s="379"/>
      <c r="O1207" s="379"/>
      <c r="P1207" s="379"/>
      <c r="Q1207" s="379"/>
      <c r="R1207" s="379"/>
      <c r="S1207" s="379">
        <v>90229.56</v>
      </c>
      <c r="T1207" s="379">
        <v>4701.84</v>
      </c>
      <c r="U1207" s="379"/>
      <c r="V1207" s="380">
        <v>102535</v>
      </c>
      <c r="W1207" s="381">
        <v>7.92</v>
      </c>
      <c r="X1207" s="379"/>
      <c r="Y1207" s="379"/>
      <c r="Z1207" s="379">
        <v>9991001</v>
      </c>
      <c r="AA1207" s="379" t="s">
        <v>2496</v>
      </c>
      <c r="AB1207" s="380">
        <f t="shared" si="17"/>
        <v>0.66</v>
      </c>
    </row>
    <row r="1208" spans="1:28" outlineLevel="2" x14ac:dyDescent="0.3">
      <c r="A1208" s="379">
        <v>432</v>
      </c>
      <c r="B1208" s="379">
        <v>990000</v>
      </c>
      <c r="C1208" s="379" t="s">
        <v>1699</v>
      </c>
      <c r="D1208" s="379">
        <v>5144685</v>
      </c>
      <c r="E1208" s="379" t="s">
        <v>3331</v>
      </c>
      <c r="F1208" s="379" t="s">
        <v>3332</v>
      </c>
      <c r="G1208" s="383">
        <v>32112</v>
      </c>
      <c r="H1208" s="379">
        <v>52978.47</v>
      </c>
      <c r="I1208" s="379"/>
      <c r="J1208" s="379"/>
      <c r="K1208" s="379">
        <v>3973.3</v>
      </c>
      <c r="L1208" s="379"/>
      <c r="M1208" s="379"/>
      <c r="N1208" s="379"/>
      <c r="O1208" s="379"/>
      <c r="P1208" s="379"/>
      <c r="Q1208" s="379"/>
      <c r="R1208" s="379"/>
      <c r="S1208" s="379">
        <v>48072.3</v>
      </c>
      <c r="T1208" s="379">
        <v>4456.17</v>
      </c>
      <c r="U1208" s="379"/>
      <c r="V1208" s="380">
        <v>56951.77</v>
      </c>
      <c r="W1208" s="381">
        <v>7.44</v>
      </c>
      <c r="X1208" s="379"/>
      <c r="Y1208" s="379"/>
      <c r="Z1208" s="379">
        <v>9991001</v>
      </c>
      <c r="AA1208" s="379" t="s">
        <v>2496</v>
      </c>
      <c r="AB1208" s="380">
        <f t="shared" si="17"/>
        <v>0.62</v>
      </c>
    </row>
    <row r="1209" spans="1:28" outlineLevel="2" x14ac:dyDescent="0.3">
      <c r="A1209" s="379">
        <v>432</v>
      </c>
      <c r="B1209" s="379">
        <v>990000</v>
      </c>
      <c r="C1209" s="379" t="s">
        <v>1699</v>
      </c>
      <c r="D1209" s="379">
        <v>5144926</v>
      </c>
      <c r="E1209" s="379" t="s">
        <v>2521</v>
      </c>
      <c r="F1209" s="379" t="s">
        <v>2522</v>
      </c>
      <c r="G1209" s="383">
        <v>28976</v>
      </c>
      <c r="H1209" s="379">
        <v>23639.17</v>
      </c>
      <c r="I1209" s="379"/>
      <c r="J1209" s="379"/>
      <c r="K1209" s="379">
        <v>1652.12</v>
      </c>
      <c r="L1209" s="379"/>
      <c r="M1209" s="379"/>
      <c r="N1209" s="379"/>
      <c r="O1209" s="379"/>
      <c r="P1209" s="379"/>
      <c r="Q1209" s="379"/>
      <c r="R1209" s="379"/>
      <c r="S1209" s="379">
        <v>23639.17</v>
      </c>
      <c r="T1209" s="379"/>
      <c r="U1209" s="379"/>
      <c r="V1209" s="380">
        <v>25291.29</v>
      </c>
      <c r="W1209" s="381">
        <v>2.8</v>
      </c>
      <c r="X1209" s="379"/>
      <c r="Y1209" s="379"/>
      <c r="Z1209" s="379">
        <v>9991001</v>
      </c>
      <c r="AA1209" s="379" t="s">
        <v>2496</v>
      </c>
      <c r="AB1209" s="380">
        <f t="shared" si="17"/>
        <v>0.23333333333333331</v>
      </c>
    </row>
    <row r="1210" spans="1:28" outlineLevel="2" x14ac:dyDescent="0.3">
      <c r="A1210" s="379">
        <v>432</v>
      </c>
      <c r="B1210" s="379">
        <v>990000</v>
      </c>
      <c r="C1210" s="379" t="s">
        <v>1699</v>
      </c>
      <c r="D1210" s="379">
        <v>5144977</v>
      </c>
      <c r="E1210" s="379" t="s">
        <v>2661</v>
      </c>
      <c r="F1210" s="379" t="s">
        <v>2644</v>
      </c>
      <c r="G1210" s="383">
        <v>28491</v>
      </c>
      <c r="H1210" s="379">
        <v>72499.42</v>
      </c>
      <c r="I1210" s="379"/>
      <c r="J1210" s="379"/>
      <c r="K1210" s="379">
        <v>5437.55</v>
      </c>
      <c r="L1210" s="379"/>
      <c r="M1210" s="379"/>
      <c r="N1210" s="379"/>
      <c r="O1210" s="379">
        <v>6495.36</v>
      </c>
      <c r="P1210" s="379"/>
      <c r="Q1210" s="379"/>
      <c r="R1210" s="379"/>
      <c r="S1210" s="379">
        <v>60302.42</v>
      </c>
      <c r="T1210" s="379">
        <v>5251.64</v>
      </c>
      <c r="U1210" s="379"/>
      <c r="V1210" s="380">
        <v>77936.97</v>
      </c>
      <c r="W1210" s="381">
        <v>8.16</v>
      </c>
      <c r="X1210" s="379"/>
      <c r="Y1210" s="379"/>
      <c r="Z1210" s="379">
        <v>9991001</v>
      </c>
      <c r="AA1210" s="379" t="s">
        <v>2496</v>
      </c>
      <c r="AB1210" s="380">
        <f t="shared" si="17"/>
        <v>0.68</v>
      </c>
    </row>
    <row r="1211" spans="1:28" outlineLevel="2" x14ac:dyDescent="0.3">
      <c r="A1211" s="379">
        <v>432</v>
      </c>
      <c r="B1211" s="379">
        <v>990000</v>
      </c>
      <c r="C1211" s="379" t="s">
        <v>1699</v>
      </c>
      <c r="D1211" s="379">
        <v>5145580</v>
      </c>
      <c r="E1211" s="379" t="s">
        <v>970</v>
      </c>
      <c r="F1211" s="379" t="s">
        <v>2771</v>
      </c>
      <c r="G1211" s="383">
        <v>34486</v>
      </c>
      <c r="H1211" s="379">
        <v>17180.099999999999</v>
      </c>
      <c r="I1211" s="379"/>
      <c r="J1211" s="379"/>
      <c r="K1211" s="379">
        <v>1288.6500000000001</v>
      </c>
      <c r="L1211" s="379"/>
      <c r="M1211" s="379"/>
      <c r="N1211" s="379"/>
      <c r="O1211" s="379"/>
      <c r="P1211" s="379"/>
      <c r="Q1211" s="379"/>
      <c r="R1211" s="379"/>
      <c r="S1211" s="379">
        <v>15264.33</v>
      </c>
      <c r="T1211" s="379">
        <v>1465.77</v>
      </c>
      <c r="U1211" s="379"/>
      <c r="V1211" s="380">
        <v>18468.75</v>
      </c>
      <c r="W1211" s="381">
        <v>5.2560000000000002</v>
      </c>
      <c r="X1211" s="379"/>
      <c r="Y1211" s="379"/>
      <c r="Z1211" s="379">
        <v>9991001</v>
      </c>
      <c r="AA1211" s="379" t="s">
        <v>2496</v>
      </c>
      <c r="AB1211" s="380">
        <f t="shared" si="17"/>
        <v>0.438</v>
      </c>
    </row>
    <row r="1212" spans="1:28" outlineLevel="2" x14ac:dyDescent="0.3">
      <c r="A1212" s="379">
        <v>432</v>
      </c>
      <c r="B1212" s="379">
        <v>990000</v>
      </c>
      <c r="C1212" s="379" t="s">
        <v>1699</v>
      </c>
      <c r="D1212" s="379">
        <v>5146455</v>
      </c>
      <c r="E1212" s="379" t="s">
        <v>3333</v>
      </c>
      <c r="F1212" s="379" t="s">
        <v>3334</v>
      </c>
      <c r="G1212" s="383">
        <v>27089</v>
      </c>
      <c r="H1212" s="379">
        <v>128319.96</v>
      </c>
      <c r="I1212" s="379"/>
      <c r="J1212" s="379"/>
      <c r="K1212" s="379">
        <v>9623.9500000000007</v>
      </c>
      <c r="L1212" s="379"/>
      <c r="M1212" s="379"/>
      <c r="N1212" s="379"/>
      <c r="O1212" s="379"/>
      <c r="P1212" s="379">
        <v>24061.68</v>
      </c>
      <c r="Q1212" s="379"/>
      <c r="R1212" s="379"/>
      <c r="S1212" s="379">
        <v>98479.41</v>
      </c>
      <c r="T1212" s="379">
        <v>5328.87</v>
      </c>
      <c r="U1212" s="379"/>
      <c r="V1212" s="380">
        <v>137943.91</v>
      </c>
      <c r="W1212" s="381">
        <v>8.2799999999999994</v>
      </c>
      <c r="X1212" s="379"/>
      <c r="Y1212" s="379"/>
      <c r="Z1212" s="379">
        <v>1122011</v>
      </c>
      <c r="AA1212" s="379" t="s">
        <v>3335</v>
      </c>
      <c r="AB1212" s="380">
        <f t="shared" si="17"/>
        <v>0.69</v>
      </c>
    </row>
    <row r="1213" spans="1:28" outlineLevel="2" x14ac:dyDescent="0.3">
      <c r="A1213" s="379">
        <v>432</v>
      </c>
      <c r="B1213" s="379">
        <v>990000</v>
      </c>
      <c r="C1213" s="379" t="s">
        <v>1699</v>
      </c>
      <c r="D1213" s="379">
        <v>5178066</v>
      </c>
      <c r="E1213" s="379" t="s">
        <v>3336</v>
      </c>
      <c r="F1213" s="379" t="s">
        <v>2450</v>
      </c>
      <c r="G1213" s="383">
        <v>33390</v>
      </c>
      <c r="H1213" s="379">
        <v>34415.660000000003</v>
      </c>
      <c r="I1213" s="379">
        <v>-2845.15</v>
      </c>
      <c r="J1213" s="379"/>
      <c r="K1213" s="379">
        <v>2581.15</v>
      </c>
      <c r="L1213" s="379"/>
      <c r="M1213" s="379"/>
      <c r="N1213" s="379"/>
      <c r="O1213" s="379">
        <v>1308</v>
      </c>
      <c r="P1213" s="379"/>
      <c r="Q1213" s="379"/>
      <c r="R1213" s="379"/>
      <c r="S1213" s="379">
        <v>30164.26</v>
      </c>
      <c r="T1213" s="379">
        <v>2493.4</v>
      </c>
      <c r="U1213" s="379"/>
      <c r="V1213" s="380">
        <v>34151.660000000003</v>
      </c>
      <c r="W1213" s="381">
        <v>6.2759999999999998</v>
      </c>
      <c r="X1213" s="379"/>
      <c r="Y1213" s="379"/>
      <c r="Z1213" s="379">
        <v>9991001</v>
      </c>
      <c r="AA1213" s="379" t="s">
        <v>2496</v>
      </c>
      <c r="AB1213" s="380">
        <f t="shared" si="17"/>
        <v>0.52300000000000002</v>
      </c>
    </row>
    <row r="1214" spans="1:28" outlineLevel="2" x14ac:dyDescent="0.3">
      <c r="A1214" s="379">
        <v>432</v>
      </c>
      <c r="B1214" s="379">
        <v>990000</v>
      </c>
      <c r="C1214" s="379" t="s">
        <v>1699</v>
      </c>
      <c r="D1214" s="379">
        <v>5178908</v>
      </c>
      <c r="E1214" s="379" t="s">
        <v>3230</v>
      </c>
      <c r="F1214" s="379" t="s">
        <v>2478</v>
      </c>
      <c r="G1214" s="383">
        <v>32021</v>
      </c>
      <c r="H1214" s="379">
        <v>70612.77</v>
      </c>
      <c r="I1214" s="379"/>
      <c r="J1214" s="379"/>
      <c r="K1214" s="379">
        <v>5295.9</v>
      </c>
      <c r="L1214" s="379"/>
      <c r="M1214" s="379"/>
      <c r="N1214" s="379"/>
      <c r="O1214" s="379"/>
      <c r="P1214" s="379"/>
      <c r="Q1214" s="379"/>
      <c r="R1214" s="379"/>
      <c r="S1214" s="379">
        <v>65181.43</v>
      </c>
      <c r="T1214" s="379">
        <v>4981.34</v>
      </c>
      <c r="U1214" s="379"/>
      <c r="V1214" s="380">
        <v>75908.67</v>
      </c>
      <c r="W1214" s="381">
        <v>7.74</v>
      </c>
      <c r="X1214" s="379"/>
      <c r="Y1214" s="379"/>
      <c r="Z1214" s="379">
        <v>9991001</v>
      </c>
      <c r="AA1214" s="379" t="s">
        <v>2496</v>
      </c>
      <c r="AB1214" s="380">
        <f t="shared" si="17"/>
        <v>0.64500000000000002</v>
      </c>
    </row>
    <row r="1215" spans="1:28" outlineLevel="2" x14ac:dyDescent="0.3">
      <c r="A1215" s="379">
        <v>432</v>
      </c>
      <c r="B1215" s="379">
        <v>990000</v>
      </c>
      <c r="C1215" s="379" t="s">
        <v>1699</v>
      </c>
      <c r="D1215" s="379">
        <v>5179079</v>
      </c>
      <c r="E1215" s="379" t="s">
        <v>3337</v>
      </c>
      <c r="F1215" s="379" t="s">
        <v>3338</v>
      </c>
      <c r="G1215" s="383">
        <v>34304</v>
      </c>
      <c r="H1215" s="379">
        <v>80879.100000000006</v>
      </c>
      <c r="I1215" s="379"/>
      <c r="J1215" s="379"/>
      <c r="K1215" s="379">
        <v>6066.1</v>
      </c>
      <c r="L1215" s="379"/>
      <c r="M1215" s="379"/>
      <c r="N1215" s="379"/>
      <c r="O1215" s="379"/>
      <c r="P1215" s="379"/>
      <c r="Q1215" s="379"/>
      <c r="R1215" s="379"/>
      <c r="S1215" s="379">
        <v>80429.100000000006</v>
      </c>
      <c r="T1215" s="379"/>
      <c r="U1215" s="379"/>
      <c r="V1215" s="380">
        <v>86945.2</v>
      </c>
      <c r="W1215" s="381">
        <v>1.92</v>
      </c>
      <c r="X1215" s="379"/>
      <c r="Y1215" s="379"/>
      <c r="Z1215" s="379">
        <v>9991001</v>
      </c>
      <c r="AA1215" s="379" t="s">
        <v>2496</v>
      </c>
      <c r="AB1215" s="380">
        <f t="shared" si="17"/>
        <v>0.16</v>
      </c>
    </row>
    <row r="1216" spans="1:28" outlineLevel="2" x14ac:dyDescent="0.3">
      <c r="A1216" s="379">
        <v>432</v>
      </c>
      <c r="B1216" s="379">
        <v>990000</v>
      </c>
      <c r="C1216" s="379" t="s">
        <v>1699</v>
      </c>
      <c r="D1216" s="379">
        <v>5183027</v>
      </c>
      <c r="E1216" s="379" t="s">
        <v>2457</v>
      </c>
      <c r="F1216" s="379" t="s">
        <v>2895</v>
      </c>
      <c r="G1216" s="383">
        <v>43191</v>
      </c>
      <c r="H1216" s="379">
        <v>39800.07</v>
      </c>
      <c r="I1216" s="379"/>
      <c r="J1216" s="379"/>
      <c r="K1216" s="379">
        <v>34.85</v>
      </c>
      <c r="L1216" s="379"/>
      <c r="M1216" s="379"/>
      <c r="N1216" s="379"/>
      <c r="O1216" s="379"/>
      <c r="P1216" s="379"/>
      <c r="Q1216" s="379"/>
      <c r="R1216" s="379"/>
      <c r="S1216" s="379">
        <v>36106.410000000003</v>
      </c>
      <c r="T1216" s="379">
        <v>3243.66</v>
      </c>
      <c r="U1216" s="379"/>
      <c r="V1216" s="380">
        <v>39834.92</v>
      </c>
      <c r="W1216" s="381">
        <v>5.04</v>
      </c>
      <c r="X1216" s="379"/>
      <c r="Y1216" s="379"/>
      <c r="Z1216" s="379">
        <v>9991001</v>
      </c>
      <c r="AA1216" s="379" t="s">
        <v>2496</v>
      </c>
      <c r="AB1216" s="380">
        <f t="shared" si="17"/>
        <v>0.42</v>
      </c>
    </row>
    <row r="1217" spans="1:28" outlineLevel="2" x14ac:dyDescent="0.3">
      <c r="A1217" s="379">
        <v>432</v>
      </c>
      <c r="B1217" s="379">
        <v>990000</v>
      </c>
      <c r="C1217" s="379" t="s">
        <v>1699</v>
      </c>
      <c r="D1217" s="379">
        <v>5278518</v>
      </c>
      <c r="E1217" s="379" t="s">
        <v>2465</v>
      </c>
      <c r="F1217" s="379" t="s">
        <v>2466</v>
      </c>
      <c r="G1217" s="383">
        <v>36434</v>
      </c>
      <c r="H1217" s="379">
        <v>9065.68</v>
      </c>
      <c r="I1217" s="379"/>
      <c r="J1217" s="379"/>
      <c r="K1217" s="379">
        <v>679.88</v>
      </c>
      <c r="L1217" s="379"/>
      <c r="M1217" s="379"/>
      <c r="N1217" s="379"/>
      <c r="O1217" s="379"/>
      <c r="P1217" s="379"/>
      <c r="Q1217" s="379"/>
      <c r="R1217" s="379"/>
      <c r="S1217" s="379">
        <v>9065.68</v>
      </c>
      <c r="T1217" s="379"/>
      <c r="U1217" s="379"/>
      <c r="V1217" s="380">
        <v>9745.56</v>
      </c>
      <c r="W1217" s="381">
        <v>1.6</v>
      </c>
      <c r="X1217" s="379"/>
      <c r="Y1217" s="379"/>
      <c r="Z1217" s="379">
        <v>9991001</v>
      </c>
      <c r="AA1217" s="379" t="s">
        <v>2496</v>
      </c>
      <c r="AB1217" s="380">
        <f t="shared" si="17"/>
        <v>0.13333333333333333</v>
      </c>
    </row>
    <row r="1218" spans="1:28" outlineLevel="2" x14ac:dyDescent="0.3">
      <c r="A1218" s="379">
        <v>432</v>
      </c>
      <c r="B1218" s="379">
        <v>990000</v>
      </c>
      <c r="C1218" s="379" t="s">
        <v>1699</v>
      </c>
      <c r="D1218" s="379">
        <v>5322903</v>
      </c>
      <c r="E1218" s="379" t="s">
        <v>2722</v>
      </c>
      <c r="F1218" s="379" t="s">
        <v>2644</v>
      </c>
      <c r="G1218" s="383">
        <v>30926</v>
      </c>
      <c r="H1218" s="379">
        <v>60806.55</v>
      </c>
      <c r="I1218" s="379"/>
      <c r="J1218" s="379"/>
      <c r="K1218" s="379">
        <v>4560.6000000000004</v>
      </c>
      <c r="L1218" s="379"/>
      <c r="M1218" s="379"/>
      <c r="N1218" s="379"/>
      <c r="O1218" s="379"/>
      <c r="P1218" s="379"/>
      <c r="Q1218" s="379"/>
      <c r="R1218" s="379"/>
      <c r="S1218" s="379">
        <v>55197.59</v>
      </c>
      <c r="T1218" s="379">
        <v>5158.96</v>
      </c>
      <c r="U1218" s="379"/>
      <c r="V1218" s="380">
        <v>65367.15</v>
      </c>
      <c r="W1218" s="381">
        <v>8.016</v>
      </c>
      <c r="X1218" s="379"/>
      <c r="Y1218" s="379"/>
      <c r="Z1218" s="379">
        <v>9991001</v>
      </c>
      <c r="AA1218" s="379" t="s">
        <v>2496</v>
      </c>
      <c r="AB1218" s="380">
        <f t="shared" si="17"/>
        <v>0.66800000000000004</v>
      </c>
    </row>
    <row r="1219" spans="1:28" outlineLevel="2" x14ac:dyDescent="0.3">
      <c r="A1219" s="379">
        <v>432</v>
      </c>
      <c r="B1219" s="379">
        <v>990000</v>
      </c>
      <c r="C1219" s="379" t="s">
        <v>1699</v>
      </c>
      <c r="D1219" s="379">
        <v>5323098</v>
      </c>
      <c r="E1219" s="379" t="s">
        <v>3339</v>
      </c>
      <c r="F1219" s="379" t="s">
        <v>3269</v>
      </c>
      <c r="G1219" s="383">
        <v>33359</v>
      </c>
      <c r="H1219" s="379">
        <v>13820.9</v>
      </c>
      <c r="I1219" s="379"/>
      <c r="J1219" s="379"/>
      <c r="K1219" s="379">
        <v>1036.4000000000001</v>
      </c>
      <c r="L1219" s="379"/>
      <c r="M1219" s="379"/>
      <c r="N1219" s="379"/>
      <c r="O1219" s="379"/>
      <c r="P1219" s="379"/>
      <c r="Q1219" s="379"/>
      <c r="R1219" s="379"/>
      <c r="S1219" s="379">
        <v>12275.04</v>
      </c>
      <c r="T1219" s="379">
        <v>1095.8599999999999</v>
      </c>
      <c r="U1219" s="379"/>
      <c r="V1219" s="380">
        <v>14857.3</v>
      </c>
      <c r="W1219" s="381">
        <v>4.2</v>
      </c>
      <c r="X1219" s="379"/>
      <c r="Y1219" s="379"/>
      <c r="Z1219" s="379">
        <v>9991001</v>
      </c>
      <c r="AA1219" s="379" t="s">
        <v>2496</v>
      </c>
      <c r="AB1219" s="380">
        <f t="shared" si="17"/>
        <v>0.35000000000000003</v>
      </c>
    </row>
    <row r="1220" spans="1:28" outlineLevel="2" x14ac:dyDescent="0.3">
      <c r="A1220" s="379">
        <v>432</v>
      </c>
      <c r="B1220" s="379">
        <v>990000</v>
      </c>
      <c r="C1220" s="379" t="s">
        <v>1699</v>
      </c>
      <c r="D1220" s="379">
        <v>5340631</v>
      </c>
      <c r="E1220" s="379" t="s">
        <v>3340</v>
      </c>
      <c r="F1220" s="379" t="s">
        <v>2366</v>
      </c>
      <c r="G1220" s="383">
        <v>28034</v>
      </c>
      <c r="H1220" s="379">
        <v>35307.269999999997</v>
      </c>
      <c r="I1220" s="379"/>
      <c r="J1220" s="379"/>
      <c r="K1220" s="379">
        <v>2648.05</v>
      </c>
      <c r="L1220" s="379"/>
      <c r="M1220" s="379"/>
      <c r="N1220" s="379"/>
      <c r="O1220" s="379"/>
      <c r="P1220" s="379"/>
      <c r="Q1220" s="379"/>
      <c r="R1220" s="379"/>
      <c r="S1220" s="379">
        <v>31798.959999999999</v>
      </c>
      <c r="T1220" s="379">
        <v>3058.31</v>
      </c>
      <c r="U1220" s="379"/>
      <c r="V1220" s="380">
        <v>37955.32</v>
      </c>
      <c r="W1220" s="381">
        <v>8.1839999999999993</v>
      </c>
      <c r="X1220" s="379"/>
      <c r="Y1220" s="379"/>
      <c r="Z1220" s="379">
        <v>9991001</v>
      </c>
      <c r="AA1220" s="379" t="s">
        <v>2496</v>
      </c>
      <c r="AB1220" s="380">
        <f t="shared" si="17"/>
        <v>0.68199999999999994</v>
      </c>
    </row>
    <row r="1221" spans="1:28" outlineLevel="2" x14ac:dyDescent="0.3">
      <c r="A1221" s="379">
        <v>432</v>
      </c>
      <c r="B1221" s="379">
        <v>990000</v>
      </c>
      <c r="C1221" s="379" t="s">
        <v>1699</v>
      </c>
      <c r="D1221" s="379">
        <v>5344314</v>
      </c>
      <c r="E1221" s="379" t="s">
        <v>3192</v>
      </c>
      <c r="F1221" s="379" t="s">
        <v>2366</v>
      </c>
      <c r="G1221" s="383">
        <v>33086</v>
      </c>
      <c r="H1221" s="379">
        <v>47727.73</v>
      </c>
      <c r="I1221" s="379"/>
      <c r="J1221" s="379"/>
      <c r="K1221" s="379">
        <v>3579.5</v>
      </c>
      <c r="L1221" s="379"/>
      <c r="M1221" s="379"/>
      <c r="N1221" s="379"/>
      <c r="O1221" s="379"/>
      <c r="P1221" s="379"/>
      <c r="Q1221" s="379"/>
      <c r="R1221" s="379"/>
      <c r="S1221" s="379">
        <v>44565.88</v>
      </c>
      <c r="T1221" s="379">
        <v>2711.85</v>
      </c>
      <c r="U1221" s="379"/>
      <c r="V1221" s="380">
        <v>51307.23</v>
      </c>
      <c r="W1221" s="381">
        <v>6.24</v>
      </c>
      <c r="X1221" s="379"/>
      <c r="Y1221" s="379"/>
      <c r="Z1221" s="379">
        <v>9991001</v>
      </c>
      <c r="AA1221" s="379" t="s">
        <v>2496</v>
      </c>
      <c r="AB1221" s="380">
        <f t="shared" si="17"/>
        <v>0.52</v>
      </c>
    </row>
    <row r="1222" spans="1:28" outlineLevel="2" x14ac:dyDescent="0.3">
      <c r="A1222" s="379">
        <v>432</v>
      </c>
      <c r="B1222" s="379">
        <v>990000</v>
      </c>
      <c r="C1222" s="379" t="s">
        <v>1699</v>
      </c>
      <c r="D1222" s="379">
        <v>5351814</v>
      </c>
      <c r="E1222" s="379" t="s">
        <v>2603</v>
      </c>
      <c r="F1222" s="379" t="s">
        <v>3341</v>
      </c>
      <c r="G1222" s="383">
        <v>30926</v>
      </c>
      <c r="H1222" s="379">
        <v>71273.63</v>
      </c>
      <c r="I1222" s="379"/>
      <c r="J1222" s="379"/>
      <c r="K1222" s="379">
        <v>5345.65</v>
      </c>
      <c r="L1222" s="379"/>
      <c r="M1222" s="379"/>
      <c r="N1222" s="379"/>
      <c r="O1222" s="379"/>
      <c r="P1222" s="379"/>
      <c r="Q1222" s="379"/>
      <c r="R1222" s="379"/>
      <c r="S1222" s="379">
        <v>65834.570000000007</v>
      </c>
      <c r="T1222" s="379">
        <v>4989.0600000000004</v>
      </c>
      <c r="U1222" s="379"/>
      <c r="V1222" s="380">
        <v>76619.28</v>
      </c>
      <c r="W1222" s="381">
        <v>8.0760000000000005</v>
      </c>
      <c r="X1222" s="379"/>
      <c r="Y1222" s="379"/>
      <c r="Z1222" s="379">
        <v>9991001</v>
      </c>
      <c r="AA1222" s="379" t="s">
        <v>2496</v>
      </c>
      <c r="AB1222" s="380">
        <f t="shared" si="17"/>
        <v>0.67300000000000004</v>
      </c>
    </row>
    <row r="1223" spans="1:28" outlineLevel="2" x14ac:dyDescent="0.3">
      <c r="A1223" s="379">
        <v>432</v>
      </c>
      <c r="B1223" s="379">
        <v>990000</v>
      </c>
      <c r="C1223" s="379" t="s">
        <v>1699</v>
      </c>
      <c r="D1223" s="379">
        <v>5352606</v>
      </c>
      <c r="E1223" s="379" t="s">
        <v>2323</v>
      </c>
      <c r="F1223" s="379" t="s">
        <v>2694</v>
      </c>
      <c r="G1223" s="383">
        <v>26755</v>
      </c>
      <c r="H1223" s="379">
        <v>80437.73</v>
      </c>
      <c r="I1223" s="379"/>
      <c r="J1223" s="379"/>
      <c r="K1223" s="379">
        <v>6032.85</v>
      </c>
      <c r="L1223" s="379"/>
      <c r="M1223" s="379"/>
      <c r="N1223" s="379"/>
      <c r="O1223" s="379">
        <v>6686.4</v>
      </c>
      <c r="P1223" s="379"/>
      <c r="Q1223" s="379"/>
      <c r="R1223" s="379"/>
      <c r="S1223" s="379">
        <v>67895.23</v>
      </c>
      <c r="T1223" s="379">
        <v>5406.1</v>
      </c>
      <c r="U1223" s="379"/>
      <c r="V1223" s="380">
        <v>86470.58</v>
      </c>
      <c r="W1223" s="381">
        <v>8.4</v>
      </c>
      <c r="X1223" s="379"/>
      <c r="Y1223" s="379"/>
      <c r="Z1223" s="379">
        <v>9991001</v>
      </c>
      <c r="AA1223" s="379" t="s">
        <v>2496</v>
      </c>
      <c r="AB1223" s="380">
        <f t="shared" si="17"/>
        <v>0.70000000000000007</v>
      </c>
    </row>
    <row r="1224" spans="1:28" outlineLevel="2" x14ac:dyDescent="0.3">
      <c r="A1224" s="379">
        <v>432</v>
      </c>
      <c r="B1224" s="379">
        <v>990000</v>
      </c>
      <c r="C1224" s="379" t="s">
        <v>1699</v>
      </c>
      <c r="D1224" s="379">
        <v>5352611</v>
      </c>
      <c r="E1224" s="379" t="s">
        <v>3218</v>
      </c>
      <c r="F1224" s="379" t="s">
        <v>2707</v>
      </c>
      <c r="G1224" s="383">
        <v>31321</v>
      </c>
      <c r="H1224" s="379">
        <v>63255.99</v>
      </c>
      <c r="I1224" s="379"/>
      <c r="J1224" s="379"/>
      <c r="K1224" s="379">
        <v>4744.05</v>
      </c>
      <c r="L1224" s="379"/>
      <c r="M1224" s="379"/>
      <c r="N1224" s="379"/>
      <c r="O1224" s="379"/>
      <c r="P1224" s="379"/>
      <c r="Q1224" s="379"/>
      <c r="R1224" s="379"/>
      <c r="S1224" s="379">
        <v>57786.04</v>
      </c>
      <c r="T1224" s="379">
        <v>5019.95</v>
      </c>
      <c r="U1224" s="379"/>
      <c r="V1224" s="380">
        <v>68000.039999999994</v>
      </c>
      <c r="W1224" s="381">
        <v>7.8</v>
      </c>
      <c r="X1224" s="379"/>
      <c r="Y1224" s="379"/>
      <c r="Z1224" s="379">
        <v>9991001</v>
      </c>
      <c r="AA1224" s="379" t="s">
        <v>2496</v>
      </c>
      <c r="AB1224" s="380">
        <f t="shared" si="17"/>
        <v>0.65</v>
      </c>
    </row>
    <row r="1225" spans="1:28" outlineLevel="2" x14ac:dyDescent="0.3">
      <c r="A1225" s="379">
        <v>432</v>
      </c>
      <c r="B1225" s="379">
        <v>990000</v>
      </c>
      <c r="C1225" s="379" t="s">
        <v>1699</v>
      </c>
      <c r="D1225" s="379">
        <v>5399819</v>
      </c>
      <c r="E1225" s="379" t="s">
        <v>2332</v>
      </c>
      <c r="F1225" s="379" t="s">
        <v>2517</v>
      </c>
      <c r="G1225" s="383">
        <v>42675</v>
      </c>
      <c r="H1225" s="379">
        <v>19610.04</v>
      </c>
      <c r="I1225" s="379"/>
      <c r="J1225" s="379"/>
      <c r="K1225" s="379">
        <v>34.85</v>
      </c>
      <c r="L1225" s="379"/>
      <c r="M1225" s="379"/>
      <c r="N1225" s="379"/>
      <c r="O1225" s="379"/>
      <c r="P1225" s="379"/>
      <c r="Q1225" s="379"/>
      <c r="R1225" s="379"/>
      <c r="S1225" s="379">
        <v>17409.96</v>
      </c>
      <c r="T1225" s="379">
        <v>1750.08</v>
      </c>
      <c r="U1225" s="379"/>
      <c r="V1225" s="380">
        <v>19644.89</v>
      </c>
      <c r="W1225" s="381">
        <v>2.88</v>
      </c>
      <c r="X1225" s="379"/>
      <c r="Y1225" s="379"/>
      <c r="Z1225" s="379">
        <v>9991001</v>
      </c>
      <c r="AA1225" s="379" t="s">
        <v>2496</v>
      </c>
      <c r="AB1225" s="380">
        <f t="shared" si="17"/>
        <v>0.24</v>
      </c>
    </row>
    <row r="1226" spans="1:28" outlineLevel="2" x14ac:dyDescent="0.3">
      <c r="A1226" s="379">
        <v>432</v>
      </c>
      <c r="B1226" s="379">
        <v>990000</v>
      </c>
      <c r="C1226" s="379" t="s">
        <v>1699</v>
      </c>
      <c r="D1226" s="379">
        <v>5417527</v>
      </c>
      <c r="E1226" s="379" t="s">
        <v>3342</v>
      </c>
      <c r="F1226" s="379" t="s">
        <v>2530</v>
      </c>
      <c r="G1226" s="383">
        <v>30286</v>
      </c>
      <c r="H1226" s="379">
        <v>134248.09</v>
      </c>
      <c r="I1226" s="379"/>
      <c r="J1226" s="379"/>
      <c r="K1226" s="379">
        <v>10068.5</v>
      </c>
      <c r="L1226" s="379"/>
      <c r="M1226" s="379"/>
      <c r="N1226" s="379"/>
      <c r="O1226" s="379"/>
      <c r="P1226" s="379"/>
      <c r="Q1226" s="379"/>
      <c r="R1226" s="379"/>
      <c r="S1226" s="379">
        <v>128546.45</v>
      </c>
      <c r="T1226" s="379">
        <v>5251.64</v>
      </c>
      <c r="U1226" s="379"/>
      <c r="V1226" s="380">
        <v>144316.59</v>
      </c>
      <c r="W1226" s="381">
        <v>8.16</v>
      </c>
      <c r="X1226" s="379"/>
      <c r="Y1226" s="379"/>
      <c r="Z1226" s="379">
        <v>1401001</v>
      </c>
      <c r="AA1226" s="379" t="s">
        <v>3098</v>
      </c>
      <c r="AB1226" s="380">
        <f t="shared" si="17"/>
        <v>0.68</v>
      </c>
    </row>
    <row r="1227" spans="1:28" outlineLevel="2" x14ac:dyDescent="0.3">
      <c r="A1227" s="379">
        <v>432</v>
      </c>
      <c r="B1227" s="379">
        <v>990000</v>
      </c>
      <c r="C1227" s="379" t="s">
        <v>1699</v>
      </c>
      <c r="D1227" s="379">
        <v>5429106</v>
      </c>
      <c r="E1227" s="379" t="s">
        <v>3343</v>
      </c>
      <c r="F1227" s="379" t="s">
        <v>2379</v>
      </c>
      <c r="G1227" s="383">
        <v>28703</v>
      </c>
      <c r="H1227" s="379">
        <v>95916.41</v>
      </c>
      <c r="I1227" s="379"/>
      <c r="J1227" s="379"/>
      <c r="K1227" s="379">
        <v>7193.6</v>
      </c>
      <c r="L1227" s="379"/>
      <c r="M1227" s="379"/>
      <c r="N1227" s="379"/>
      <c r="O1227" s="379">
        <v>312</v>
      </c>
      <c r="P1227" s="379"/>
      <c r="Q1227" s="379"/>
      <c r="R1227" s="379"/>
      <c r="S1227" s="379">
        <v>90763.37</v>
      </c>
      <c r="T1227" s="379">
        <v>4391.04</v>
      </c>
      <c r="U1227" s="379"/>
      <c r="V1227" s="380">
        <v>103110.01</v>
      </c>
      <c r="W1227" s="381">
        <v>7.68</v>
      </c>
      <c r="X1227" s="379"/>
      <c r="Y1227" s="379"/>
      <c r="Z1227" s="379">
        <v>9991001</v>
      </c>
      <c r="AA1227" s="379" t="s">
        <v>2496</v>
      </c>
      <c r="AB1227" s="380">
        <f t="shared" si="17"/>
        <v>0.64</v>
      </c>
    </row>
    <row r="1228" spans="1:28" outlineLevel="2" x14ac:dyDescent="0.3">
      <c r="A1228" s="379">
        <v>432</v>
      </c>
      <c r="B1228" s="379">
        <v>990000</v>
      </c>
      <c r="C1228" s="379" t="s">
        <v>1699</v>
      </c>
      <c r="D1228" s="379">
        <v>5451878</v>
      </c>
      <c r="E1228" s="379" t="s">
        <v>3344</v>
      </c>
      <c r="F1228" s="379" t="s">
        <v>2322</v>
      </c>
      <c r="G1228" s="383">
        <v>29465</v>
      </c>
      <c r="H1228" s="379">
        <v>78045.75</v>
      </c>
      <c r="I1228" s="379"/>
      <c r="J1228" s="379"/>
      <c r="K1228" s="379">
        <v>5853.4</v>
      </c>
      <c r="L1228" s="379"/>
      <c r="M1228" s="379"/>
      <c r="N1228" s="379"/>
      <c r="O1228" s="379">
        <v>-1002</v>
      </c>
      <c r="P1228" s="379"/>
      <c r="Q1228" s="379"/>
      <c r="R1228" s="379"/>
      <c r="S1228" s="379">
        <v>74705.36</v>
      </c>
      <c r="T1228" s="379">
        <v>3892.39</v>
      </c>
      <c r="U1228" s="379"/>
      <c r="V1228" s="380">
        <v>83899.15</v>
      </c>
      <c r="W1228" s="381">
        <v>8.4</v>
      </c>
      <c r="X1228" s="379"/>
      <c r="Y1228" s="379"/>
      <c r="Z1228" s="379">
        <v>9991001</v>
      </c>
      <c r="AA1228" s="379" t="s">
        <v>2496</v>
      </c>
      <c r="AB1228" s="380">
        <f t="shared" si="17"/>
        <v>0.70000000000000007</v>
      </c>
    </row>
    <row r="1229" spans="1:28" outlineLevel="2" x14ac:dyDescent="0.3">
      <c r="A1229" s="379">
        <v>432</v>
      </c>
      <c r="B1229" s="379">
        <v>990000</v>
      </c>
      <c r="C1229" s="379" t="s">
        <v>1699</v>
      </c>
      <c r="D1229" s="379">
        <v>5455968</v>
      </c>
      <c r="E1229" s="379" t="s">
        <v>3345</v>
      </c>
      <c r="F1229" s="379" t="s">
        <v>2937</v>
      </c>
      <c r="G1229" s="383">
        <v>33512</v>
      </c>
      <c r="H1229" s="379">
        <v>14590.12</v>
      </c>
      <c r="I1229" s="379"/>
      <c r="J1229" s="379"/>
      <c r="K1229" s="379">
        <v>1094</v>
      </c>
      <c r="L1229" s="379"/>
      <c r="M1229" s="379"/>
      <c r="N1229" s="379"/>
      <c r="O1229" s="379"/>
      <c r="P1229" s="379"/>
      <c r="Q1229" s="379"/>
      <c r="R1229" s="379"/>
      <c r="S1229" s="379">
        <v>13387.92</v>
      </c>
      <c r="T1229" s="379">
        <v>752.2</v>
      </c>
      <c r="U1229" s="379"/>
      <c r="V1229" s="380">
        <v>15684.12</v>
      </c>
      <c r="W1229" s="381">
        <v>2.6040000000000001</v>
      </c>
      <c r="X1229" s="379"/>
      <c r="Y1229" s="379"/>
      <c r="Z1229" s="379">
        <v>9991001</v>
      </c>
      <c r="AA1229" s="379" t="s">
        <v>2496</v>
      </c>
      <c r="AB1229" s="380">
        <f t="shared" si="17"/>
        <v>0.217</v>
      </c>
    </row>
    <row r="1230" spans="1:28" outlineLevel="2" x14ac:dyDescent="0.3">
      <c r="A1230" s="379">
        <v>432</v>
      </c>
      <c r="B1230" s="379">
        <v>990000</v>
      </c>
      <c r="C1230" s="379" t="s">
        <v>1699</v>
      </c>
      <c r="D1230" s="379">
        <v>5473532</v>
      </c>
      <c r="E1230" s="379" t="s">
        <v>2790</v>
      </c>
      <c r="F1230" s="379" t="s">
        <v>2333</v>
      </c>
      <c r="G1230" s="383">
        <v>33512</v>
      </c>
      <c r="H1230" s="379">
        <v>39198.67</v>
      </c>
      <c r="I1230" s="379"/>
      <c r="J1230" s="379"/>
      <c r="K1230" s="379">
        <v>2939.95</v>
      </c>
      <c r="L1230" s="379"/>
      <c r="M1230" s="379"/>
      <c r="N1230" s="379"/>
      <c r="O1230" s="379"/>
      <c r="P1230" s="379"/>
      <c r="Q1230" s="379"/>
      <c r="R1230" s="379"/>
      <c r="S1230" s="379">
        <v>35248.51</v>
      </c>
      <c r="T1230" s="379">
        <v>3500.16</v>
      </c>
      <c r="U1230" s="379"/>
      <c r="V1230" s="380">
        <v>42138.62</v>
      </c>
      <c r="W1230" s="381">
        <v>5.9450000000000003</v>
      </c>
      <c r="X1230" s="379"/>
      <c r="Y1230" s="379"/>
      <c r="Z1230" s="379">
        <v>9991001</v>
      </c>
      <c r="AA1230" s="379" t="s">
        <v>2496</v>
      </c>
      <c r="AB1230" s="380">
        <f t="shared" si="17"/>
        <v>0.49541666666666667</v>
      </c>
    </row>
    <row r="1231" spans="1:28" outlineLevel="2" x14ac:dyDescent="0.3">
      <c r="A1231" s="379">
        <v>432</v>
      </c>
      <c r="B1231" s="379">
        <v>990000</v>
      </c>
      <c r="C1231" s="379" t="s">
        <v>1699</v>
      </c>
      <c r="D1231" s="379">
        <v>5473537</v>
      </c>
      <c r="E1231" s="379" t="s">
        <v>3346</v>
      </c>
      <c r="F1231" s="379" t="s">
        <v>2673</v>
      </c>
      <c r="G1231" s="383">
        <v>31778</v>
      </c>
      <c r="H1231" s="379">
        <v>53506.44</v>
      </c>
      <c r="I1231" s="379"/>
      <c r="J1231" s="379"/>
      <c r="K1231" s="379">
        <v>4012.9</v>
      </c>
      <c r="L1231" s="379"/>
      <c r="M1231" s="379"/>
      <c r="N1231" s="379"/>
      <c r="O1231" s="379"/>
      <c r="P1231" s="379"/>
      <c r="Q1231" s="379"/>
      <c r="R1231" s="379"/>
      <c r="S1231" s="379">
        <v>48716.11</v>
      </c>
      <c r="T1231" s="379">
        <v>4340.33</v>
      </c>
      <c r="U1231" s="379"/>
      <c r="V1231" s="380">
        <v>57519.34</v>
      </c>
      <c r="W1231" s="381">
        <v>7.8360000000000003</v>
      </c>
      <c r="X1231" s="379"/>
      <c r="Y1231" s="379"/>
      <c r="Z1231" s="379">
        <v>9991001</v>
      </c>
      <c r="AA1231" s="379" t="s">
        <v>2496</v>
      </c>
      <c r="AB1231" s="380">
        <f t="shared" si="17"/>
        <v>0.65300000000000002</v>
      </c>
    </row>
    <row r="1232" spans="1:28" outlineLevel="2" x14ac:dyDescent="0.3">
      <c r="A1232" s="379">
        <v>432</v>
      </c>
      <c r="B1232" s="379">
        <v>990000</v>
      </c>
      <c r="C1232" s="379" t="s">
        <v>1699</v>
      </c>
      <c r="D1232" s="379">
        <v>5473567</v>
      </c>
      <c r="E1232" s="379" t="s">
        <v>2645</v>
      </c>
      <c r="F1232" s="379" t="s">
        <v>2658</v>
      </c>
      <c r="G1232" s="383">
        <v>28430</v>
      </c>
      <c r="H1232" s="379">
        <v>117750.49</v>
      </c>
      <c r="I1232" s="379"/>
      <c r="J1232" s="379"/>
      <c r="K1232" s="379">
        <v>8831.25</v>
      </c>
      <c r="L1232" s="379"/>
      <c r="M1232" s="379"/>
      <c r="N1232" s="379"/>
      <c r="O1232" s="379"/>
      <c r="P1232" s="379"/>
      <c r="Q1232" s="379"/>
      <c r="R1232" s="379"/>
      <c r="S1232" s="379">
        <v>111894.39</v>
      </c>
      <c r="T1232" s="379">
        <v>5406.1</v>
      </c>
      <c r="U1232" s="379"/>
      <c r="V1232" s="380">
        <v>126581.74</v>
      </c>
      <c r="W1232" s="381">
        <v>8.4</v>
      </c>
      <c r="X1232" s="379"/>
      <c r="Y1232" s="379"/>
      <c r="Z1232" s="379">
        <v>9991001</v>
      </c>
      <c r="AA1232" s="379" t="s">
        <v>2496</v>
      </c>
      <c r="AB1232" s="380">
        <f t="shared" si="17"/>
        <v>0.70000000000000007</v>
      </c>
    </row>
    <row r="1233" spans="1:28" outlineLevel="2" x14ac:dyDescent="0.3">
      <c r="A1233" s="379">
        <v>432</v>
      </c>
      <c r="B1233" s="379">
        <v>990000</v>
      </c>
      <c r="C1233" s="379" t="s">
        <v>1699</v>
      </c>
      <c r="D1233" s="379">
        <v>5474863</v>
      </c>
      <c r="E1233" s="379" t="s">
        <v>2992</v>
      </c>
      <c r="F1233" s="379" t="s">
        <v>2285</v>
      </c>
      <c r="G1233" s="383">
        <v>39569</v>
      </c>
      <c r="H1233" s="379">
        <v>33516.14</v>
      </c>
      <c r="I1233" s="379"/>
      <c r="J1233" s="379"/>
      <c r="K1233" s="379">
        <v>2513.6</v>
      </c>
      <c r="L1233" s="379"/>
      <c r="M1233" s="379"/>
      <c r="N1233" s="379"/>
      <c r="O1233" s="379"/>
      <c r="P1233" s="379"/>
      <c r="Q1233" s="379"/>
      <c r="R1233" s="379"/>
      <c r="S1233" s="379">
        <v>31007.84</v>
      </c>
      <c r="T1233" s="379">
        <v>2058.3000000000002</v>
      </c>
      <c r="U1233" s="379"/>
      <c r="V1233" s="380">
        <v>36029.74</v>
      </c>
      <c r="W1233" s="381">
        <v>3.6</v>
      </c>
      <c r="X1233" s="379"/>
      <c r="Y1233" s="379"/>
      <c r="Z1233" s="379">
        <v>9991001</v>
      </c>
      <c r="AA1233" s="379" t="s">
        <v>2496</v>
      </c>
      <c r="AB1233" s="380">
        <f t="shared" si="17"/>
        <v>0.3</v>
      </c>
    </row>
    <row r="1234" spans="1:28" outlineLevel="2" x14ac:dyDescent="0.3">
      <c r="A1234" s="379">
        <v>432</v>
      </c>
      <c r="B1234" s="379">
        <v>990000</v>
      </c>
      <c r="C1234" s="379" t="s">
        <v>1699</v>
      </c>
      <c r="D1234" s="379">
        <v>5484784</v>
      </c>
      <c r="E1234" s="379" t="s">
        <v>2657</v>
      </c>
      <c r="F1234" s="379" t="s">
        <v>2349</v>
      </c>
      <c r="G1234" s="383">
        <v>27881</v>
      </c>
      <c r="H1234" s="379">
        <v>46351.78</v>
      </c>
      <c r="I1234" s="379"/>
      <c r="J1234" s="379"/>
      <c r="K1234" s="379">
        <v>3476.45</v>
      </c>
      <c r="L1234" s="379"/>
      <c r="M1234" s="379"/>
      <c r="N1234" s="379"/>
      <c r="O1234" s="379"/>
      <c r="P1234" s="379"/>
      <c r="Q1234" s="379"/>
      <c r="R1234" s="379"/>
      <c r="S1234" s="379">
        <v>42117.51</v>
      </c>
      <c r="T1234" s="379">
        <v>3784.27</v>
      </c>
      <c r="U1234" s="379"/>
      <c r="V1234" s="380">
        <v>49828.23</v>
      </c>
      <c r="W1234" s="381">
        <v>8.4</v>
      </c>
      <c r="X1234" s="379"/>
      <c r="Y1234" s="379"/>
      <c r="Z1234" s="379">
        <v>9991001</v>
      </c>
      <c r="AA1234" s="379" t="s">
        <v>2496</v>
      </c>
      <c r="AB1234" s="380">
        <f t="shared" si="17"/>
        <v>0.70000000000000007</v>
      </c>
    </row>
    <row r="1235" spans="1:28" outlineLevel="2" x14ac:dyDescent="0.3">
      <c r="A1235" s="379">
        <v>432</v>
      </c>
      <c r="B1235" s="379">
        <v>990000</v>
      </c>
      <c r="C1235" s="379" t="s">
        <v>1699</v>
      </c>
      <c r="D1235" s="379">
        <v>5484816</v>
      </c>
      <c r="E1235" s="379" t="s">
        <v>2586</v>
      </c>
      <c r="F1235" s="379" t="s">
        <v>2664</v>
      </c>
      <c r="G1235" s="383">
        <v>29952</v>
      </c>
      <c r="H1235" s="379">
        <v>60119.82</v>
      </c>
      <c r="I1235" s="379"/>
      <c r="J1235" s="379"/>
      <c r="K1235" s="379">
        <v>4508.95</v>
      </c>
      <c r="L1235" s="379"/>
      <c r="M1235" s="379"/>
      <c r="N1235" s="379"/>
      <c r="O1235" s="379"/>
      <c r="P1235" s="379"/>
      <c r="Q1235" s="379"/>
      <c r="R1235" s="379"/>
      <c r="S1235" s="379">
        <v>54642.15</v>
      </c>
      <c r="T1235" s="379">
        <v>5027.67</v>
      </c>
      <c r="U1235" s="379"/>
      <c r="V1235" s="380">
        <v>64628.77</v>
      </c>
      <c r="W1235" s="381">
        <v>8.4</v>
      </c>
      <c r="X1235" s="379"/>
      <c r="Y1235" s="379"/>
      <c r="Z1235" s="379">
        <v>9991001</v>
      </c>
      <c r="AA1235" s="379" t="s">
        <v>2496</v>
      </c>
      <c r="AB1235" s="380">
        <f t="shared" si="17"/>
        <v>0.70000000000000007</v>
      </c>
    </row>
    <row r="1236" spans="1:28" outlineLevel="2" x14ac:dyDescent="0.3">
      <c r="A1236" s="379">
        <v>432</v>
      </c>
      <c r="B1236" s="379">
        <v>990000</v>
      </c>
      <c r="C1236" s="379" t="s">
        <v>1699</v>
      </c>
      <c r="D1236" s="379">
        <v>5542153</v>
      </c>
      <c r="E1236" s="379" t="s">
        <v>2303</v>
      </c>
      <c r="F1236" s="379" t="s">
        <v>2361</v>
      </c>
      <c r="G1236" s="383">
        <v>33635</v>
      </c>
      <c r="H1236" s="379">
        <v>33103.910000000003</v>
      </c>
      <c r="I1236" s="379"/>
      <c r="J1236" s="379"/>
      <c r="K1236" s="379">
        <v>2482.9</v>
      </c>
      <c r="L1236" s="379"/>
      <c r="M1236" s="379"/>
      <c r="N1236" s="379"/>
      <c r="O1236" s="379"/>
      <c r="P1236" s="379"/>
      <c r="Q1236" s="379"/>
      <c r="R1236" s="379"/>
      <c r="S1236" s="379">
        <v>29766.28</v>
      </c>
      <c r="T1236" s="379">
        <v>2887.63</v>
      </c>
      <c r="U1236" s="379"/>
      <c r="V1236" s="380">
        <v>35586.81</v>
      </c>
      <c r="W1236" s="381">
        <v>5.28</v>
      </c>
      <c r="X1236" s="379"/>
      <c r="Y1236" s="379"/>
      <c r="Z1236" s="379">
        <v>9991001</v>
      </c>
      <c r="AA1236" s="379" t="s">
        <v>2496</v>
      </c>
      <c r="AB1236" s="380">
        <f t="shared" si="17"/>
        <v>0.44</v>
      </c>
    </row>
    <row r="1237" spans="1:28" outlineLevel="2" x14ac:dyDescent="0.3">
      <c r="A1237" s="379">
        <v>432</v>
      </c>
      <c r="B1237" s="379">
        <v>990000</v>
      </c>
      <c r="C1237" s="379" t="s">
        <v>1699</v>
      </c>
      <c r="D1237" s="379">
        <v>5542270</v>
      </c>
      <c r="E1237" s="379" t="s">
        <v>2899</v>
      </c>
      <c r="F1237" s="379" t="s">
        <v>3347</v>
      </c>
      <c r="G1237" s="383">
        <v>34001</v>
      </c>
      <c r="H1237" s="379">
        <v>13424.71</v>
      </c>
      <c r="I1237" s="379"/>
      <c r="J1237" s="379"/>
      <c r="K1237" s="379">
        <v>1007</v>
      </c>
      <c r="L1237" s="379"/>
      <c r="M1237" s="379"/>
      <c r="N1237" s="379"/>
      <c r="O1237" s="379"/>
      <c r="P1237" s="379"/>
      <c r="Q1237" s="379"/>
      <c r="R1237" s="379"/>
      <c r="S1237" s="379">
        <v>11891.39</v>
      </c>
      <c r="T1237" s="379">
        <v>1083.32</v>
      </c>
      <c r="U1237" s="379"/>
      <c r="V1237" s="380">
        <v>14431.71</v>
      </c>
      <c r="W1237" s="381">
        <v>4.1399999999999997</v>
      </c>
      <c r="X1237" s="379"/>
      <c r="Y1237" s="379"/>
      <c r="Z1237" s="379">
        <v>9991001</v>
      </c>
      <c r="AA1237" s="379" t="s">
        <v>2496</v>
      </c>
      <c r="AB1237" s="380">
        <f t="shared" si="17"/>
        <v>0.34499999999999997</v>
      </c>
    </row>
    <row r="1238" spans="1:28" outlineLevel="2" x14ac:dyDescent="0.3">
      <c r="A1238" s="379">
        <v>432</v>
      </c>
      <c r="B1238" s="379">
        <v>990000</v>
      </c>
      <c r="C1238" s="379" t="s">
        <v>1699</v>
      </c>
      <c r="D1238" s="379">
        <v>5593867</v>
      </c>
      <c r="E1238" s="379" t="s">
        <v>2952</v>
      </c>
      <c r="F1238" s="379" t="s">
        <v>2554</v>
      </c>
      <c r="G1238" s="383">
        <v>27760</v>
      </c>
      <c r="H1238" s="379">
        <v>55474.46</v>
      </c>
      <c r="I1238" s="379"/>
      <c r="J1238" s="379"/>
      <c r="K1238" s="379">
        <v>4160.3999999999996</v>
      </c>
      <c r="L1238" s="379"/>
      <c r="M1238" s="379"/>
      <c r="N1238" s="379"/>
      <c r="O1238" s="379"/>
      <c r="P1238" s="379"/>
      <c r="Q1238" s="379"/>
      <c r="R1238" s="379"/>
      <c r="S1238" s="379">
        <v>50795.1</v>
      </c>
      <c r="T1238" s="379">
        <v>4229.3599999999997</v>
      </c>
      <c r="U1238" s="379"/>
      <c r="V1238" s="380">
        <v>59634.86</v>
      </c>
      <c r="W1238" s="381">
        <v>6.96</v>
      </c>
      <c r="X1238" s="379"/>
      <c r="Y1238" s="379"/>
      <c r="Z1238" s="379">
        <v>9991001</v>
      </c>
      <c r="AA1238" s="379" t="s">
        <v>2496</v>
      </c>
      <c r="AB1238" s="380">
        <f t="shared" si="17"/>
        <v>0.57999999999999996</v>
      </c>
    </row>
    <row r="1239" spans="1:28" outlineLevel="2" x14ac:dyDescent="0.3">
      <c r="A1239" s="379">
        <v>432</v>
      </c>
      <c r="B1239" s="379">
        <v>990000</v>
      </c>
      <c r="C1239" s="379" t="s">
        <v>1699</v>
      </c>
      <c r="D1239" s="379">
        <v>5593968</v>
      </c>
      <c r="E1239" s="379" t="s">
        <v>2318</v>
      </c>
      <c r="F1239" s="379" t="s">
        <v>3348</v>
      </c>
      <c r="G1239" s="383">
        <v>33695</v>
      </c>
      <c r="H1239" s="379">
        <v>20813.599999999999</v>
      </c>
      <c r="I1239" s="379"/>
      <c r="J1239" s="379"/>
      <c r="K1239" s="379">
        <v>1561.05</v>
      </c>
      <c r="L1239" s="379"/>
      <c r="M1239" s="379"/>
      <c r="N1239" s="379"/>
      <c r="O1239" s="379"/>
      <c r="P1239" s="379"/>
      <c r="Q1239" s="379"/>
      <c r="R1239" s="379"/>
      <c r="S1239" s="379">
        <v>18757.28</v>
      </c>
      <c r="T1239" s="379">
        <v>1606.32</v>
      </c>
      <c r="U1239" s="379"/>
      <c r="V1239" s="380">
        <v>22374.65</v>
      </c>
      <c r="W1239" s="381">
        <v>5.76</v>
      </c>
      <c r="X1239" s="379"/>
      <c r="Y1239" s="379"/>
      <c r="Z1239" s="379">
        <v>9991001</v>
      </c>
      <c r="AA1239" s="379" t="s">
        <v>2496</v>
      </c>
      <c r="AB1239" s="380">
        <f t="shared" si="17"/>
        <v>0.48</v>
      </c>
    </row>
    <row r="1240" spans="1:28" outlineLevel="2" x14ac:dyDescent="0.3">
      <c r="A1240" s="379">
        <v>432</v>
      </c>
      <c r="B1240" s="379">
        <v>990000</v>
      </c>
      <c r="C1240" s="379" t="s">
        <v>1699</v>
      </c>
      <c r="D1240" s="379">
        <v>5604521</v>
      </c>
      <c r="E1240" s="379" t="s">
        <v>3060</v>
      </c>
      <c r="F1240" s="379" t="s">
        <v>3349</v>
      </c>
      <c r="G1240" s="383">
        <v>33786</v>
      </c>
      <c r="H1240" s="379">
        <v>26618.33</v>
      </c>
      <c r="I1240" s="379"/>
      <c r="J1240" s="379"/>
      <c r="K1240" s="379">
        <v>1996.25</v>
      </c>
      <c r="L1240" s="379"/>
      <c r="M1240" s="379"/>
      <c r="N1240" s="379"/>
      <c r="O1240" s="379"/>
      <c r="P1240" s="379"/>
      <c r="Q1240" s="379"/>
      <c r="R1240" s="379"/>
      <c r="S1240" s="379">
        <v>23938.5</v>
      </c>
      <c r="T1240" s="379">
        <v>2229.83</v>
      </c>
      <c r="U1240" s="379"/>
      <c r="V1240" s="380">
        <v>28614.58</v>
      </c>
      <c r="W1240" s="381">
        <v>3.9</v>
      </c>
      <c r="X1240" s="379"/>
      <c r="Y1240" s="379"/>
      <c r="Z1240" s="379">
        <v>9991001</v>
      </c>
      <c r="AA1240" s="379" t="s">
        <v>2496</v>
      </c>
      <c r="AB1240" s="380">
        <f t="shared" si="17"/>
        <v>0.32500000000000001</v>
      </c>
    </row>
    <row r="1241" spans="1:28" outlineLevel="2" x14ac:dyDescent="0.3">
      <c r="A1241" s="379">
        <v>432</v>
      </c>
      <c r="B1241" s="379">
        <v>990000</v>
      </c>
      <c r="C1241" s="379" t="s">
        <v>1699</v>
      </c>
      <c r="D1241" s="379">
        <v>5604950</v>
      </c>
      <c r="E1241" s="379" t="s">
        <v>2787</v>
      </c>
      <c r="F1241" s="379" t="s">
        <v>2366</v>
      </c>
      <c r="G1241" s="383">
        <v>29677</v>
      </c>
      <c r="H1241" s="379">
        <v>55568.07</v>
      </c>
      <c r="I1241" s="379"/>
      <c r="J1241" s="379"/>
      <c r="K1241" s="379">
        <v>4167.6000000000004</v>
      </c>
      <c r="L1241" s="379"/>
      <c r="M1241" s="379"/>
      <c r="N1241" s="379"/>
      <c r="O1241" s="379"/>
      <c r="P1241" s="379"/>
      <c r="Q1241" s="379"/>
      <c r="R1241" s="379"/>
      <c r="S1241" s="379">
        <v>50491.99</v>
      </c>
      <c r="T1241" s="379">
        <v>4626.08</v>
      </c>
      <c r="U1241" s="379"/>
      <c r="V1241" s="380">
        <v>59735.67</v>
      </c>
      <c r="W1241" s="381">
        <v>8.4</v>
      </c>
      <c r="X1241" s="379"/>
      <c r="Y1241" s="379"/>
      <c r="Z1241" s="379">
        <v>9991001</v>
      </c>
      <c r="AA1241" s="379" t="s">
        <v>2496</v>
      </c>
      <c r="AB1241" s="380">
        <f t="shared" si="17"/>
        <v>0.70000000000000007</v>
      </c>
    </row>
    <row r="1242" spans="1:28" outlineLevel="2" x14ac:dyDescent="0.3">
      <c r="A1242" s="379">
        <v>432</v>
      </c>
      <c r="B1242" s="379">
        <v>990000</v>
      </c>
      <c r="C1242" s="379" t="s">
        <v>1699</v>
      </c>
      <c r="D1242" s="379">
        <v>5663762</v>
      </c>
      <c r="E1242" s="379" t="s">
        <v>2362</v>
      </c>
      <c r="F1242" s="379" t="s">
        <v>2333</v>
      </c>
      <c r="G1242" s="383">
        <v>28856</v>
      </c>
      <c r="H1242" s="379">
        <v>79374.87</v>
      </c>
      <c r="I1242" s="379"/>
      <c r="J1242" s="379"/>
      <c r="K1242" s="379">
        <v>5953.25</v>
      </c>
      <c r="L1242" s="379"/>
      <c r="M1242" s="379"/>
      <c r="N1242" s="379"/>
      <c r="O1242" s="379"/>
      <c r="P1242" s="379"/>
      <c r="Q1242" s="379"/>
      <c r="R1242" s="379"/>
      <c r="S1242" s="379">
        <v>73518.77</v>
      </c>
      <c r="T1242" s="379">
        <v>5406.1</v>
      </c>
      <c r="U1242" s="379"/>
      <c r="V1242" s="380">
        <v>85328.12</v>
      </c>
      <c r="W1242" s="381">
        <v>8.4</v>
      </c>
      <c r="X1242" s="379"/>
      <c r="Y1242" s="379"/>
      <c r="Z1242" s="379">
        <v>9991001</v>
      </c>
      <c r="AA1242" s="379" t="s">
        <v>2496</v>
      </c>
      <c r="AB1242" s="380">
        <f t="shared" si="17"/>
        <v>0.70000000000000007</v>
      </c>
    </row>
    <row r="1243" spans="1:28" outlineLevel="2" x14ac:dyDescent="0.3">
      <c r="A1243" s="379">
        <v>432</v>
      </c>
      <c r="B1243" s="379">
        <v>990000</v>
      </c>
      <c r="C1243" s="379" t="s">
        <v>1699</v>
      </c>
      <c r="D1243" s="379">
        <v>5716845</v>
      </c>
      <c r="E1243" s="379" t="s">
        <v>2939</v>
      </c>
      <c r="F1243" s="379" t="s">
        <v>3150</v>
      </c>
      <c r="G1243" s="383">
        <v>34608</v>
      </c>
      <c r="H1243" s="379">
        <v>16981.28</v>
      </c>
      <c r="I1243" s="379"/>
      <c r="J1243" s="379"/>
      <c r="K1243" s="379">
        <v>1273.5999999999999</v>
      </c>
      <c r="L1243" s="379"/>
      <c r="M1243" s="379"/>
      <c r="N1243" s="379"/>
      <c r="O1243" s="379"/>
      <c r="P1243" s="379"/>
      <c r="Q1243" s="379"/>
      <c r="R1243" s="379"/>
      <c r="S1243" s="379">
        <v>15184.94</v>
      </c>
      <c r="T1243" s="379">
        <v>1346.34</v>
      </c>
      <c r="U1243" s="379"/>
      <c r="V1243" s="380">
        <v>18254.88</v>
      </c>
      <c r="W1243" s="381">
        <v>5.16</v>
      </c>
      <c r="X1243" s="379"/>
      <c r="Y1243" s="379"/>
      <c r="Z1243" s="379">
        <v>9991001</v>
      </c>
      <c r="AA1243" s="379" t="s">
        <v>2496</v>
      </c>
      <c r="AB1243" s="380">
        <f t="shared" si="17"/>
        <v>0.43</v>
      </c>
    </row>
    <row r="1244" spans="1:28" outlineLevel="2" x14ac:dyDescent="0.3">
      <c r="A1244" s="379">
        <v>432</v>
      </c>
      <c r="B1244" s="379">
        <v>990000</v>
      </c>
      <c r="C1244" s="379" t="s">
        <v>1699</v>
      </c>
      <c r="D1244" s="379">
        <v>5746338</v>
      </c>
      <c r="E1244" s="379" t="s">
        <v>2340</v>
      </c>
      <c r="F1244" s="379" t="s">
        <v>2368</v>
      </c>
      <c r="G1244" s="383">
        <v>31656</v>
      </c>
      <c r="H1244" s="379">
        <v>48643.66</v>
      </c>
      <c r="I1244" s="379"/>
      <c r="J1244" s="379"/>
      <c r="K1244" s="379">
        <v>3648.4</v>
      </c>
      <c r="L1244" s="379"/>
      <c r="M1244" s="379"/>
      <c r="N1244" s="379"/>
      <c r="O1244" s="379"/>
      <c r="P1244" s="379"/>
      <c r="Q1244" s="379"/>
      <c r="R1244" s="379"/>
      <c r="S1244" s="379">
        <v>44177.7</v>
      </c>
      <c r="T1244" s="379">
        <v>4015.96</v>
      </c>
      <c r="U1244" s="379"/>
      <c r="V1244" s="380">
        <v>52292.06</v>
      </c>
      <c r="W1244" s="381">
        <v>6.24</v>
      </c>
      <c r="X1244" s="379"/>
      <c r="Y1244" s="379"/>
      <c r="Z1244" s="379">
        <v>9991001</v>
      </c>
      <c r="AA1244" s="379" t="s">
        <v>2496</v>
      </c>
      <c r="AB1244" s="380">
        <f t="shared" si="17"/>
        <v>0.52</v>
      </c>
    </row>
    <row r="1245" spans="1:28" outlineLevel="2" x14ac:dyDescent="0.3">
      <c r="A1245" s="379">
        <v>432</v>
      </c>
      <c r="B1245" s="379">
        <v>990000</v>
      </c>
      <c r="C1245" s="379" t="s">
        <v>1699</v>
      </c>
      <c r="D1245" s="379">
        <v>5753703</v>
      </c>
      <c r="E1245" s="379" t="s">
        <v>2318</v>
      </c>
      <c r="F1245" s="379" t="s">
        <v>2322</v>
      </c>
      <c r="G1245" s="383">
        <v>29952</v>
      </c>
      <c r="H1245" s="379">
        <v>62455.519999999997</v>
      </c>
      <c r="I1245" s="379"/>
      <c r="J1245" s="379"/>
      <c r="K1245" s="379">
        <v>4684.1499999999996</v>
      </c>
      <c r="L1245" s="379"/>
      <c r="M1245" s="379"/>
      <c r="N1245" s="379"/>
      <c r="O1245" s="379"/>
      <c r="P1245" s="379"/>
      <c r="Q1245" s="379"/>
      <c r="R1245" s="379"/>
      <c r="S1245" s="379">
        <v>57302.21</v>
      </c>
      <c r="T1245" s="379">
        <v>4703.3100000000004</v>
      </c>
      <c r="U1245" s="379"/>
      <c r="V1245" s="380">
        <v>67139.67</v>
      </c>
      <c r="W1245" s="381">
        <v>8.4</v>
      </c>
      <c r="X1245" s="379"/>
      <c r="Y1245" s="379"/>
      <c r="Z1245" s="379">
        <v>9991001</v>
      </c>
      <c r="AA1245" s="379" t="s">
        <v>2496</v>
      </c>
      <c r="AB1245" s="380">
        <f t="shared" si="17"/>
        <v>0.70000000000000007</v>
      </c>
    </row>
    <row r="1246" spans="1:28" outlineLevel="2" x14ac:dyDescent="0.3">
      <c r="A1246" s="379">
        <v>432</v>
      </c>
      <c r="B1246" s="379">
        <v>990000</v>
      </c>
      <c r="C1246" s="379" t="s">
        <v>1699</v>
      </c>
      <c r="D1246" s="379">
        <v>5789105</v>
      </c>
      <c r="E1246" s="379" t="s">
        <v>2332</v>
      </c>
      <c r="F1246" s="379" t="s">
        <v>3280</v>
      </c>
      <c r="G1246" s="383">
        <v>34090</v>
      </c>
      <c r="H1246" s="379">
        <v>52972.73</v>
      </c>
      <c r="I1246" s="379"/>
      <c r="J1246" s="379"/>
      <c r="K1246" s="379">
        <v>3972.75</v>
      </c>
      <c r="L1246" s="379"/>
      <c r="M1246" s="379"/>
      <c r="N1246" s="379"/>
      <c r="O1246" s="379"/>
      <c r="P1246" s="379"/>
      <c r="Q1246" s="379"/>
      <c r="R1246" s="379"/>
      <c r="S1246" s="379">
        <v>50210.57</v>
      </c>
      <c r="T1246" s="379">
        <v>2312.16</v>
      </c>
      <c r="U1246" s="379"/>
      <c r="V1246" s="380">
        <v>56945.48</v>
      </c>
      <c r="W1246" s="381">
        <v>4.74</v>
      </c>
      <c r="X1246" s="379"/>
      <c r="Y1246" s="379"/>
      <c r="Z1246" s="379">
        <v>9991001</v>
      </c>
      <c r="AA1246" s="379" t="s">
        <v>2496</v>
      </c>
      <c r="AB1246" s="380">
        <f t="shared" si="17"/>
        <v>0.39500000000000002</v>
      </c>
    </row>
    <row r="1247" spans="1:28" outlineLevel="2" x14ac:dyDescent="0.3">
      <c r="A1247" s="379">
        <v>432</v>
      </c>
      <c r="B1247" s="379">
        <v>990000</v>
      </c>
      <c r="C1247" s="379" t="s">
        <v>1699</v>
      </c>
      <c r="D1247" s="379">
        <v>5833893</v>
      </c>
      <c r="E1247" s="379" t="s">
        <v>3350</v>
      </c>
      <c r="F1247" s="379" t="s">
        <v>3269</v>
      </c>
      <c r="G1247" s="383">
        <v>31594</v>
      </c>
      <c r="H1247" s="379">
        <v>79598</v>
      </c>
      <c r="I1247" s="379"/>
      <c r="J1247" s="379"/>
      <c r="K1247" s="379">
        <v>5969.75</v>
      </c>
      <c r="L1247" s="379"/>
      <c r="M1247" s="379"/>
      <c r="N1247" s="379"/>
      <c r="O1247" s="379"/>
      <c r="P1247" s="379"/>
      <c r="Q1247" s="379"/>
      <c r="R1247" s="379"/>
      <c r="S1247" s="379">
        <v>74267.06</v>
      </c>
      <c r="T1247" s="379">
        <v>4880.9399999999996</v>
      </c>
      <c r="U1247" s="379"/>
      <c r="V1247" s="380">
        <v>85567.75</v>
      </c>
      <c r="W1247" s="381">
        <v>8.0640000000000001</v>
      </c>
      <c r="X1247" s="379"/>
      <c r="Y1247" s="379"/>
      <c r="Z1247" s="379">
        <v>9991001</v>
      </c>
      <c r="AA1247" s="379" t="s">
        <v>2496</v>
      </c>
      <c r="AB1247" s="380">
        <f t="shared" si="17"/>
        <v>0.67200000000000004</v>
      </c>
    </row>
    <row r="1248" spans="1:28" outlineLevel="2" x14ac:dyDescent="0.3">
      <c r="A1248" s="379">
        <v>432</v>
      </c>
      <c r="B1248" s="379">
        <v>990000</v>
      </c>
      <c r="C1248" s="379" t="s">
        <v>1699</v>
      </c>
      <c r="D1248" s="379">
        <v>5836192</v>
      </c>
      <c r="E1248" s="379" t="s">
        <v>2805</v>
      </c>
      <c r="F1248" s="379" t="s">
        <v>3334</v>
      </c>
      <c r="G1248" s="383">
        <v>31503</v>
      </c>
      <c r="H1248" s="379">
        <v>54219.6</v>
      </c>
      <c r="I1248" s="379"/>
      <c r="J1248" s="379"/>
      <c r="K1248" s="379">
        <v>4066.6</v>
      </c>
      <c r="L1248" s="379"/>
      <c r="M1248" s="379"/>
      <c r="N1248" s="379"/>
      <c r="O1248" s="379"/>
      <c r="P1248" s="379"/>
      <c r="Q1248" s="379"/>
      <c r="R1248" s="379"/>
      <c r="S1248" s="379">
        <v>49437</v>
      </c>
      <c r="T1248" s="379">
        <v>4332.6000000000004</v>
      </c>
      <c r="U1248" s="379"/>
      <c r="V1248" s="380">
        <v>58286.2</v>
      </c>
      <c r="W1248" s="381">
        <v>7.7759999999999998</v>
      </c>
      <c r="X1248" s="379"/>
      <c r="Y1248" s="379"/>
      <c r="Z1248" s="379">
        <v>9991001</v>
      </c>
      <c r="AA1248" s="379" t="s">
        <v>2496</v>
      </c>
      <c r="AB1248" s="380">
        <f t="shared" si="17"/>
        <v>0.64800000000000002</v>
      </c>
    </row>
    <row r="1249" spans="1:28" outlineLevel="2" x14ac:dyDescent="0.3">
      <c r="A1249" s="379">
        <v>432</v>
      </c>
      <c r="B1249" s="379">
        <v>990000</v>
      </c>
      <c r="C1249" s="379" t="s">
        <v>1699</v>
      </c>
      <c r="D1249" s="379">
        <v>5873773</v>
      </c>
      <c r="E1249" s="379" t="s">
        <v>2486</v>
      </c>
      <c r="F1249" s="379" t="s">
        <v>3351</v>
      </c>
      <c r="G1249" s="383">
        <v>35947</v>
      </c>
      <c r="H1249" s="379">
        <v>10141.43</v>
      </c>
      <c r="I1249" s="379"/>
      <c r="J1249" s="379"/>
      <c r="K1249" s="379">
        <v>760.55</v>
      </c>
      <c r="L1249" s="379"/>
      <c r="M1249" s="379"/>
      <c r="N1249" s="379"/>
      <c r="O1249" s="379"/>
      <c r="P1249" s="379"/>
      <c r="Q1249" s="379"/>
      <c r="R1249" s="379"/>
      <c r="S1249" s="379">
        <v>8915.91</v>
      </c>
      <c r="T1249" s="379">
        <v>775.52</v>
      </c>
      <c r="U1249" s="379"/>
      <c r="V1249" s="380">
        <v>10901.98</v>
      </c>
      <c r="W1249" s="381">
        <v>3.18</v>
      </c>
      <c r="X1249" s="379"/>
      <c r="Y1249" s="379"/>
      <c r="Z1249" s="379">
        <v>9991001</v>
      </c>
      <c r="AA1249" s="379" t="s">
        <v>2496</v>
      </c>
      <c r="AB1249" s="380">
        <f t="shared" si="17"/>
        <v>0.26500000000000001</v>
      </c>
    </row>
    <row r="1250" spans="1:28" outlineLevel="2" x14ac:dyDescent="0.3">
      <c r="A1250" s="379">
        <v>432</v>
      </c>
      <c r="B1250" s="379">
        <v>990000</v>
      </c>
      <c r="C1250" s="379" t="s">
        <v>1699</v>
      </c>
      <c r="D1250" s="379">
        <v>5905513</v>
      </c>
      <c r="E1250" s="379" t="s">
        <v>3352</v>
      </c>
      <c r="F1250" s="379" t="s">
        <v>2644</v>
      </c>
      <c r="G1250" s="383">
        <v>32448</v>
      </c>
      <c r="H1250" s="379">
        <v>83067.67</v>
      </c>
      <c r="I1250" s="379"/>
      <c r="J1250" s="379"/>
      <c r="K1250" s="379">
        <v>6229.9</v>
      </c>
      <c r="L1250" s="379"/>
      <c r="M1250" s="379"/>
      <c r="N1250" s="379"/>
      <c r="O1250" s="379"/>
      <c r="P1250" s="379"/>
      <c r="Q1250" s="379"/>
      <c r="R1250" s="379"/>
      <c r="S1250" s="379">
        <v>77829.41</v>
      </c>
      <c r="T1250" s="379">
        <v>4788.26</v>
      </c>
      <c r="U1250" s="379"/>
      <c r="V1250" s="380">
        <v>89297.57</v>
      </c>
      <c r="W1250" s="381">
        <v>7.44</v>
      </c>
      <c r="X1250" s="379"/>
      <c r="Y1250" s="379"/>
      <c r="Z1250" s="379">
        <v>9991001</v>
      </c>
      <c r="AA1250" s="379" t="s">
        <v>2496</v>
      </c>
      <c r="AB1250" s="380">
        <f t="shared" ref="AB1250:AB1313" si="18">W1250/12</f>
        <v>0.62</v>
      </c>
    </row>
    <row r="1251" spans="1:28" outlineLevel="2" x14ac:dyDescent="0.3">
      <c r="A1251" s="379">
        <v>432</v>
      </c>
      <c r="B1251" s="379">
        <v>990000</v>
      </c>
      <c r="C1251" s="379" t="s">
        <v>1699</v>
      </c>
      <c r="D1251" s="379">
        <v>6038952</v>
      </c>
      <c r="E1251" s="379" t="s">
        <v>2923</v>
      </c>
      <c r="F1251" s="379" t="s">
        <v>2361</v>
      </c>
      <c r="G1251" s="383">
        <v>27668</v>
      </c>
      <c r="H1251" s="379">
        <v>13551.57</v>
      </c>
      <c r="I1251" s="379"/>
      <c r="J1251" s="379"/>
      <c r="K1251" s="379">
        <v>1016.35</v>
      </c>
      <c r="L1251" s="379"/>
      <c r="M1251" s="379"/>
      <c r="N1251" s="379"/>
      <c r="O1251" s="379">
        <v>345</v>
      </c>
      <c r="P1251" s="379"/>
      <c r="Q1251" s="379"/>
      <c r="R1251" s="379"/>
      <c r="S1251" s="379">
        <v>10865.15</v>
      </c>
      <c r="T1251" s="379">
        <v>2041.42</v>
      </c>
      <c r="U1251" s="379"/>
      <c r="V1251" s="380">
        <v>14567.92</v>
      </c>
      <c r="W1251" s="381">
        <v>1.63</v>
      </c>
      <c r="X1251" s="379"/>
      <c r="Y1251" s="379"/>
      <c r="Z1251" s="379">
        <v>5923001</v>
      </c>
      <c r="AA1251" s="379" t="s">
        <v>2354</v>
      </c>
      <c r="AB1251" s="380">
        <f t="shared" si="18"/>
        <v>0.13583333333333333</v>
      </c>
    </row>
    <row r="1252" spans="1:28" outlineLevel="2" x14ac:dyDescent="0.3">
      <c r="A1252" s="379">
        <v>432</v>
      </c>
      <c r="B1252" s="379">
        <v>990000</v>
      </c>
      <c r="C1252" s="379" t="s">
        <v>1699</v>
      </c>
      <c r="D1252" s="379">
        <v>6049408</v>
      </c>
      <c r="E1252" s="379" t="s">
        <v>3353</v>
      </c>
      <c r="F1252" s="379" t="s">
        <v>2929</v>
      </c>
      <c r="G1252" s="383">
        <v>40878</v>
      </c>
      <c r="H1252" s="379">
        <v>44623.47</v>
      </c>
      <c r="I1252" s="379"/>
      <c r="J1252" s="379"/>
      <c r="K1252" s="379">
        <v>430.95</v>
      </c>
      <c r="L1252" s="379"/>
      <c r="M1252" s="379"/>
      <c r="N1252" s="379"/>
      <c r="O1252" s="379"/>
      <c r="P1252" s="379">
        <v>5292</v>
      </c>
      <c r="Q1252" s="379"/>
      <c r="R1252" s="379"/>
      <c r="S1252" s="379">
        <v>35637.81</v>
      </c>
      <c r="T1252" s="379">
        <v>3243.66</v>
      </c>
      <c r="U1252" s="379"/>
      <c r="V1252" s="380">
        <v>45054.42</v>
      </c>
      <c r="W1252" s="381">
        <v>5.04</v>
      </c>
      <c r="X1252" s="379"/>
      <c r="Y1252" s="379"/>
      <c r="Z1252" s="379">
        <v>9991001</v>
      </c>
      <c r="AA1252" s="379" t="s">
        <v>2496</v>
      </c>
      <c r="AB1252" s="380">
        <f t="shared" si="18"/>
        <v>0.42</v>
      </c>
    </row>
    <row r="1253" spans="1:28" outlineLevel="2" x14ac:dyDescent="0.3">
      <c r="A1253" s="379">
        <v>432</v>
      </c>
      <c r="B1253" s="379">
        <v>990000</v>
      </c>
      <c r="C1253" s="379" t="s">
        <v>1699</v>
      </c>
      <c r="D1253" s="379">
        <v>6058691</v>
      </c>
      <c r="E1253" s="379" t="s">
        <v>2457</v>
      </c>
      <c r="F1253" s="379" t="s">
        <v>2436</v>
      </c>
      <c r="G1253" s="383">
        <v>27485</v>
      </c>
      <c r="H1253" s="379">
        <v>58576.66</v>
      </c>
      <c r="I1253" s="379"/>
      <c r="J1253" s="379"/>
      <c r="K1253" s="379">
        <v>4393.3999999999996</v>
      </c>
      <c r="L1253" s="379"/>
      <c r="M1253" s="379"/>
      <c r="N1253" s="379"/>
      <c r="O1253" s="379"/>
      <c r="P1253" s="379"/>
      <c r="Q1253" s="379"/>
      <c r="R1253" s="379"/>
      <c r="S1253" s="379">
        <v>54044.959999999999</v>
      </c>
      <c r="T1253" s="379">
        <v>4081.7</v>
      </c>
      <c r="U1253" s="379"/>
      <c r="V1253" s="380">
        <v>62970.06</v>
      </c>
      <c r="W1253" s="381">
        <v>8.4</v>
      </c>
      <c r="X1253" s="379"/>
      <c r="Y1253" s="379"/>
      <c r="Z1253" s="379">
        <v>9991001</v>
      </c>
      <c r="AA1253" s="379" t="s">
        <v>2496</v>
      </c>
      <c r="AB1253" s="380">
        <f t="shared" si="18"/>
        <v>0.70000000000000007</v>
      </c>
    </row>
    <row r="1254" spans="1:28" outlineLevel="2" x14ac:dyDescent="0.3">
      <c r="A1254" s="379">
        <v>432</v>
      </c>
      <c r="B1254" s="379">
        <v>990000</v>
      </c>
      <c r="C1254" s="379" t="s">
        <v>1699</v>
      </c>
      <c r="D1254" s="379">
        <v>6089935</v>
      </c>
      <c r="E1254" s="379" t="s">
        <v>2938</v>
      </c>
      <c r="F1254" s="379" t="s">
        <v>2707</v>
      </c>
      <c r="G1254" s="383">
        <v>31656</v>
      </c>
      <c r="H1254" s="379">
        <v>35632.370000000003</v>
      </c>
      <c r="I1254" s="379"/>
      <c r="J1254" s="379"/>
      <c r="K1254" s="379">
        <v>2672.35</v>
      </c>
      <c r="L1254" s="379"/>
      <c r="M1254" s="379"/>
      <c r="N1254" s="379"/>
      <c r="O1254" s="379"/>
      <c r="P1254" s="379"/>
      <c r="Q1254" s="379"/>
      <c r="R1254" s="379"/>
      <c r="S1254" s="379">
        <v>32124.06</v>
      </c>
      <c r="T1254" s="379">
        <v>3058.31</v>
      </c>
      <c r="U1254" s="379"/>
      <c r="V1254" s="380">
        <v>38304.720000000001</v>
      </c>
      <c r="W1254" s="381">
        <v>6.84</v>
      </c>
      <c r="X1254" s="379"/>
      <c r="Y1254" s="379"/>
      <c r="Z1254" s="379">
        <v>9991001</v>
      </c>
      <c r="AA1254" s="379" t="s">
        <v>2496</v>
      </c>
      <c r="AB1254" s="380">
        <f t="shared" si="18"/>
        <v>0.56999999999999995</v>
      </c>
    </row>
    <row r="1255" spans="1:28" outlineLevel="2" x14ac:dyDescent="0.3">
      <c r="A1255" s="379">
        <v>432</v>
      </c>
      <c r="B1255" s="379">
        <v>990000</v>
      </c>
      <c r="C1255" s="379" t="s">
        <v>1699</v>
      </c>
      <c r="D1255" s="379">
        <v>6097115</v>
      </c>
      <c r="E1255" s="379" t="s">
        <v>3354</v>
      </c>
      <c r="F1255" s="379" t="s">
        <v>3355</v>
      </c>
      <c r="G1255" s="383">
        <v>27851</v>
      </c>
      <c r="H1255" s="379">
        <v>74812.97</v>
      </c>
      <c r="I1255" s="379"/>
      <c r="J1255" s="379"/>
      <c r="K1255" s="379">
        <v>5610.8</v>
      </c>
      <c r="L1255" s="379"/>
      <c r="M1255" s="379"/>
      <c r="N1255" s="379"/>
      <c r="O1255" s="379"/>
      <c r="P1255" s="379"/>
      <c r="Q1255" s="379"/>
      <c r="R1255" s="379"/>
      <c r="S1255" s="379">
        <v>68956.87</v>
      </c>
      <c r="T1255" s="379">
        <v>5406.1</v>
      </c>
      <c r="U1255" s="379"/>
      <c r="V1255" s="380">
        <v>80423.77</v>
      </c>
      <c r="W1255" s="381">
        <v>8.4</v>
      </c>
      <c r="X1255" s="379"/>
      <c r="Y1255" s="379"/>
      <c r="Z1255" s="379">
        <v>9991001</v>
      </c>
      <c r="AA1255" s="379" t="s">
        <v>2496</v>
      </c>
      <c r="AB1255" s="380">
        <f t="shared" si="18"/>
        <v>0.70000000000000007</v>
      </c>
    </row>
    <row r="1256" spans="1:28" outlineLevel="2" x14ac:dyDescent="0.3">
      <c r="A1256" s="379">
        <v>432</v>
      </c>
      <c r="B1256" s="379">
        <v>990000</v>
      </c>
      <c r="C1256" s="379" t="s">
        <v>1699</v>
      </c>
      <c r="D1256" s="379">
        <v>6102173</v>
      </c>
      <c r="E1256" s="379" t="s">
        <v>2332</v>
      </c>
      <c r="F1256" s="379" t="s">
        <v>3356</v>
      </c>
      <c r="G1256" s="383">
        <v>32082</v>
      </c>
      <c r="H1256" s="379">
        <v>26885.74</v>
      </c>
      <c r="I1256" s="379"/>
      <c r="J1256" s="379"/>
      <c r="K1256" s="379">
        <v>2016.6</v>
      </c>
      <c r="L1256" s="379"/>
      <c r="M1256" s="379"/>
      <c r="N1256" s="379"/>
      <c r="O1256" s="379"/>
      <c r="P1256" s="379"/>
      <c r="Q1256" s="379"/>
      <c r="R1256" s="379"/>
      <c r="S1256" s="379">
        <v>24186.89</v>
      </c>
      <c r="T1256" s="379">
        <v>2248.85</v>
      </c>
      <c r="U1256" s="379"/>
      <c r="V1256" s="380">
        <v>28902.34</v>
      </c>
      <c r="W1256" s="381">
        <v>5.52</v>
      </c>
      <c r="X1256" s="379"/>
      <c r="Y1256" s="379"/>
      <c r="Z1256" s="379">
        <v>9991001</v>
      </c>
      <c r="AA1256" s="379" t="s">
        <v>2496</v>
      </c>
      <c r="AB1256" s="380">
        <f t="shared" si="18"/>
        <v>0.45999999999999996</v>
      </c>
    </row>
    <row r="1257" spans="1:28" outlineLevel="2" x14ac:dyDescent="0.3">
      <c r="A1257" s="379">
        <v>432</v>
      </c>
      <c r="B1257" s="379">
        <v>990000</v>
      </c>
      <c r="C1257" s="379" t="s">
        <v>1699</v>
      </c>
      <c r="D1257" s="379">
        <v>6103263</v>
      </c>
      <c r="E1257" s="379" t="s">
        <v>3357</v>
      </c>
      <c r="F1257" s="379" t="s">
        <v>3358</v>
      </c>
      <c r="G1257" s="383">
        <v>35065</v>
      </c>
      <c r="H1257" s="379">
        <v>7833.79</v>
      </c>
      <c r="I1257" s="379"/>
      <c r="J1257" s="379"/>
      <c r="K1257" s="379">
        <v>587.45000000000005</v>
      </c>
      <c r="L1257" s="379"/>
      <c r="M1257" s="379"/>
      <c r="N1257" s="379"/>
      <c r="O1257" s="379"/>
      <c r="P1257" s="379"/>
      <c r="Q1257" s="379"/>
      <c r="R1257" s="379"/>
      <c r="S1257" s="379">
        <v>6763.85</v>
      </c>
      <c r="T1257" s="379">
        <v>619.94000000000005</v>
      </c>
      <c r="U1257" s="379"/>
      <c r="V1257" s="380">
        <v>8421.24</v>
      </c>
      <c r="W1257" s="381">
        <v>3.84</v>
      </c>
      <c r="X1257" s="379"/>
      <c r="Y1257" s="379"/>
      <c r="Z1257" s="379">
        <v>9991001</v>
      </c>
      <c r="AA1257" s="379" t="s">
        <v>2496</v>
      </c>
      <c r="AB1257" s="380">
        <f t="shared" si="18"/>
        <v>0.32</v>
      </c>
    </row>
    <row r="1258" spans="1:28" outlineLevel="2" x14ac:dyDescent="0.3">
      <c r="A1258" s="379">
        <v>432</v>
      </c>
      <c r="B1258" s="379">
        <v>990000</v>
      </c>
      <c r="C1258" s="379" t="s">
        <v>1699</v>
      </c>
      <c r="D1258" s="379">
        <v>6103350</v>
      </c>
      <c r="E1258" s="379" t="s">
        <v>2603</v>
      </c>
      <c r="F1258" s="379" t="s">
        <v>3359</v>
      </c>
      <c r="G1258" s="383">
        <v>35855</v>
      </c>
      <c r="H1258" s="379">
        <v>102461.55</v>
      </c>
      <c r="I1258" s="379"/>
      <c r="J1258" s="379"/>
      <c r="K1258" s="379">
        <v>7684.35</v>
      </c>
      <c r="L1258" s="379"/>
      <c r="M1258" s="379"/>
      <c r="N1258" s="379"/>
      <c r="O1258" s="379"/>
      <c r="P1258" s="379"/>
      <c r="Q1258" s="379"/>
      <c r="R1258" s="379"/>
      <c r="S1258" s="379">
        <v>102011.55</v>
      </c>
      <c r="T1258" s="379"/>
      <c r="U1258" s="379"/>
      <c r="V1258" s="380">
        <v>110145.9</v>
      </c>
      <c r="W1258" s="381">
        <v>2.6040000000000001</v>
      </c>
      <c r="X1258" s="379"/>
      <c r="Y1258" s="379"/>
      <c r="Z1258" s="379">
        <v>9991001</v>
      </c>
      <c r="AA1258" s="379" t="s">
        <v>2496</v>
      </c>
      <c r="AB1258" s="380">
        <f t="shared" si="18"/>
        <v>0.217</v>
      </c>
    </row>
    <row r="1259" spans="1:28" outlineLevel="2" x14ac:dyDescent="0.3">
      <c r="A1259" s="379">
        <v>432</v>
      </c>
      <c r="B1259" s="379">
        <v>990000</v>
      </c>
      <c r="C1259" s="379" t="s">
        <v>1699</v>
      </c>
      <c r="D1259" s="379">
        <v>6104966</v>
      </c>
      <c r="E1259" s="379" t="s">
        <v>3360</v>
      </c>
      <c r="F1259" s="379" t="s">
        <v>2517</v>
      </c>
      <c r="G1259" s="383">
        <v>25173</v>
      </c>
      <c r="H1259" s="379">
        <v>53098.93</v>
      </c>
      <c r="I1259" s="379"/>
      <c r="J1259" s="379"/>
      <c r="K1259" s="379">
        <v>3982.65</v>
      </c>
      <c r="L1259" s="379"/>
      <c r="M1259" s="379"/>
      <c r="N1259" s="379"/>
      <c r="O1259" s="379"/>
      <c r="P1259" s="379"/>
      <c r="Q1259" s="379"/>
      <c r="R1259" s="379"/>
      <c r="S1259" s="379">
        <v>48880.11</v>
      </c>
      <c r="T1259" s="379">
        <v>3768.82</v>
      </c>
      <c r="U1259" s="379"/>
      <c r="V1259" s="380">
        <v>57081.58</v>
      </c>
      <c r="W1259" s="381">
        <v>8.4</v>
      </c>
      <c r="X1259" s="379"/>
      <c r="Y1259" s="379"/>
      <c r="Z1259" s="379">
        <v>9991001</v>
      </c>
      <c r="AA1259" s="379" t="s">
        <v>2496</v>
      </c>
      <c r="AB1259" s="380">
        <f t="shared" si="18"/>
        <v>0.70000000000000007</v>
      </c>
    </row>
    <row r="1260" spans="1:28" outlineLevel="2" x14ac:dyDescent="0.3">
      <c r="A1260" s="379">
        <v>432</v>
      </c>
      <c r="B1260" s="379">
        <v>990000</v>
      </c>
      <c r="C1260" s="379" t="s">
        <v>1699</v>
      </c>
      <c r="D1260" s="379">
        <v>6130052</v>
      </c>
      <c r="E1260" s="379" t="s">
        <v>3361</v>
      </c>
      <c r="F1260" s="379" t="s">
        <v>2707</v>
      </c>
      <c r="G1260" s="383">
        <v>22037</v>
      </c>
      <c r="H1260" s="379">
        <v>63177.55</v>
      </c>
      <c r="I1260" s="379"/>
      <c r="J1260" s="379"/>
      <c r="K1260" s="379">
        <v>4738.5</v>
      </c>
      <c r="L1260" s="379"/>
      <c r="M1260" s="379"/>
      <c r="N1260" s="379"/>
      <c r="O1260" s="379"/>
      <c r="P1260" s="379"/>
      <c r="Q1260" s="379"/>
      <c r="R1260" s="379"/>
      <c r="S1260" s="379">
        <v>58132.56</v>
      </c>
      <c r="T1260" s="379">
        <v>4594.99</v>
      </c>
      <c r="U1260" s="379"/>
      <c r="V1260" s="380">
        <v>67916.05</v>
      </c>
      <c r="W1260" s="381">
        <v>7.74</v>
      </c>
      <c r="X1260" s="379"/>
      <c r="Y1260" s="379"/>
      <c r="Z1260" s="379">
        <v>9991001</v>
      </c>
      <c r="AA1260" s="379" t="s">
        <v>2496</v>
      </c>
      <c r="AB1260" s="380">
        <f t="shared" si="18"/>
        <v>0.64500000000000002</v>
      </c>
    </row>
    <row r="1261" spans="1:28" outlineLevel="2" x14ac:dyDescent="0.3">
      <c r="A1261" s="379">
        <v>432</v>
      </c>
      <c r="B1261" s="379">
        <v>990000</v>
      </c>
      <c r="C1261" s="379" t="s">
        <v>1699</v>
      </c>
      <c r="D1261" s="379">
        <v>6140614</v>
      </c>
      <c r="E1261" s="379" t="s">
        <v>3362</v>
      </c>
      <c r="F1261" s="379" t="s">
        <v>2738</v>
      </c>
      <c r="G1261" s="383">
        <v>42917</v>
      </c>
      <c r="H1261" s="379">
        <v>43317.68</v>
      </c>
      <c r="I1261" s="379"/>
      <c r="J1261" s="379"/>
      <c r="K1261" s="379">
        <v>33.75</v>
      </c>
      <c r="L1261" s="379"/>
      <c r="M1261" s="379"/>
      <c r="N1261" s="379"/>
      <c r="O1261" s="379">
        <v>2286.6</v>
      </c>
      <c r="P1261" s="379"/>
      <c r="Q1261" s="379"/>
      <c r="R1261" s="379"/>
      <c r="S1261" s="379">
        <v>37337.42</v>
      </c>
      <c r="T1261" s="379">
        <v>3243.66</v>
      </c>
      <c r="U1261" s="379"/>
      <c r="V1261" s="380">
        <v>43351.43</v>
      </c>
      <c r="W1261" s="381">
        <v>5.04</v>
      </c>
      <c r="X1261" s="379"/>
      <c r="Y1261" s="379"/>
      <c r="Z1261" s="379">
        <v>9991001</v>
      </c>
      <c r="AA1261" s="379" t="s">
        <v>2496</v>
      </c>
      <c r="AB1261" s="380">
        <f t="shared" si="18"/>
        <v>0.42</v>
      </c>
    </row>
    <row r="1262" spans="1:28" outlineLevel="2" x14ac:dyDescent="0.3">
      <c r="A1262" s="379">
        <v>432</v>
      </c>
      <c r="B1262" s="379">
        <v>990000</v>
      </c>
      <c r="C1262" s="379" t="s">
        <v>1699</v>
      </c>
      <c r="D1262" s="379">
        <v>6144084</v>
      </c>
      <c r="E1262" s="379" t="s">
        <v>2538</v>
      </c>
      <c r="F1262" s="379" t="s">
        <v>2717</v>
      </c>
      <c r="G1262" s="383">
        <v>33939</v>
      </c>
      <c r="H1262" s="379">
        <v>27297.7</v>
      </c>
      <c r="I1262" s="379"/>
      <c r="J1262" s="379"/>
      <c r="K1262" s="379">
        <v>2047.35</v>
      </c>
      <c r="L1262" s="379"/>
      <c r="M1262" s="379"/>
      <c r="N1262" s="379"/>
      <c r="O1262" s="379"/>
      <c r="P1262" s="379"/>
      <c r="Q1262" s="379"/>
      <c r="R1262" s="379"/>
      <c r="S1262" s="379">
        <v>24652.81</v>
      </c>
      <c r="T1262" s="379">
        <v>2194.89</v>
      </c>
      <c r="U1262" s="379"/>
      <c r="V1262" s="380">
        <v>29345.05</v>
      </c>
      <c r="W1262" s="381">
        <v>4.2359999999999998</v>
      </c>
      <c r="X1262" s="379"/>
      <c r="Y1262" s="379"/>
      <c r="Z1262" s="379">
        <v>9991001</v>
      </c>
      <c r="AA1262" s="379" t="s">
        <v>2496</v>
      </c>
      <c r="AB1262" s="380">
        <f t="shared" si="18"/>
        <v>0.35299999999999998</v>
      </c>
    </row>
    <row r="1263" spans="1:28" outlineLevel="2" x14ac:dyDescent="0.3">
      <c r="A1263" s="379">
        <v>432</v>
      </c>
      <c r="B1263" s="379">
        <v>990000</v>
      </c>
      <c r="C1263" s="379" t="s">
        <v>1699</v>
      </c>
      <c r="D1263" s="379">
        <v>6146063</v>
      </c>
      <c r="E1263" s="379" t="s">
        <v>3363</v>
      </c>
      <c r="F1263" s="379" t="s">
        <v>2900</v>
      </c>
      <c r="G1263" s="383">
        <v>26177</v>
      </c>
      <c r="H1263" s="379">
        <v>81334.149999999994</v>
      </c>
      <c r="I1263" s="379"/>
      <c r="J1263" s="379"/>
      <c r="K1263" s="379">
        <v>6100.2</v>
      </c>
      <c r="L1263" s="379"/>
      <c r="M1263" s="379"/>
      <c r="N1263" s="379"/>
      <c r="O1263" s="379">
        <v>6686.4</v>
      </c>
      <c r="P1263" s="379"/>
      <c r="Q1263" s="379"/>
      <c r="R1263" s="379"/>
      <c r="S1263" s="379">
        <v>68791.649999999994</v>
      </c>
      <c r="T1263" s="379">
        <v>5406.1</v>
      </c>
      <c r="U1263" s="379"/>
      <c r="V1263" s="380">
        <v>87434.35</v>
      </c>
      <c r="W1263" s="381">
        <v>8.4</v>
      </c>
      <c r="X1263" s="379"/>
      <c r="Y1263" s="379"/>
      <c r="Z1263" s="379">
        <v>9991001</v>
      </c>
      <c r="AA1263" s="379" t="s">
        <v>2496</v>
      </c>
      <c r="AB1263" s="380">
        <f t="shared" si="18"/>
        <v>0.70000000000000007</v>
      </c>
    </row>
    <row r="1264" spans="1:28" outlineLevel="2" x14ac:dyDescent="0.3">
      <c r="A1264" s="379">
        <v>432</v>
      </c>
      <c r="B1264" s="379">
        <v>990000</v>
      </c>
      <c r="C1264" s="379" t="s">
        <v>1699</v>
      </c>
      <c r="D1264" s="379">
        <v>6174033</v>
      </c>
      <c r="E1264" s="379" t="s">
        <v>3364</v>
      </c>
      <c r="F1264" s="379" t="s">
        <v>3142</v>
      </c>
      <c r="G1264" s="383">
        <v>28157</v>
      </c>
      <c r="H1264" s="379">
        <v>75137.740000000005</v>
      </c>
      <c r="I1264" s="379"/>
      <c r="J1264" s="379"/>
      <c r="K1264" s="379">
        <v>5635.3</v>
      </c>
      <c r="L1264" s="379"/>
      <c r="M1264" s="379"/>
      <c r="N1264" s="379"/>
      <c r="O1264" s="379">
        <v>2352</v>
      </c>
      <c r="P1264" s="379"/>
      <c r="Q1264" s="379"/>
      <c r="R1264" s="379"/>
      <c r="S1264" s="379">
        <v>66929.64</v>
      </c>
      <c r="T1264" s="379">
        <v>5406.1</v>
      </c>
      <c r="U1264" s="379"/>
      <c r="V1264" s="380">
        <v>80773.039999999994</v>
      </c>
      <c r="W1264" s="381">
        <v>8.4</v>
      </c>
      <c r="X1264" s="379"/>
      <c r="Y1264" s="379"/>
      <c r="Z1264" s="379">
        <v>9991001</v>
      </c>
      <c r="AA1264" s="379" t="s">
        <v>2496</v>
      </c>
      <c r="AB1264" s="380">
        <f t="shared" si="18"/>
        <v>0.70000000000000007</v>
      </c>
    </row>
    <row r="1265" spans="1:28" outlineLevel="2" x14ac:dyDescent="0.3">
      <c r="A1265" s="379">
        <v>432</v>
      </c>
      <c r="B1265" s="379">
        <v>990000</v>
      </c>
      <c r="C1265" s="379" t="s">
        <v>1699</v>
      </c>
      <c r="D1265" s="379">
        <v>6176953</v>
      </c>
      <c r="E1265" s="379" t="s">
        <v>3365</v>
      </c>
      <c r="F1265" s="379" t="s">
        <v>2729</v>
      </c>
      <c r="G1265" s="383">
        <v>36678</v>
      </c>
      <c r="H1265" s="379">
        <v>11571.86</v>
      </c>
      <c r="I1265" s="379"/>
      <c r="J1265" s="379"/>
      <c r="K1265" s="379">
        <v>868</v>
      </c>
      <c r="L1265" s="379"/>
      <c r="M1265" s="379"/>
      <c r="N1265" s="379"/>
      <c r="O1265" s="379"/>
      <c r="P1265" s="379"/>
      <c r="Q1265" s="379"/>
      <c r="R1265" s="379"/>
      <c r="S1265" s="379">
        <v>10221.66</v>
      </c>
      <c r="T1265" s="379">
        <v>900.2</v>
      </c>
      <c r="U1265" s="379"/>
      <c r="V1265" s="380">
        <v>12439.86</v>
      </c>
      <c r="W1265" s="381">
        <v>2.4</v>
      </c>
      <c r="X1265" s="379"/>
      <c r="Y1265" s="379"/>
      <c r="Z1265" s="379">
        <v>9991001</v>
      </c>
      <c r="AA1265" s="379" t="s">
        <v>2496</v>
      </c>
      <c r="AB1265" s="380">
        <f t="shared" si="18"/>
        <v>0.19999999999999998</v>
      </c>
    </row>
    <row r="1266" spans="1:28" outlineLevel="2" x14ac:dyDescent="0.3">
      <c r="A1266" s="379">
        <v>432</v>
      </c>
      <c r="B1266" s="379">
        <v>990000</v>
      </c>
      <c r="C1266" s="379" t="s">
        <v>1699</v>
      </c>
      <c r="D1266" s="379">
        <v>6180843</v>
      </c>
      <c r="E1266" s="379" t="s">
        <v>2519</v>
      </c>
      <c r="F1266" s="379" t="s">
        <v>2333</v>
      </c>
      <c r="G1266" s="383">
        <v>27729</v>
      </c>
      <c r="H1266" s="379">
        <v>63592.18</v>
      </c>
      <c r="I1266" s="379"/>
      <c r="J1266" s="379"/>
      <c r="K1266" s="379">
        <v>4769.55</v>
      </c>
      <c r="L1266" s="379"/>
      <c r="M1266" s="379"/>
      <c r="N1266" s="379"/>
      <c r="O1266" s="379">
        <v>3024</v>
      </c>
      <c r="P1266" s="379"/>
      <c r="Q1266" s="379"/>
      <c r="R1266" s="379"/>
      <c r="S1266" s="379">
        <v>55013.78</v>
      </c>
      <c r="T1266" s="379">
        <v>5104.3999999999996</v>
      </c>
      <c r="U1266" s="379"/>
      <c r="V1266" s="380">
        <v>68361.73</v>
      </c>
      <c r="W1266" s="381">
        <v>8.4</v>
      </c>
      <c r="X1266" s="379"/>
      <c r="Y1266" s="379"/>
      <c r="Z1266" s="379">
        <v>9991001</v>
      </c>
      <c r="AA1266" s="379" t="s">
        <v>2496</v>
      </c>
      <c r="AB1266" s="380">
        <f t="shared" si="18"/>
        <v>0.70000000000000007</v>
      </c>
    </row>
    <row r="1267" spans="1:28" outlineLevel="2" x14ac:dyDescent="0.3">
      <c r="A1267" s="379">
        <v>432</v>
      </c>
      <c r="B1267" s="379">
        <v>990000</v>
      </c>
      <c r="C1267" s="379" t="s">
        <v>1699</v>
      </c>
      <c r="D1267" s="379">
        <v>6180973</v>
      </c>
      <c r="E1267" s="379" t="s">
        <v>2340</v>
      </c>
      <c r="F1267" s="379" t="s">
        <v>3366</v>
      </c>
      <c r="G1267" s="383">
        <v>27334</v>
      </c>
      <c r="H1267" s="379">
        <v>54405.17</v>
      </c>
      <c r="I1267" s="379"/>
      <c r="J1267" s="379"/>
      <c r="K1267" s="379">
        <v>4080.4</v>
      </c>
      <c r="L1267" s="379"/>
      <c r="M1267" s="379"/>
      <c r="N1267" s="379"/>
      <c r="O1267" s="379"/>
      <c r="P1267" s="379"/>
      <c r="Q1267" s="379"/>
      <c r="R1267" s="379"/>
      <c r="S1267" s="379">
        <v>49630.29</v>
      </c>
      <c r="T1267" s="379">
        <v>4324.88</v>
      </c>
      <c r="U1267" s="379"/>
      <c r="V1267" s="380">
        <v>58485.57</v>
      </c>
      <c r="W1267" s="381">
        <v>8.4</v>
      </c>
      <c r="X1267" s="379"/>
      <c r="Y1267" s="379"/>
      <c r="Z1267" s="379">
        <v>9991001</v>
      </c>
      <c r="AA1267" s="379" t="s">
        <v>2496</v>
      </c>
      <c r="AB1267" s="380">
        <f t="shared" si="18"/>
        <v>0.70000000000000007</v>
      </c>
    </row>
    <row r="1268" spans="1:28" outlineLevel="2" x14ac:dyDescent="0.3">
      <c r="A1268" s="379">
        <v>432</v>
      </c>
      <c r="B1268" s="379">
        <v>990000</v>
      </c>
      <c r="C1268" s="379" t="s">
        <v>1699</v>
      </c>
      <c r="D1268" s="379">
        <v>6181014</v>
      </c>
      <c r="E1268" s="379" t="s">
        <v>2581</v>
      </c>
      <c r="F1268" s="379" t="s">
        <v>2333</v>
      </c>
      <c r="G1268" s="383">
        <v>28734</v>
      </c>
      <c r="H1268" s="379">
        <v>72203.759999999995</v>
      </c>
      <c r="I1268" s="379"/>
      <c r="J1268" s="379"/>
      <c r="K1268" s="379">
        <v>5415.15</v>
      </c>
      <c r="L1268" s="379"/>
      <c r="M1268" s="379"/>
      <c r="N1268" s="379"/>
      <c r="O1268" s="379">
        <v>6495.36</v>
      </c>
      <c r="P1268" s="379"/>
      <c r="Q1268" s="379"/>
      <c r="R1268" s="379"/>
      <c r="S1268" s="379">
        <v>60006.76</v>
      </c>
      <c r="T1268" s="379">
        <v>5251.64</v>
      </c>
      <c r="U1268" s="379"/>
      <c r="V1268" s="380">
        <v>77618.91</v>
      </c>
      <c r="W1268" s="381">
        <v>8.16</v>
      </c>
      <c r="X1268" s="379"/>
      <c r="Y1268" s="379"/>
      <c r="Z1268" s="379">
        <v>9991001</v>
      </c>
      <c r="AA1268" s="379" t="s">
        <v>2496</v>
      </c>
      <c r="AB1268" s="380">
        <f t="shared" si="18"/>
        <v>0.68</v>
      </c>
    </row>
    <row r="1269" spans="1:28" outlineLevel="2" x14ac:dyDescent="0.3">
      <c r="A1269" s="379">
        <v>432</v>
      </c>
      <c r="B1269" s="379">
        <v>990000</v>
      </c>
      <c r="C1269" s="379" t="s">
        <v>1699</v>
      </c>
      <c r="D1269" s="379">
        <v>6184325</v>
      </c>
      <c r="E1269" s="379" t="s">
        <v>969</v>
      </c>
      <c r="F1269" s="379" t="s">
        <v>2514</v>
      </c>
      <c r="G1269" s="383">
        <v>27364</v>
      </c>
      <c r="H1269" s="379">
        <v>114721.78</v>
      </c>
      <c r="I1269" s="379"/>
      <c r="J1269" s="379"/>
      <c r="K1269" s="379">
        <v>6992.05</v>
      </c>
      <c r="L1269" s="379"/>
      <c r="M1269" s="379"/>
      <c r="N1269" s="379"/>
      <c r="O1269" s="379"/>
      <c r="P1269" s="379">
        <v>21495.599999999999</v>
      </c>
      <c r="Q1269" s="379"/>
      <c r="R1269" s="379"/>
      <c r="S1269" s="379">
        <v>87370.08</v>
      </c>
      <c r="T1269" s="379">
        <v>5406.1</v>
      </c>
      <c r="U1269" s="379"/>
      <c r="V1269" s="380">
        <v>121713.83</v>
      </c>
      <c r="W1269" s="381">
        <v>8.4</v>
      </c>
      <c r="X1269" s="379"/>
      <c r="Y1269" s="379"/>
      <c r="Z1269" s="379">
        <v>9991001</v>
      </c>
      <c r="AA1269" s="379" t="s">
        <v>2496</v>
      </c>
      <c r="AB1269" s="380">
        <f t="shared" si="18"/>
        <v>0.70000000000000007</v>
      </c>
    </row>
    <row r="1270" spans="1:28" outlineLevel="2" x14ac:dyDescent="0.3">
      <c r="A1270" s="379">
        <v>432</v>
      </c>
      <c r="B1270" s="379">
        <v>990000</v>
      </c>
      <c r="C1270" s="379" t="s">
        <v>1699</v>
      </c>
      <c r="D1270" s="379">
        <v>6184583</v>
      </c>
      <c r="E1270" s="379" t="s">
        <v>2303</v>
      </c>
      <c r="F1270" s="379" t="s">
        <v>2303</v>
      </c>
      <c r="G1270" s="383">
        <v>34943</v>
      </c>
      <c r="H1270" s="379">
        <v>25599.119999999999</v>
      </c>
      <c r="I1270" s="379"/>
      <c r="J1270" s="379"/>
      <c r="K1270" s="379">
        <v>1920</v>
      </c>
      <c r="L1270" s="379"/>
      <c r="M1270" s="379"/>
      <c r="N1270" s="379"/>
      <c r="O1270" s="379"/>
      <c r="P1270" s="379"/>
      <c r="Q1270" s="379"/>
      <c r="R1270" s="379"/>
      <c r="S1270" s="379">
        <v>22953.599999999999</v>
      </c>
      <c r="T1270" s="379">
        <v>2195.52</v>
      </c>
      <c r="U1270" s="379"/>
      <c r="V1270" s="380">
        <v>27519.119999999999</v>
      </c>
      <c r="W1270" s="381">
        <v>3.84</v>
      </c>
      <c r="X1270" s="379"/>
      <c r="Y1270" s="379"/>
      <c r="Z1270" s="379">
        <v>9991001</v>
      </c>
      <c r="AA1270" s="379" t="s">
        <v>2496</v>
      </c>
      <c r="AB1270" s="380">
        <f t="shared" si="18"/>
        <v>0.32</v>
      </c>
    </row>
    <row r="1271" spans="1:28" outlineLevel="2" x14ac:dyDescent="0.3">
      <c r="A1271" s="379">
        <v>432</v>
      </c>
      <c r="B1271" s="379">
        <v>990000</v>
      </c>
      <c r="C1271" s="379" t="s">
        <v>1699</v>
      </c>
      <c r="D1271" s="379">
        <v>6186297</v>
      </c>
      <c r="E1271" s="379" t="s">
        <v>3288</v>
      </c>
      <c r="F1271" s="379" t="s">
        <v>3367</v>
      </c>
      <c r="G1271" s="383">
        <v>28246</v>
      </c>
      <c r="H1271" s="379">
        <v>42456.95</v>
      </c>
      <c r="I1271" s="379"/>
      <c r="J1271" s="379"/>
      <c r="K1271" s="379">
        <v>3184.4</v>
      </c>
      <c r="L1271" s="379"/>
      <c r="M1271" s="379"/>
      <c r="N1271" s="379"/>
      <c r="O1271" s="379">
        <v>1356</v>
      </c>
      <c r="P1271" s="379"/>
      <c r="Q1271" s="379"/>
      <c r="R1271" s="379"/>
      <c r="S1271" s="379">
        <v>37476.800000000003</v>
      </c>
      <c r="T1271" s="379">
        <v>3174.15</v>
      </c>
      <c r="U1271" s="379"/>
      <c r="V1271" s="380">
        <v>45641.35</v>
      </c>
      <c r="W1271" s="381">
        <v>7.476</v>
      </c>
      <c r="X1271" s="379"/>
      <c r="Y1271" s="379"/>
      <c r="Z1271" s="379">
        <v>9991001</v>
      </c>
      <c r="AA1271" s="379" t="s">
        <v>2496</v>
      </c>
      <c r="AB1271" s="380">
        <f t="shared" si="18"/>
        <v>0.623</v>
      </c>
    </row>
    <row r="1272" spans="1:28" outlineLevel="2" x14ac:dyDescent="0.3">
      <c r="A1272" s="379">
        <v>432</v>
      </c>
      <c r="B1272" s="379">
        <v>990000</v>
      </c>
      <c r="C1272" s="379" t="s">
        <v>1699</v>
      </c>
      <c r="D1272" s="379">
        <v>6186486</v>
      </c>
      <c r="E1272" s="379" t="s">
        <v>2375</v>
      </c>
      <c r="F1272" s="379" t="s">
        <v>2583</v>
      </c>
      <c r="G1272" s="383">
        <v>32874</v>
      </c>
      <c r="H1272" s="379">
        <v>88538.46</v>
      </c>
      <c r="I1272" s="379"/>
      <c r="J1272" s="379"/>
      <c r="K1272" s="379">
        <v>6640.3</v>
      </c>
      <c r="L1272" s="379"/>
      <c r="M1272" s="379"/>
      <c r="N1272" s="379"/>
      <c r="O1272" s="379"/>
      <c r="P1272" s="379"/>
      <c r="Q1272" s="379"/>
      <c r="R1272" s="379"/>
      <c r="S1272" s="379">
        <v>88088.46</v>
      </c>
      <c r="T1272" s="379"/>
      <c r="U1272" s="379"/>
      <c r="V1272" s="380">
        <v>95178.76</v>
      </c>
      <c r="W1272" s="381">
        <v>2.04</v>
      </c>
      <c r="X1272" s="379"/>
      <c r="Y1272" s="379"/>
      <c r="Z1272" s="379">
        <v>2012001</v>
      </c>
      <c r="AA1272" s="379" t="s">
        <v>2297</v>
      </c>
      <c r="AB1272" s="380">
        <f t="shared" si="18"/>
        <v>0.17</v>
      </c>
    </row>
    <row r="1273" spans="1:28" outlineLevel="2" x14ac:dyDescent="0.3">
      <c r="A1273" s="379">
        <v>432</v>
      </c>
      <c r="B1273" s="379">
        <v>990000</v>
      </c>
      <c r="C1273" s="379" t="s">
        <v>1699</v>
      </c>
      <c r="D1273" s="379">
        <v>6186783</v>
      </c>
      <c r="E1273" s="379" t="s">
        <v>2936</v>
      </c>
      <c r="F1273" s="379" t="s">
        <v>3121</v>
      </c>
      <c r="G1273" s="383">
        <v>32540</v>
      </c>
      <c r="H1273" s="379">
        <v>19216.57</v>
      </c>
      <c r="I1273" s="379"/>
      <c r="J1273" s="379"/>
      <c r="K1273" s="379">
        <v>1441.15</v>
      </c>
      <c r="L1273" s="379"/>
      <c r="M1273" s="379"/>
      <c r="N1273" s="379"/>
      <c r="O1273" s="379"/>
      <c r="P1273" s="379"/>
      <c r="Q1273" s="379"/>
      <c r="R1273" s="379"/>
      <c r="S1273" s="379">
        <v>17497.560000000001</v>
      </c>
      <c r="T1273" s="379">
        <v>1269.01</v>
      </c>
      <c r="U1273" s="379"/>
      <c r="V1273" s="380">
        <v>20657.72</v>
      </c>
      <c r="W1273" s="381">
        <v>4.5599999999999996</v>
      </c>
      <c r="X1273" s="379"/>
      <c r="Y1273" s="379"/>
      <c r="Z1273" s="379">
        <v>9991001</v>
      </c>
      <c r="AA1273" s="379" t="s">
        <v>2496</v>
      </c>
      <c r="AB1273" s="380">
        <f t="shared" si="18"/>
        <v>0.37999999999999995</v>
      </c>
    </row>
    <row r="1274" spans="1:28" outlineLevel="2" x14ac:dyDescent="0.3">
      <c r="A1274" s="379">
        <v>432</v>
      </c>
      <c r="B1274" s="379">
        <v>990000</v>
      </c>
      <c r="C1274" s="379" t="s">
        <v>1699</v>
      </c>
      <c r="D1274" s="379">
        <v>6189656</v>
      </c>
      <c r="E1274" s="379" t="s">
        <v>2519</v>
      </c>
      <c r="F1274" s="379" t="s">
        <v>3368</v>
      </c>
      <c r="G1274" s="383">
        <v>31352</v>
      </c>
      <c r="H1274" s="379">
        <v>54711.17</v>
      </c>
      <c r="I1274" s="379"/>
      <c r="J1274" s="379"/>
      <c r="K1274" s="379">
        <v>4103.5</v>
      </c>
      <c r="L1274" s="379"/>
      <c r="M1274" s="379"/>
      <c r="N1274" s="379"/>
      <c r="O1274" s="379"/>
      <c r="P1274" s="379"/>
      <c r="Q1274" s="379"/>
      <c r="R1274" s="379"/>
      <c r="S1274" s="379">
        <v>49627.37</v>
      </c>
      <c r="T1274" s="379">
        <v>4633.8</v>
      </c>
      <c r="U1274" s="379"/>
      <c r="V1274" s="380">
        <v>58814.67</v>
      </c>
      <c r="W1274" s="381">
        <v>7.2</v>
      </c>
      <c r="X1274" s="379"/>
      <c r="Y1274" s="379"/>
      <c r="Z1274" s="379">
        <v>9991001</v>
      </c>
      <c r="AA1274" s="379" t="s">
        <v>2496</v>
      </c>
      <c r="AB1274" s="380">
        <f t="shared" si="18"/>
        <v>0.6</v>
      </c>
    </row>
    <row r="1275" spans="1:28" outlineLevel="2" x14ac:dyDescent="0.3">
      <c r="A1275" s="379">
        <v>432</v>
      </c>
      <c r="B1275" s="379">
        <v>990000</v>
      </c>
      <c r="C1275" s="379" t="s">
        <v>1699</v>
      </c>
      <c r="D1275" s="379">
        <v>6190761</v>
      </c>
      <c r="E1275" s="379" t="s">
        <v>2449</v>
      </c>
      <c r="F1275" s="379" t="s">
        <v>2514</v>
      </c>
      <c r="G1275" s="383">
        <v>25600</v>
      </c>
      <c r="H1275" s="379">
        <v>64063.31</v>
      </c>
      <c r="I1275" s="379"/>
      <c r="J1275" s="379"/>
      <c r="K1275" s="379">
        <v>4804.75</v>
      </c>
      <c r="L1275" s="379"/>
      <c r="M1275" s="379"/>
      <c r="N1275" s="379"/>
      <c r="O1275" s="379"/>
      <c r="P1275" s="379"/>
      <c r="Q1275" s="379"/>
      <c r="R1275" s="379"/>
      <c r="S1275" s="379">
        <v>59702.54</v>
      </c>
      <c r="T1275" s="379">
        <v>3910.77</v>
      </c>
      <c r="U1275" s="379"/>
      <c r="V1275" s="380">
        <v>68868.06</v>
      </c>
      <c r="W1275" s="381">
        <v>6.84</v>
      </c>
      <c r="X1275" s="379"/>
      <c r="Y1275" s="379"/>
      <c r="Z1275" s="379">
        <v>9991001</v>
      </c>
      <c r="AA1275" s="379" t="s">
        <v>2496</v>
      </c>
      <c r="AB1275" s="380">
        <f t="shared" si="18"/>
        <v>0.56999999999999995</v>
      </c>
    </row>
    <row r="1276" spans="1:28" outlineLevel="2" x14ac:dyDescent="0.3">
      <c r="A1276" s="379">
        <v>432</v>
      </c>
      <c r="B1276" s="379">
        <v>990000</v>
      </c>
      <c r="C1276" s="379" t="s">
        <v>1699</v>
      </c>
      <c r="D1276" s="379">
        <v>6201545</v>
      </c>
      <c r="E1276" s="379" t="s">
        <v>2812</v>
      </c>
      <c r="F1276" s="379" t="s">
        <v>2813</v>
      </c>
      <c r="G1276" s="383">
        <v>35096</v>
      </c>
      <c r="H1276" s="379">
        <v>36681.730000000003</v>
      </c>
      <c r="I1276" s="379"/>
      <c r="J1276" s="379"/>
      <c r="K1276" s="379">
        <v>2751.06</v>
      </c>
      <c r="L1276" s="379"/>
      <c r="M1276" s="379"/>
      <c r="N1276" s="379"/>
      <c r="O1276" s="379"/>
      <c r="P1276" s="379"/>
      <c r="Q1276" s="379"/>
      <c r="R1276" s="379"/>
      <c r="S1276" s="379">
        <v>36531.730000000003</v>
      </c>
      <c r="T1276" s="379"/>
      <c r="U1276" s="379"/>
      <c r="V1276" s="380">
        <v>39432.79</v>
      </c>
      <c r="W1276" s="381">
        <v>4.5999999999999996</v>
      </c>
      <c r="X1276" s="379">
        <v>111</v>
      </c>
      <c r="Y1276" s="379" t="s">
        <v>2575</v>
      </c>
      <c r="Z1276" s="379">
        <v>9991001</v>
      </c>
      <c r="AA1276" s="379" t="s">
        <v>2496</v>
      </c>
      <c r="AB1276" s="380">
        <f t="shared" si="18"/>
        <v>0.3833333333333333</v>
      </c>
    </row>
    <row r="1277" spans="1:28" outlineLevel="2" x14ac:dyDescent="0.3">
      <c r="A1277" s="379">
        <v>432</v>
      </c>
      <c r="B1277" s="379">
        <v>990000</v>
      </c>
      <c r="C1277" s="379" t="s">
        <v>1699</v>
      </c>
      <c r="D1277" s="379">
        <v>6203734</v>
      </c>
      <c r="E1277" s="379" t="s">
        <v>2581</v>
      </c>
      <c r="F1277" s="379" t="s">
        <v>2368</v>
      </c>
      <c r="G1277" s="383">
        <v>26085</v>
      </c>
      <c r="H1277" s="379">
        <v>69574.81</v>
      </c>
      <c r="I1277" s="379"/>
      <c r="J1277" s="379"/>
      <c r="K1277" s="379">
        <v>5218.25</v>
      </c>
      <c r="L1277" s="379"/>
      <c r="M1277" s="379"/>
      <c r="N1277" s="379"/>
      <c r="O1277" s="379">
        <v>3024</v>
      </c>
      <c r="P1277" s="379"/>
      <c r="Q1277" s="379"/>
      <c r="R1277" s="379"/>
      <c r="S1277" s="379">
        <v>60694.71</v>
      </c>
      <c r="T1277" s="379">
        <v>5406.1</v>
      </c>
      <c r="U1277" s="379"/>
      <c r="V1277" s="380">
        <v>74793.06</v>
      </c>
      <c r="W1277" s="381">
        <v>8.4</v>
      </c>
      <c r="X1277" s="379"/>
      <c r="Y1277" s="379"/>
      <c r="Z1277" s="379">
        <v>9991001</v>
      </c>
      <c r="AA1277" s="379" t="s">
        <v>2496</v>
      </c>
      <c r="AB1277" s="380">
        <f t="shared" si="18"/>
        <v>0.70000000000000007</v>
      </c>
    </row>
    <row r="1278" spans="1:28" outlineLevel="2" x14ac:dyDescent="0.3">
      <c r="A1278" s="379">
        <v>432</v>
      </c>
      <c r="B1278" s="379">
        <v>990000</v>
      </c>
      <c r="C1278" s="379" t="s">
        <v>1699</v>
      </c>
      <c r="D1278" s="379">
        <v>6205034</v>
      </c>
      <c r="E1278" s="379" t="s">
        <v>3352</v>
      </c>
      <c r="F1278" s="379" t="s">
        <v>3369</v>
      </c>
      <c r="G1278" s="383">
        <v>30621</v>
      </c>
      <c r="H1278" s="379">
        <v>375034.65</v>
      </c>
      <c r="I1278" s="379"/>
      <c r="J1278" s="379"/>
      <c r="K1278" s="379">
        <v>28127.65</v>
      </c>
      <c r="L1278" s="379"/>
      <c r="M1278" s="379"/>
      <c r="N1278" s="379"/>
      <c r="O1278" s="379"/>
      <c r="P1278" s="379"/>
      <c r="Q1278" s="379"/>
      <c r="R1278" s="379"/>
      <c r="S1278" s="379">
        <v>374584.65</v>
      </c>
      <c r="T1278" s="379"/>
      <c r="U1278" s="379"/>
      <c r="V1278" s="380">
        <v>403162.3</v>
      </c>
      <c r="W1278" s="381">
        <v>8.4</v>
      </c>
      <c r="X1278" s="379"/>
      <c r="Y1278" s="379"/>
      <c r="Z1278" s="379">
        <v>9991001</v>
      </c>
      <c r="AA1278" s="379" t="s">
        <v>2496</v>
      </c>
      <c r="AB1278" s="380">
        <f t="shared" si="18"/>
        <v>0.70000000000000007</v>
      </c>
    </row>
    <row r="1279" spans="1:28" outlineLevel="2" x14ac:dyDescent="0.3">
      <c r="A1279" s="379">
        <v>432</v>
      </c>
      <c r="B1279" s="379">
        <v>990000</v>
      </c>
      <c r="C1279" s="379" t="s">
        <v>1699</v>
      </c>
      <c r="D1279" s="379">
        <v>6205035</v>
      </c>
      <c r="E1279" s="379" t="s">
        <v>3370</v>
      </c>
      <c r="F1279" s="379" t="s">
        <v>3371</v>
      </c>
      <c r="G1279" s="383">
        <v>33848</v>
      </c>
      <c r="H1279" s="379">
        <v>40684.53</v>
      </c>
      <c r="I1279" s="379"/>
      <c r="J1279" s="379"/>
      <c r="K1279" s="379">
        <v>3051.2</v>
      </c>
      <c r="L1279" s="379"/>
      <c r="M1279" s="379"/>
      <c r="N1279" s="379"/>
      <c r="O1279" s="379"/>
      <c r="P1279" s="379"/>
      <c r="Q1279" s="379"/>
      <c r="R1279" s="379"/>
      <c r="S1279" s="379">
        <v>36880.21</v>
      </c>
      <c r="T1279" s="379">
        <v>3354.32</v>
      </c>
      <c r="U1279" s="379"/>
      <c r="V1279" s="380">
        <v>43735.73</v>
      </c>
      <c r="W1279" s="381">
        <v>5.52</v>
      </c>
      <c r="X1279" s="379"/>
      <c r="Y1279" s="379"/>
      <c r="Z1279" s="379">
        <v>9991001</v>
      </c>
      <c r="AA1279" s="379" t="s">
        <v>2496</v>
      </c>
      <c r="AB1279" s="380">
        <f t="shared" si="18"/>
        <v>0.45999999999999996</v>
      </c>
    </row>
    <row r="1280" spans="1:28" outlineLevel="2" x14ac:dyDescent="0.3">
      <c r="A1280" s="379">
        <v>432</v>
      </c>
      <c r="B1280" s="379">
        <v>990000</v>
      </c>
      <c r="C1280" s="379" t="s">
        <v>1699</v>
      </c>
      <c r="D1280" s="379">
        <v>6205404</v>
      </c>
      <c r="E1280" s="379" t="s">
        <v>3305</v>
      </c>
      <c r="F1280" s="379" t="s">
        <v>2445</v>
      </c>
      <c r="G1280" s="383">
        <v>33725</v>
      </c>
      <c r="H1280" s="379">
        <v>24943.51</v>
      </c>
      <c r="I1280" s="379"/>
      <c r="J1280" s="379"/>
      <c r="K1280" s="379">
        <v>1870.95</v>
      </c>
      <c r="L1280" s="379"/>
      <c r="M1280" s="379"/>
      <c r="N1280" s="379"/>
      <c r="O1280" s="379">
        <v>1488</v>
      </c>
      <c r="P1280" s="379"/>
      <c r="Q1280" s="379"/>
      <c r="R1280" s="379"/>
      <c r="S1280" s="379">
        <v>21285.360000000001</v>
      </c>
      <c r="T1280" s="379">
        <v>1720.15</v>
      </c>
      <c r="U1280" s="379"/>
      <c r="V1280" s="380">
        <v>26814.46</v>
      </c>
      <c r="W1280" s="381">
        <v>6</v>
      </c>
      <c r="X1280" s="379"/>
      <c r="Y1280" s="379"/>
      <c r="Z1280" s="379">
        <v>9991001</v>
      </c>
      <c r="AA1280" s="379" t="s">
        <v>2496</v>
      </c>
      <c r="AB1280" s="380">
        <f t="shared" si="18"/>
        <v>0.5</v>
      </c>
    </row>
    <row r="1281" spans="1:28" outlineLevel="2" x14ac:dyDescent="0.3">
      <c r="A1281" s="379">
        <v>432</v>
      </c>
      <c r="B1281" s="379">
        <v>990000</v>
      </c>
      <c r="C1281" s="379" t="s">
        <v>1699</v>
      </c>
      <c r="D1281" s="379">
        <v>6206616</v>
      </c>
      <c r="E1281" s="379" t="s">
        <v>3372</v>
      </c>
      <c r="F1281" s="379" t="s">
        <v>3373</v>
      </c>
      <c r="G1281" s="383">
        <v>34151</v>
      </c>
      <c r="H1281" s="379">
        <v>61097.33</v>
      </c>
      <c r="I1281" s="379"/>
      <c r="J1281" s="379"/>
      <c r="K1281" s="379">
        <v>4582.1499999999996</v>
      </c>
      <c r="L1281" s="379"/>
      <c r="M1281" s="379"/>
      <c r="N1281" s="379"/>
      <c r="O1281" s="379"/>
      <c r="P1281" s="379"/>
      <c r="Q1281" s="379"/>
      <c r="R1281" s="379"/>
      <c r="S1281" s="379">
        <v>56146.33</v>
      </c>
      <c r="T1281" s="379">
        <v>4501</v>
      </c>
      <c r="U1281" s="379"/>
      <c r="V1281" s="380">
        <v>65679.48</v>
      </c>
      <c r="W1281" s="381">
        <v>8.4</v>
      </c>
      <c r="X1281" s="379"/>
      <c r="Y1281" s="379"/>
      <c r="Z1281" s="379">
        <v>9991001</v>
      </c>
      <c r="AA1281" s="379" t="s">
        <v>2496</v>
      </c>
      <c r="AB1281" s="380">
        <f t="shared" si="18"/>
        <v>0.70000000000000007</v>
      </c>
    </row>
    <row r="1282" spans="1:28" outlineLevel="2" x14ac:dyDescent="0.3">
      <c r="A1282" s="379">
        <v>432</v>
      </c>
      <c r="B1282" s="379">
        <v>990000</v>
      </c>
      <c r="C1282" s="379" t="s">
        <v>1699</v>
      </c>
      <c r="D1282" s="379">
        <v>6211683</v>
      </c>
      <c r="E1282" s="379" t="s">
        <v>2384</v>
      </c>
      <c r="F1282" s="379" t="s">
        <v>2582</v>
      </c>
      <c r="G1282" s="383">
        <v>31990</v>
      </c>
      <c r="H1282" s="379">
        <v>38474.9</v>
      </c>
      <c r="I1282" s="379"/>
      <c r="J1282" s="379"/>
      <c r="K1282" s="379">
        <v>2885.5</v>
      </c>
      <c r="L1282" s="379"/>
      <c r="M1282" s="379"/>
      <c r="N1282" s="379"/>
      <c r="O1282" s="379"/>
      <c r="P1282" s="379"/>
      <c r="Q1282" s="379"/>
      <c r="R1282" s="379"/>
      <c r="S1282" s="379">
        <v>35289.360000000001</v>
      </c>
      <c r="T1282" s="379">
        <v>2735.54</v>
      </c>
      <c r="U1282" s="379"/>
      <c r="V1282" s="380">
        <v>41360.400000000001</v>
      </c>
      <c r="W1282" s="381">
        <v>5.4720000000000004</v>
      </c>
      <c r="X1282" s="379"/>
      <c r="Y1282" s="379"/>
      <c r="Z1282" s="379">
        <v>3011001</v>
      </c>
      <c r="AA1282" s="379" t="s">
        <v>2461</v>
      </c>
      <c r="AB1282" s="380">
        <f t="shared" si="18"/>
        <v>0.45600000000000002</v>
      </c>
    </row>
    <row r="1283" spans="1:28" outlineLevel="2" x14ac:dyDescent="0.3">
      <c r="A1283" s="379">
        <v>432</v>
      </c>
      <c r="B1283" s="379">
        <v>990000</v>
      </c>
      <c r="C1283" s="379" t="s">
        <v>1699</v>
      </c>
      <c r="D1283" s="379">
        <v>6211717</v>
      </c>
      <c r="E1283" s="379" t="s">
        <v>2384</v>
      </c>
      <c r="F1283" s="379" t="s">
        <v>2366</v>
      </c>
      <c r="G1283" s="383">
        <v>32874</v>
      </c>
      <c r="H1283" s="379">
        <v>33202.32</v>
      </c>
      <c r="I1283" s="379"/>
      <c r="J1283" s="379"/>
      <c r="K1283" s="379">
        <v>2489.9</v>
      </c>
      <c r="L1283" s="379"/>
      <c r="M1283" s="379"/>
      <c r="N1283" s="379"/>
      <c r="O1283" s="379"/>
      <c r="P1283" s="379"/>
      <c r="Q1283" s="379"/>
      <c r="R1283" s="379"/>
      <c r="S1283" s="379">
        <v>32426.32</v>
      </c>
      <c r="T1283" s="379">
        <v>326</v>
      </c>
      <c r="U1283" s="379"/>
      <c r="V1283" s="380">
        <v>35692.22</v>
      </c>
      <c r="W1283" s="381">
        <v>6.96</v>
      </c>
      <c r="X1283" s="379"/>
      <c r="Y1283" s="379"/>
      <c r="Z1283" s="379">
        <v>9991001</v>
      </c>
      <c r="AA1283" s="379" t="s">
        <v>2496</v>
      </c>
      <c r="AB1283" s="380">
        <f t="shared" si="18"/>
        <v>0.57999999999999996</v>
      </c>
    </row>
    <row r="1284" spans="1:28" outlineLevel="2" x14ac:dyDescent="0.3">
      <c r="A1284" s="379">
        <v>432</v>
      </c>
      <c r="B1284" s="379">
        <v>990000</v>
      </c>
      <c r="C1284" s="379" t="s">
        <v>1699</v>
      </c>
      <c r="D1284" s="379">
        <v>6212822</v>
      </c>
      <c r="E1284" s="379" t="s">
        <v>2784</v>
      </c>
      <c r="F1284" s="379" t="s">
        <v>3374</v>
      </c>
      <c r="G1284" s="383">
        <v>42156</v>
      </c>
      <c r="H1284" s="379">
        <v>29950.41</v>
      </c>
      <c r="I1284" s="379"/>
      <c r="J1284" s="379"/>
      <c r="K1284" s="379">
        <v>33.75</v>
      </c>
      <c r="L1284" s="379"/>
      <c r="M1284" s="379"/>
      <c r="N1284" s="379"/>
      <c r="O1284" s="379">
        <v>1336.8</v>
      </c>
      <c r="P1284" s="379"/>
      <c r="Q1284" s="379"/>
      <c r="R1284" s="379"/>
      <c r="S1284" s="379">
        <v>25899.48</v>
      </c>
      <c r="T1284" s="379">
        <v>2264.13</v>
      </c>
      <c r="U1284" s="379"/>
      <c r="V1284" s="380">
        <v>29984.16</v>
      </c>
      <c r="W1284" s="381">
        <v>3.96</v>
      </c>
      <c r="X1284" s="379"/>
      <c r="Y1284" s="379"/>
      <c r="Z1284" s="379">
        <v>9991001</v>
      </c>
      <c r="AA1284" s="379" t="s">
        <v>2496</v>
      </c>
      <c r="AB1284" s="380">
        <f t="shared" si="18"/>
        <v>0.33</v>
      </c>
    </row>
    <row r="1285" spans="1:28" outlineLevel="2" x14ac:dyDescent="0.3">
      <c r="A1285" s="379">
        <v>432</v>
      </c>
      <c r="B1285" s="379">
        <v>990000</v>
      </c>
      <c r="C1285" s="379" t="s">
        <v>1699</v>
      </c>
      <c r="D1285" s="379">
        <v>6212872</v>
      </c>
      <c r="E1285" s="379" t="s">
        <v>3375</v>
      </c>
      <c r="F1285" s="379" t="s">
        <v>2450</v>
      </c>
      <c r="G1285" s="383">
        <v>27485</v>
      </c>
      <c r="H1285" s="379">
        <v>38360.5</v>
      </c>
      <c r="I1285" s="379"/>
      <c r="J1285" s="379"/>
      <c r="K1285" s="379">
        <v>2876.9</v>
      </c>
      <c r="L1285" s="379"/>
      <c r="M1285" s="379"/>
      <c r="N1285" s="379"/>
      <c r="O1285" s="379">
        <v>1092</v>
      </c>
      <c r="P1285" s="379"/>
      <c r="Q1285" s="379"/>
      <c r="R1285" s="379"/>
      <c r="S1285" s="379">
        <v>33814.199999999997</v>
      </c>
      <c r="T1285" s="379">
        <v>3004.3</v>
      </c>
      <c r="U1285" s="379"/>
      <c r="V1285" s="380">
        <v>41237.4</v>
      </c>
      <c r="W1285" s="381">
        <v>7.44</v>
      </c>
      <c r="X1285" s="379"/>
      <c r="Y1285" s="379"/>
      <c r="Z1285" s="379">
        <v>5923001</v>
      </c>
      <c r="AA1285" s="379" t="s">
        <v>2354</v>
      </c>
      <c r="AB1285" s="380">
        <f t="shared" si="18"/>
        <v>0.62</v>
      </c>
    </row>
    <row r="1286" spans="1:28" outlineLevel="2" x14ac:dyDescent="0.3">
      <c r="A1286" s="379">
        <v>432</v>
      </c>
      <c r="B1286" s="379">
        <v>990000</v>
      </c>
      <c r="C1286" s="379" t="s">
        <v>1699</v>
      </c>
      <c r="D1286" s="379">
        <v>6218981</v>
      </c>
      <c r="E1286" s="379" t="s">
        <v>3376</v>
      </c>
      <c r="F1286" s="379" t="s">
        <v>3377</v>
      </c>
      <c r="G1286" s="383">
        <v>24351</v>
      </c>
      <c r="H1286" s="379">
        <v>38484.720000000001</v>
      </c>
      <c r="I1286" s="379"/>
      <c r="J1286" s="379"/>
      <c r="K1286" s="379">
        <v>2886.55</v>
      </c>
      <c r="L1286" s="379"/>
      <c r="M1286" s="379"/>
      <c r="N1286" s="379"/>
      <c r="O1286" s="379"/>
      <c r="P1286" s="379"/>
      <c r="Q1286" s="379"/>
      <c r="R1286" s="379"/>
      <c r="S1286" s="379">
        <v>35404.68</v>
      </c>
      <c r="T1286" s="379">
        <v>2630.04</v>
      </c>
      <c r="U1286" s="379"/>
      <c r="V1286" s="380">
        <v>41371.269999999997</v>
      </c>
      <c r="W1286" s="381">
        <v>5.04</v>
      </c>
      <c r="X1286" s="379"/>
      <c r="Y1286" s="379"/>
      <c r="Z1286" s="379">
        <v>9991001</v>
      </c>
      <c r="AA1286" s="379" t="s">
        <v>2496</v>
      </c>
      <c r="AB1286" s="380">
        <f t="shared" si="18"/>
        <v>0.42</v>
      </c>
    </row>
    <row r="1287" spans="1:28" outlineLevel="2" x14ac:dyDescent="0.3">
      <c r="A1287" s="379">
        <v>432</v>
      </c>
      <c r="B1287" s="379">
        <v>990000</v>
      </c>
      <c r="C1287" s="379" t="s">
        <v>1699</v>
      </c>
      <c r="D1287" s="379">
        <v>6222782</v>
      </c>
      <c r="E1287" s="379" t="s">
        <v>3378</v>
      </c>
      <c r="F1287" s="379" t="s">
        <v>3379</v>
      </c>
      <c r="G1287" s="383">
        <v>32021</v>
      </c>
      <c r="H1287" s="379">
        <v>40876.800000000003</v>
      </c>
      <c r="I1287" s="379"/>
      <c r="J1287" s="379"/>
      <c r="K1287" s="379">
        <v>3065.85</v>
      </c>
      <c r="L1287" s="379"/>
      <c r="M1287" s="379"/>
      <c r="N1287" s="379"/>
      <c r="O1287" s="379"/>
      <c r="P1287" s="379"/>
      <c r="Q1287" s="379"/>
      <c r="R1287" s="379"/>
      <c r="S1287" s="379">
        <v>37726.800000000003</v>
      </c>
      <c r="T1287" s="379">
        <v>2700</v>
      </c>
      <c r="U1287" s="379"/>
      <c r="V1287" s="380">
        <v>43942.65</v>
      </c>
      <c r="W1287" s="381">
        <v>6</v>
      </c>
      <c r="X1287" s="379"/>
      <c r="Y1287" s="379"/>
      <c r="Z1287" s="379">
        <v>9990000</v>
      </c>
      <c r="AA1287" s="379"/>
      <c r="AB1287" s="380">
        <f t="shared" si="18"/>
        <v>0.5</v>
      </c>
    </row>
    <row r="1288" spans="1:28" outlineLevel="2" x14ac:dyDescent="0.3">
      <c r="A1288" s="379">
        <v>432</v>
      </c>
      <c r="B1288" s="379">
        <v>990000</v>
      </c>
      <c r="C1288" s="379" t="s">
        <v>1699</v>
      </c>
      <c r="D1288" s="379">
        <v>6223043</v>
      </c>
      <c r="E1288" s="379" t="s">
        <v>3343</v>
      </c>
      <c r="F1288" s="379" t="s">
        <v>2285</v>
      </c>
      <c r="G1288" s="383">
        <v>36192</v>
      </c>
      <c r="H1288" s="379">
        <v>188853.82</v>
      </c>
      <c r="I1288" s="379"/>
      <c r="J1288" s="379"/>
      <c r="K1288" s="379">
        <v>14164.1</v>
      </c>
      <c r="L1288" s="379"/>
      <c r="M1288" s="379"/>
      <c r="N1288" s="379"/>
      <c r="O1288" s="379"/>
      <c r="P1288" s="379">
        <v>48894.36</v>
      </c>
      <c r="Q1288" s="379"/>
      <c r="R1288" s="379"/>
      <c r="S1288" s="379">
        <v>134489.51</v>
      </c>
      <c r="T1288" s="379">
        <v>5019.95</v>
      </c>
      <c r="U1288" s="379"/>
      <c r="V1288" s="380">
        <v>203017.92</v>
      </c>
      <c r="W1288" s="381">
        <v>7.8</v>
      </c>
      <c r="X1288" s="379"/>
      <c r="Y1288" s="379"/>
      <c r="Z1288" s="379">
        <v>9991001</v>
      </c>
      <c r="AA1288" s="379" t="s">
        <v>2496</v>
      </c>
      <c r="AB1288" s="380">
        <f t="shared" si="18"/>
        <v>0.65</v>
      </c>
    </row>
    <row r="1289" spans="1:28" outlineLevel="2" x14ac:dyDescent="0.3">
      <c r="A1289" s="379">
        <v>432</v>
      </c>
      <c r="B1289" s="379">
        <v>990000</v>
      </c>
      <c r="C1289" s="379" t="s">
        <v>1699</v>
      </c>
      <c r="D1289" s="379">
        <v>6223123</v>
      </c>
      <c r="E1289" s="379" t="s">
        <v>2303</v>
      </c>
      <c r="F1289" s="379" t="s">
        <v>2895</v>
      </c>
      <c r="G1289" s="383">
        <v>41760</v>
      </c>
      <c r="H1289" s="379">
        <v>39179.64</v>
      </c>
      <c r="I1289" s="379"/>
      <c r="J1289" s="379"/>
      <c r="K1289" s="379">
        <v>33.75</v>
      </c>
      <c r="L1289" s="379"/>
      <c r="M1289" s="379"/>
      <c r="N1289" s="379"/>
      <c r="O1289" s="379"/>
      <c r="P1289" s="379"/>
      <c r="Q1289" s="379"/>
      <c r="R1289" s="379"/>
      <c r="S1289" s="379">
        <v>35667</v>
      </c>
      <c r="T1289" s="379">
        <v>3062.64</v>
      </c>
      <c r="U1289" s="379"/>
      <c r="V1289" s="380">
        <v>39213.39</v>
      </c>
      <c r="W1289" s="381">
        <v>5.04</v>
      </c>
      <c r="X1289" s="379"/>
      <c r="Y1289" s="379"/>
      <c r="Z1289" s="379">
        <v>9991001</v>
      </c>
      <c r="AA1289" s="379" t="s">
        <v>2496</v>
      </c>
      <c r="AB1289" s="380">
        <f t="shared" si="18"/>
        <v>0.42</v>
      </c>
    </row>
    <row r="1290" spans="1:28" outlineLevel="2" x14ac:dyDescent="0.3">
      <c r="A1290" s="379">
        <v>432</v>
      </c>
      <c r="B1290" s="379">
        <v>990000</v>
      </c>
      <c r="C1290" s="379" t="s">
        <v>1699</v>
      </c>
      <c r="D1290" s="379">
        <v>6223125</v>
      </c>
      <c r="E1290" s="379" t="s">
        <v>2888</v>
      </c>
      <c r="F1290" s="379" t="s">
        <v>3254</v>
      </c>
      <c r="G1290" s="383">
        <v>34425</v>
      </c>
      <c r="H1290" s="379">
        <v>65286.49</v>
      </c>
      <c r="I1290" s="379"/>
      <c r="J1290" s="379"/>
      <c r="K1290" s="379">
        <v>33.75</v>
      </c>
      <c r="L1290" s="379"/>
      <c r="M1290" s="379"/>
      <c r="N1290" s="379"/>
      <c r="O1290" s="379"/>
      <c r="P1290" s="379">
        <v>16458</v>
      </c>
      <c r="Q1290" s="379"/>
      <c r="R1290" s="379"/>
      <c r="S1290" s="379">
        <v>45461.69</v>
      </c>
      <c r="T1290" s="379">
        <v>2916.8</v>
      </c>
      <c r="U1290" s="379"/>
      <c r="V1290" s="380">
        <v>65320.24</v>
      </c>
      <c r="W1290" s="381">
        <v>4.8</v>
      </c>
      <c r="X1290" s="379"/>
      <c r="Y1290" s="379"/>
      <c r="Z1290" s="379">
        <v>9991001</v>
      </c>
      <c r="AA1290" s="379" t="s">
        <v>2496</v>
      </c>
      <c r="AB1290" s="380">
        <f t="shared" si="18"/>
        <v>0.39999999999999997</v>
      </c>
    </row>
    <row r="1291" spans="1:28" outlineLevel="2" x14ac:dyDescent="0.3">
      <c r="A1291" s="379">
        <v>432</v>
      </c>
      <c r="B1291" s="379">
        <v>990000</v>
      </c>
      <c r="C1291" s="379" t="s">
        <v>1699</v>
      </c>
      <c r="D1291" s="379">
        <v>6223231</v>
      </c>
      <c r="E1291" s="379" t="s">
        <v>3380</v>
      </c>
      <c r="F1291" s="379" t="s">
        <v>3381</v>
      </c>
      <c r="G1291" s="383">
        <v>21459</v>
      </c>
      <c r="H1291" s="379">
        <v>83448.91</v>
      </c>
      <c r="I1291" s="379"/>
      <c r="J1291" s="379"/>
      <c r="K1291" s="379">
        <v>6258.9</v>
      </c>
      <c r="L1291" s="379"/>
      <c r="M1291" s="379"/>
      <c r="N1291" s="379"/>
      <c r="O1291" s="379"/>
      <c r="P1291" s="379">
        <v>12625.2</v>
      </c>
      <c r="Q1291" s="379"/>
      <c r="R1291" s="379"/>
      <c r="S1291" s="379">
        <v>64967.61</v>
      </c>
      <c r="T1291" s="379">
        <v>5406.1</v>
      </c>
      <c r="U1291" s="379"/>
      <c r="V1291" s="380">
        <v>89707.81</v>
      </c>
      <c r="W1291" s="381">
        <v>8.4</v>
      </c>
      <c r="X1291" s="379"/>
      <c r="Y1291" s="379"/>
      <c r="Z1291" s="379">
        <v>5911003</v>
      </c>
      <c r="AA1291" s="379" t="s">
        <v>3382</v>
      </c>
      <c r="AB1291" s="380">
        <f t="shared" si="18"/>
        <v>0.70000000000000007</v>
      </c>
    </row>
    <row r="1292" spans="1:28" outlineLevel="2" x14ac:dyDescent="0.3">
      <c r="A1292" s="379">
        <v>432</v>
      </c>
      <c r="B1292" s="379">
        <v>990000</v>
      </c>
      <c r="C1292" s="379" t="s">
        <v>1699</v>
      </c>
      <c r="D1292" s="379">
        <v>6223332</v>
      </c>
      <c r="E1292" s="379" t="s">
        <v>2384</v>
      </c>
      <c r="F1292" s="379" t="s">
        <v>2707</v>
      </c>
      <c r="G1292" s="383">
        <v>34547</v>
      </c>
      <c r="H1292" s="379">
        <v>26189.84</v>
      </c>
      <c r="I1292" s="379"/>
      <c r="J1292" s="379"/>
      <c r="K1292" s="379">
        <v>33.75</v>
      </c>
      <c r="L1292" s="379"/>
      <c r="M1292" s="379"/>
      <c r="N1292" s="379"/>
      <c r="O1292" s="379"/>
      <c r="P1292" s="379"/>
      <c r="Q1292" s="379"/>
      <c r="R1292" s="379"/>
      <c r="S1292" s="379">
        <v>23704.68</v>
      </c>
      <c r="T1292" s="379">
        <v>2035.16</v>
      </c>
      <c r="U1292" s="379"/>
      <c r="V1292" s="380">
        <v>26223.59</v>
      </c>
      <c r="W1292" s="381">
        <v>3.9</v>
      </c>
      <c r="X1292" s="379"/>
      <c r="Y1292" s="379"/>
      <c r="Z1292" s="379">
        <v>9991001</v>
      </c>
      <c r="AA1292" s="379" t="s">
        <v>2496</v>
      </c>
      <c r="AB1292" s="380">
        <f t="shared" si="18"/>
        <v>0.32500000000000001</v>
      </c>
    </row>
    <row r="1293" spans="1:28" outlineLevel="2" x14ac:dyDescent="0.3">
      <c r="A1293" s="379">
        <v>432</v>
      </c>
      <c r="B1293" s="379">
        <v>990000</v>
      </c>
      <c r="C1293" s="379" t="s">
        <v>1699</v>
      </c>
      <c r="D1293" s="379">
        <v>6237115</v>
      </c>
      <c r="E1293" s="379" t="s">
        <v>2451</v>
      </c>
      <c r="F1293" s="379" t="s">
        <v>2341</v>
      </c>
      <c r="G1293" s="383">
        <v>27576</v>
      </c>
      <c r="H1293" s="379">
        <v>81427.75</v>
      </c>
      <c r="I1293" s="379"/>
      <c r="J1293" s="379"/>
      <c r="K1293" s="379">
        <v>6106.85</v>
      </c>
      <c r="L1293" s="379"/>
      <c r="M1293" s="379"/>
      <c r="N1293" s="379"/>
      <c r="O1293" s="379">
        <v>2352</v>
      </c>
      <c r="P1293" s="379"/>
      <c r="Q1293" s="379"/>
      <c r="R1293" s="379"/>
      <c r="S1293" s="379">
        <v>73219.649999999994</v>
      </c>
      <c r="T1293" s="379">
        <v>5406.1</v>
      </c>
      <c r="U1293" s="379"/>
      <c r="V1293" s="380">
        <v>87534.6</v>
      </c>
      <c r="W1293" s="381">
        <v>8.4</v>
      </c>
      <c r="X1293" s="379">
        <v>111</v>
      </c>
      <c r="Y1293" s="379" t="s">
        <v>2575</v>
      </c>
      <c r="Z1293" s="379">
        <v>9991001</v>
      </c>
      <c r="AA1293" s="379" t="s">
        <v>2496</v>
      </c>
      <c r="AB1293" s="380">
        <f t="shared" si="18"/>
        <v>0.70000000000000007</v>
      </c>
    </row>
    <row r="1294" spans="1:28" outlineLevel="2" x14ac:dyDescent="0.3">
      <c r="A1294" s="379">
        <v>432</v>
      </c>
      <c r="B1294" s="379">
        <v>990000</v>
      </c>
      <c r="C1294" s="379" t="s">
        <v>1699</v>
      </c>
      <c r="D1294" s="379">
        <v>6238636</v>
      </c>
      <c r="E1294" s="379" t="s">
        <v>2284</v>
      </c>
      <c r="F1294" s="379" t="s">
        <v>3383</v>
      </c>
      <c r="G1294" s="383">
        <v>26755</v>
      </c>
      <c r="H1294" s="379">
        <v>122763.68</v>
      </c>
      <c r="I1294" s="379"/>
      <c r="J1294" s="379"/>
      <c r="K1294" s="379">
        <v>9207.4500000000007</v>
      </c>
      <c r="L1294" s="379"/>
      <c r="M1294" s="379"/>
      <c r="N1294" s="379"/>
      <c r="O1294" s="379"/>
      <c r="P1294" s="379">
        <v>22957.200000000001</v>
      </c>
      <c r="Q1294" s="379"/>
      <c r="R1294" s="379"/>
      <c r="S1294" s="379">
        <v>93950.38</v>
      </c>
      <c r="T1294" s="379">
        <v>5406.1</v>
      </c>
      <c r="U1294" s="379"/>
      <c r="V1294" s="380">
        <v>131971.13</v>
      </c>
      <c r="W1294" s="381">
        <v>8.4</v>
      </c>
      <c r="X1294" s="379"/>
      <c r="Y1294" s="379"/>
      <c r="Z1294" s="379">
        <v>9991001</v>
      </c>
      <c r="AA1294" s="379" t="s">
        <v>2496</v>
      </c>
      <c r="AB1294" s="380">
        <f t="shared" si="18"/>
        <v>0.70000000000000007</v>
      </c>
    </row>
    <row r="1295" spans="1:28" outlineLevel="2" x14ac:dyDescent="0.3">
      <c r="A1295" s="379">
        <v>432</v>
      </c>
      <c r="B1295" s="379">
        <v>990000</v>
      </c>
      <c r="C1295" s="379" t="s">
        <v>1699</v>
      </c>
      <c r="D1295" s="379">
        <v>6238773</v>
      </c>
      <c r="E1295" s="379" t="s">
        <v>2695</v>
      </c>
      <c r="F1295" s="379" t="s">
        <v>2434</v>
      </c>
      <c r="G1295" s="383">
        <v>29646</v>
      </c>
      <c r="H1295" s="379">
        <v>57470.73</v>
      </c>
      <c r="I1295" s="379"/>
      <c r="J1295" s="379"/>
      <c r="K1295" s="379">
        <v>2733.85</v>
      </c>
      <c r="L1295" s="379"/>
      <c r="M1295" s="379"/>
      <c r="N1295" s="379"/>
      <c r="O1295" s="379"/>
      <c r="P1295" s="379"/>
      <c r="Q1295" s="379"/>
      <c r="R1295" s="379"/>
      <c r="S1295" s="379">
        <v>52485.13</v>
      </c>
      <c r="T1295" s="379">
        <v>4535.6000000000004</v>
      </c>
      <c r="U1295" s="379"/>
      <c r="V1295" s="380">
        <v>60204.58</v>
      </c>
      <c r="W1295" s="381">
        <v>10.692</v>
      </c>
      <c r="X1295" s="379"/>
      <c r="Y1295" s="379"/>
      <c r="Z1295" s="379">
        <v>9991001</v>
      </c>
      <c r="AA1295" s="379" t="s">
        <v>2496</v>
      </c>
      <c r="AB1295" s="380">
        <f t="shared" si="18"/>
        <v>0.89100000000000001</v>
      </c>
    </row>
    <row r="1296" spans="1:28" outlineLevel="2" x14ac:dyDescent="0.3">
      <c r="A1296" s="379">
        <v>432</v>
      </c>
      <c r="B1296" s="379">
        <v>990000</v>
      </c>
      <c r="C1296" s="379" t="s">
        <v>1699</v>
      </c>
      <c r="D1296" s="379">
        <v>6239905</v>
      </c>
      <c r="E1296" s="379" t="s">
        <v>2590</v>
      </c>
      <c r="F1296" s="379" t="s">
        <v>3384</v>
      </c>
      <c r="G1296" s="383">
        <v>28734</v>
      </c>
      <c r="H1296" s="379">
        <v>73513.67</v>
      </c>
      <c r="I1296" s="379"/>
      <c r="J1296" s="379"/>
      <c r="K1296" s="379">
        <v>5513.65</v>
      </c>
      <c r="L1296" s="379"/>
      <c r="M1296" s="379"/>
      <c r="N1296" s="379"/>
      <c r="O1296" s="379"/>
      <c r="P1296" s="379"/>
      <c r="Q1296" s="379"/>
      <c r="R1296" s="379"/>
      <c r="S1296" s="379">
        <v>67734.8</v>
      </c>
      <c r="T1296" s="379">
        <v>5328.87</v>
      </c>
      <c r="U1296" s="379"/>
      <c r="V1296" s="380">
        <v>79027.320000000007</v>
      </c>
      <c r="W1296" s="381">
        <v>8.2799999999999994</v>
      </c>
      <c r="X1296" s="379"/>
      <c r="Y1296" s="379"/>
      <c r="Z1296" s="379">
        <v>9991001</v>
      </c>
      <c r="AA1296" s="379" t="s">
        <v>2496</v>
      </c>
      <c r="AB1296" s="380">
        <f t="shared" si="18"/>
        <v>0.69</v>
      </c>
    </row>
    <row r="1297" spans="1:28" outlineLevel="2" x14ac:dyDescent="0.3">
      <c r="A1297" s="379">
        <v>432</v>
      </c>
      <c r="B1297" s="379">
        <v>990000</v>
      </c>
      <c r="C1297" s="379" t="s">
        <v>1699</v>
      </c>
      <c r="D1297" s="379">
        <v>6251125</v>
      </c>
      <c r="E1297" s="379" t="s">
        <v>3385</v>
      </c>
      <c r="F1297" s="379" t="s">
        <v>2281</v>
      </c>
      <c r="G1297" s="383">
        <v>38534</v>
      </c>
      <c r="H1297" s="379">
        <v>25056.52</v>
      </c>
      <c r="I1297" s="379"/>
      <c r="J1297" s="379"/>
      <c r="K1297" s="379">
        <v>33.75</v>
      </c>
      <c r="L1297" s="379"/>
      <c r="M1297" s="379"/>
      <c r="N1297" s="379"/>
      <c r="O1297" s="379"/>
      <c r="P1297" s="379"/>
      <c r="Q1297" s="379"/>
      <c r="R1297" s="379"/>
      <c r="S1297" s="379">
        <v>22806.12</v>
      </c>
      <c r="T1297" s="379">
        <v>1800.4</v>
      </c>
      <c r="U1297" s="379"/>
      <c r="V1297" s="380">
        <v>25090.27</v>
      </c>
      <c r="W1297" s="381">
        <v>3.36</v>
      </c>
      <c r="X1297" s="379"/>
      <c r="Y1297" s="379"/>
      <c r="Z1297" s="379">
        <v>9991001</v>
      </c>
      <c r="AA1297" s="379" t="s">
        <v>2496</v>
      </c>
      <c r="AB1297" s="380">
        <f t="shared" si="18"/>
        <v>0.27999999999999997</v>
      </c>
    </row>
    <row r="1298" spans="1:28" outlineLevel="2" x14ac:dyDescent="0.3">
      <c r="A1298" s="379">
        <v>432</v>
      </c>
      <c r="B1298" s="379">
        <v>990000</v>
      </c>
      <c r="C1298" s="379" t="s">
        <v>1699</v>
      </c>
      <c r="D1298" s="379">
        <v>6264202</v>
      </c>
      <c r="E1298" s="379" t="s">
        <v>2695</v>
      </c>
      <c r="F1298" s="379" t="s">
        <v>3121</v>
      </c>
      <c r="G1298" s="383">
        <v>36892</v>
      </c>
      <c r="H1298" s="379">
        <v>28924.47</v>
      </c>
      <c r="I1298" s="379"/>
      <c r="J1298" s="379"/>
      <c r="K1298" s="379">
        <v>33.75</v>
      </c>
      <c r="L1298" s="379"/>
      <c r="M1298" s="379"/>
      <c r="N1298" s="379"/>
      <c r="O1298" s="379"/>
      <c r="P1298" s="379"/>
      <c r="Q1298" s="379"/>
      <c r="R1298" s="379"/>
      <c r="S1298" s="379">
        <v>26209.040000000001</v>
      </c>
      <c r="T1298" s="379">
        <v>2265.4299999999998</v>
      </c>
      <c r="U1298" s="379"/>
      <c r="V1298" s="380">
        <v>28958.22</v>
      </c>
      <c r="W1298" s="381">
        <v>3.8159999999999998</v>
      </c>
      <c r="X1298" s="379"/>
      <c r="Y1298" s="379"/>
      <c r="Z1298" s="379">
        <v>9991001</v>
      </c>
      <c r="AA1298" s="379" t="s">
        <v>2496</v>
      </c>
      <c r="AB1298" s="380">
        <f t="shared" si="18"/>
        <v>0.318</v>
      </c>
    </row>
    <row r="1299" spans="1:28" outlineLevel="2" x14ac:dyDescent="0.3">
      <c r="A1299" s="379">
        <v>432</v>
      </c>
      <c r="B1299" s="379">
        <v>990000</v>
      </c>
      <c r="C1299" s="379" t="s">
        <v>1699</v>
      </c>
      <c r="D1299" s="379">
        <v>6269707</v>
      </c>
      <c r="E1299" s="379" t="s">
        <v>2307</v>
      </c>
      <c r="F1299" s="379" t="s">
        <v>3142</v>
      </c>
      <c r="G1299" s="383">
        <v>42309</v>
      </c>
      <c r="H1299" s="379">
        <v>27990.18</v>
      </c>
      <c r="I1299" s="379"/>
      <c r="J1299" s="379"/>
      <c r="K1299" s="379">
        <v>248.55</v>
      </c>
      <c r="L1299" s="379"/>
      <c r="M1299" s="379"/>
      <c r="N1299" s="379"/>
      <c r="O1299" s="379">
        <v>2865.6</v>
      </c>
      <c r="P1299" s="379"/>
      <c r="Q1299" s="379"/>
      <c r="R1299" s="379"/>
      <c r="S1299" s="379">
        <v>22874.880000000001</v>
      </c>
      <c r="T1299" s="379">
        <v>1799.7</v>
      </c>
      <c r="U1299" s="379"/>
      <c r="V1299" s="380">
        <v>28238.73</v>
      </c>
      <c r="W1299" s="381">
        <v>3.6</v>
      </c>
      <c r="X1299" s="379"/>
      <c r="Y1299" s="379"/>
      <c r="Z1299" s="379">
        <v>9991001</v>
      </c>
      <c r="AA1299" s="379" t="s">
        <v>2496</v>
      </c>
      <c r="AB1299" s="380">
        <f t="shared" si="18"/>
        <v>0.3</v>
      </c>
    </row>
    <row r="1300" spans="1:28" outlineLevel="2" x14ac:dyDescent="0.3">
      <c r="A1300" s="379">
        <v>432</v>
      </c>
      <c r="B1300" s="379">
        <v>990000</v>
      </c>
      <c r="C1300" s="379" t="s">
        <v>1699</v>
      </c>
      <c r="D1300" s="379">
        <v>6293063</v>
      </c>
      <c r="E1300" s="379" t="s">
        <v>2449</v>
      </c>
      <c r="F1300" s="379" t="s">
        <v>2696</v>
      </c>
      <c r="G1300" s="383">
        <v>25538</v>
      </c>
      <c r="H1300" s="379">
        <v>42685.279999999999</v>
      </c>
      <c r="I1300" s="379"/>
      <c r="J1300" s="379"/>
      <c r="K1300" s="379">
        <v>3201.65</v>
      </c>
      <c r="L1300" s="379"/>
      <c r="M1300" s="379"/>
      <c r="N1300" s="379"/>
      <c r="O1300" s="379"/>
      <c r="P1300" s="379"/>
      <c r="Q1300" s="379"/>
      <c r="R1300" s="379"/>
      <c r="S1300" s="379">
        <v>39204.480000000003</v>
      </c>
      <c r="T1300" s="379">
        <v>3030.8</v>
      </c>
      <c r="U1300" s="379"/>
      <c r="V1300" s="380">
        <v>45886.93</v>
      </c>
      <c r="W1300" s="381">
        <v>5.8079999999999998</v>
      </c>
      <c r="X1300" s="379"/>
      <c r="Y1300" s="379"/>
      <c r="Z1300" s="379">
        <v>9991001</v>
      </c>
      <c r="AA1300" s="379" t="s">
        <v>2496</v>
      </c>
      <c r="AB1300" s="380">
        <f t="shared" si="18"/>
        <v>0.48399999999999999</v>
      </c>
    </row>
    <row r="1301" spans="1:28" outlineLevel="2" x14ac:dyDescent="0.3">
      <c r="A1301" s="379">
        <v>432</v>
      </c>
      <c r="B1301" s="379">
        <v>990000</v>
      </c>
      <c r="C1301" s="379" t="s">
        <v>1699</v>
      </c>
      <c r="D1301" s="379">
        <v>6293266</v>
      </c>
      <c r="E1301" s="379" t="s">
        <v>2546</v>
      </c>
      <c r="F1301" s="379" t="s">
        <v>3307</v>
      </c>
      <c r="G1301" s="383">
        <v>28338</v>
      </c>
      <c r="H1301" s="379">
        <v>110673.21</v>
      </c>
      <c r="I1301" s="379"/>
      <c r="J1301" s="379"/>
      <c r="K1301" s="379">
        <v>8300.65</v>
      </c>
      <c r="L1301" s="379"/>
      <c r="M1301" s="379"/>
      <c r="N1301" s="379"/>
      <c r="O1301" s="379"/>
      <c r="P1301" s="379">
        <v>20604.36</v>
      </c>
      <c r="Q1301" s="379"/>
      <c r="R1301" s="379"/>
      <c r="S1301" s="379">
        <v>84475.33</v>
      </c>
      <c r="T1301" s="379">
        <v>5143.5200000000004</v>
      </c>
      <c r="U1301" s="379"/>
      <c r="V1301" s="380">
        <v>118973.86</v>
      </c>
      <c r="W1301" s="381">
        <v>7.992</v>
      </c>
      <c r="X1301" s="379"/>
      <c r="Y1301" s="379"/>
      <c r="Z1301" s="379">
        <v>9991001</v>
      </c>
      <c r="AA1301" s="379" t="s">
        <v>2496</v>
      </c>
      <c r="AB1301" s="380">
        <f t="shared" si="18"/>
        <v>0.66600000000000004</v>
      </c>
    </row>
    <row r="1302" spans="1:28" outlineLevel="2" x14ac:dyDescent="0.3">
      <c r="A1302" s="379">
        <v>432</v>
      </c>
      <c r="B1302" s="379">
        <v>990000</v>
      </c>
      <c r="C1302" s="379" t="s">
        <v>1699</v>
      </c>
      <c r="D1302" s="379">
        <v>6294135</v>
      </c>
      <c r="E1302" s="379" t="s">
        <v>2457</v>
      </c>
      <c r="F1302" s="379" t="s">
        <v>2654</v>
      </c>
      <c r="G1302" s="383">
        <v>42767</v>
      </c>
      <c r="H1302" s="379">
        <v>45533.03</v>
      </c>
      <c r="I1302" s="379"/>
      <c r="J1302" s="379"/>
      <c r="K1302" s="379">
        <v>33.75</v>
      </c>
      <c r="L1302" s="379"/>
      <c r="M1302" s="379"/>
      <c r="N1302" s="379"/>
      <c r="O1302" s="379"/>
      <c r="P1302" s="379"/>
      <c r="Q1302" s="379"/>
      <c r="R1302" s="379"/>
      <c r="S1302" s="379">
        <v>43290.07</v>
      </c>
      <c r="T1302" s="379">
        <v>1792.96</v>
      </c>
      <c r="U1302" s="379"/>
      <c r="V1302" s="380">
        <v>45566.78</v>
      </c>
      <c r="W1302" s="381">
        <v>3.84</v>
      </c>
      <c r="X1302" s="379"/>
      <c r="Y1302" s="379"/>
      <c r="Z1302" s="379">
        <v>9991001</v>
      </c>
      <c r="AA1302" s="379" t="s">
        <v>2496</v>
      </c>
      <c r="AB1302" s="380">
        <f t="shared" si="18"/>
        <v>0.32</v>
      </c>
    </row>
    <row r="1303" spans="1:28" outlineLevel="2" x14ac:dyDescent="0.3">
      <c r="A1303" s="379">
        <v>432</v>
      </c>
      <c r="B1303" s="379">
        <v>990000</v>
      </c>
      <c r="C1303" s="379" t="s">
        <v>1699</v>
      </c>
      <c r="D1303" s="379">
        <v>6301405</v>
      </c>
      <c r="E1303" s="379" t="s">
        <v>2581</v>
      </c>
      <c r="F1303" s="379" t="s">
        <v>2582</v>
      </c>
      <c r="G1303" s="383">
        <v>33329</v>
      </c>
      <c r="H1303" s="379">
        <v>54486.39</v>
      </c>
      <c r="I1303" s="379"/>
      <c r="J1303" s="379"/>
      <c r="K1303" s="379">
        <v>4086.41</v>
      </c>
      <c r="L1303" s="379"/>
      <c r="M1303" s="379"/>
      <c r="N1303" s="379"/>
      <c r="O1303" s="379"/>
      <c r="P1303" s="379"/>
      <c r="Q1303" s="379"/>
      <c r="R1303" s="379"/>
      <c r="S1303" s="379">
        <v>53149.19</v>
      </c>
      <c r="T1303" s="379">
        <v>1187.2</v>
      </c>
      <c r="U1303" s="379"/>
      <c r="V1303" s="380">
        <v>58572.800000000003</v>
      </c>
      <c r="W1303" s="381">
        <v>5.9080000000000004</v>
      </c>
      <c r="X1303" s="379"/>
      <c r="Y1303" s="379"/>
      <c r="Z1303" s="379">
        <v>9991001</v>
      </c>
      <c r="AA1303" s="379" t="s">
        <v>2496</v>
      </c>
      <c r="AB1303" s="380">
        <f t="shared" si="18"/>
        <v>0.49233333333333335</v>
      </c>
    </row>
    <row r="1304" spans="1:28" outlineLevel="2" x14ac:dyDescent="0.3">
      <c r="A1304" s="379">
        <v>432</v>
      </c>
      <c r="B1304" s="379">
        <v>990000</v>
      </c>
      <c r="C1304" s="379" t="s">
        <v>1699</v>
      </c>
      <c r="D1304" s="379">
        <v>6302253</v>
      </c>
      <c r="E1304" s="379" t="s">
        <v>2398</v>
      </c>
      <c r="F1304" s="379" t="s">
        <v>3331</v>
      </c>
      <c r="G1304" s="383">
        <v>39114</v>
      </c>
      <c r="H1304" s="379">
        <v>47737.98</v>
      </c>
      <c r="I1304" s="379"/>
      <c r="J1304" s="379"/>
      <c r="K1304" s="379">
        <v>33.75</v>
      </c>
      <c r="L1304" s="379"/>
      <c r="M1304" s="379"/>
      <c r="N1304" s="379"/>
      <c r="O1304" s="379"/>
      <c r="P1304" s="379"/>
      <c r="Q1304" s="379"/>
      <c r="R1304" s="379"/>
      <c r="S1304" s="379">
        <v>44044.32</v>
      </c>
      <c r="T1304" s="379">
        <v>3243.66</v>
      </c>
      <c r="U1304" s="379"/>
      <c r="V1304" s="380">
        <v>47771.73</v>
      </c>
      <c r="W1304" s="381">
        <v>5.04</v>
      </c>
      <c r="X1304" s="379"/>
      <c r="Y1304" s="379"/>
      <c r="Z1304" s="379">
        <v>9991001</v>
      </c>
      <c r="AA1304" s="379" t="s">
        <v>2496</v>
      </c>
      <c r="AB1304" s="380">
        <f t="shared" si="18"/>
        <v>0.42</v>
      </c>
    </row>
    <row r="1305" spans="1:28" outlineLevel="2" x14ac:dyDescent="0.3">
      <c r="A1305" s="379">
        <v>432</v>
      </c>
      <c r="B1305" s="379">
        <v>990000</v>
      </c>
      <c r="C1305" s="379" t="s">
        <v>1699</v>
      </c>
      <c r="D1305" s="379">
        <v>6304831</v>
      </c>
      <c r="E1305" s="379" t="s">
        <v>2340</v>
      </c>
      <c r="F1305" s="379" t="s">
        <v>2583</v>
      </c>
      <c r="G1305" s="383">
        <v>30225</v>
      </c>
      <c r="H1305" s="379">
        <v>87861.82</v>
      </c>
      <c r="I1305" s="379"/>
      <c r="J1305" s="379"/>
      <c r="K1305" s="379">
        <v>6589.75</v>
      </c>
      <c r="L1305" s="379"/>
      <c r="M1305" s="379"/>
      <c r="N1305" s="379"/>
      <c r="O1305" s="379"/>
      <c r="P1305" s="379">
        <v>20590.919999999998</v>
      </c>
      <c r="Q1305" s="379"/>
      <c r="R1305" s="379"/>
      <c r="S1305" s="379">
        <v>63733.45</v>
      </c>
      <c r="T1305" s="379">
        <v>3087.45</v>
      </c>
      <c r="U1305" s="379"/>
      <c r="V1305" s="380">
        <v>94451.57</v>
      </c>
      <c r="W1305" s="381">
        <v>5.4</v>
      </c>
      <c r="X1305" s="379"/>
      <c r="Y1305" s="379"/>
      <c r="Z1305" s="379">
        <v>9991001</v>
      </c>
      <c r="AA1305" s="379" t="s">
        <v>2496</v>
      </c>
      <c r="AB1305" s="380">
        <f t="shared" si="18"/>
        <v>0.45</v>
      </c>
    </row>
    <row r="1306" spans="1:28" outlineLevel="2" x14ac:dyDescent="0.3">
      <c r="A1306" s="379">
        <v>432</v>
      </c>
      <c r="B1306" s="379">
        <v>990000</v>
      </c>
      <c r="C1306" s="379" t="s">
        <v>1699</v>
      </c>
      <c r="D1306" s="379">
        <v>6306575</v>
      </c>
      <c r="E1306" s="379" t="s">
        <v>2938</v>
      </c>
      <c r="F1306" s="379" t="s">
        <v>2549</v>
      </c>
      <c r="G1306" s="383">
        <v>36495</v>
      </c>
      <c r="H1306" s="379">
        <v>27407.73</v>
      </c>
      <c r="I1306" s="379"/>
      <c r="J1306" s="379"/>
      <c r="K1306" s="379">
        <v>2055.5</v>
      </c>
      <c r="L1306" s="379"/>
      <c r="M1306" s="379"/>
      <c r="N1306" s="379"/>
      <c r="O1306" s="379"/>
      <c r="P1306" s="379"/>
      <c r="Q1306" s="379"/>
      <c r="R1306" s="379"/>
      <c r="S1306" s="379">
        <v>24624.99</v>
      </c>
      <c r="T1306" s="379">
        <v>2332.7399999999998</v>
      </c>
      <c r="U1306" s="379"/>
      <c r="V1306" s="380">
        <v>29463.23</v>
      </c>
      <c r="W1306" s="381">
        <v>4.08</v>
      </c>
      <c r="X1306" s="379"/>
      <c r="Y1306" s="379"/>
      <c r="Z1306" s="379">
        <v>9991001</v>
      </c>
      <c r="AA1306" s="379" t="s">
        <v>2496</v>
      </c>
      <c r="AB1306" s="380">
        <f t="shared" si="18"/>
        <v>0.34</v>
      </c>
    </row>
    <row r="1307" spans="1:28" outlineLevel="2" x14ac:dyDescent="0.3">
      <c r="A1307" s="379">
        <v>432</v>
      </c>
      <c r="B1307" s="379">
        <v>990000</v>
      </c>
      <c r="C1307" s="379" t="s">
        <v>1699</v>
      </c>
      <c r="D1307" s="379">
        <v>6309513</v>
      </c>
      <c r="E1307" s="379" t="s">
        <v>2451</v>
      </c>
      <c r="F1307" s="379" t="s">
        <v>3384</v>
      </c>
      <c r="G1307" s="383">
        <v>28764</v>
      </c>
      <c r="H1307" s="379">
        <v>58182.7</v>
      </c>
      <c r="I1307" s="379"/>
      <c r="J1307" s="379"/>
      <c r="K1307" s="379">
        <v>4363.7</v>
      </c>
      <c r="L1307" s="379"/>
      <c r="M1307" s="379"/>
      <c r="N1307" s="379"/>
      <c r="O1307" s="379">
        <v>1920</v>
      </c>
      <c r="P1307" s="379"/>
      <c r="Q1307" s="379"/>
      <c r="R1307" s="379"/>
      <c r="S1307" s="379">
        <v>51673.17</v>
      </c>
      <c r="T1307" s="379">
        <v>4139.53</v>
      </c>
      <c r="U1307" s="379"/>
      <c r="V1307" s="380">
        <v>62546.400000000001</v>
      </c>
      <c r="W1307" s="381">
        <v>7.5960000000000001</v>
      </c>
      <c r="X1307" s="379"/>
      <c r="Y1307" s="379"/>
      <c r="Z1307" s="379">
        <v>9991001</v>
      </c>
      <c r="AA1307" s="379" t="s">
        <v>2496</v>
      </c>
      <c r="AB1307" s="380">
        <f t="shared" si="18"/>
        <v>0.63300000000000001</v>
      </c>
    </row>
    <row r="1308" spans="1:28" outlineLevel="2" x14ac:dyDescent="0.3">
      <c r="A1308" s="379">
        <v>432</v>
      </c>
      <c r="B1308" s="379">
        <v>990000</v>
      </c>
      <c r="C1308" s="379" t="s">
        <v>1699</v>
      </c>
      <c r="D1308" s="379">
        <v>6309706</v>
      </c>
      <c r="E1308" s="379" t="s">
        <v>2303</v>
      </c>
      <c r="F1308" s="379" t="s">
        <v>3386</v>
      </c>
      <c r="G1308" s="383">
        <v>26238</v>
      </c>
      <c r="H1308" s="379">
        <v>80817.490000000005</v>
      </c>
      <c r="I1308" s="379"/>
      <c r="J1308" s="379"/>
      <c r="K1308" s="379">
        <v>6061.2</v>
      </c>
      <c r="L1308" s="379"/>
      <c r="M1308" s="379"/>
      <c r="N1308" s="379"/>
      <c r="O1308" s="379">
        <v>6686.4</v>
      </c>
      <c r="P1308" s="379"/>
      <c r="Q1308" s="379"/>
      <c r="R1308" s="379"/>
      <c r="S1308" s="379">
        <v>68274.990000000005</v>
      </c>
      <c r="T1308" s="379">
        <v>5406.1</v>
      </c>
      <c r="U1308" s="379"/>
      <c r="V1308" s="380">
        <v>86878.69</v>
      </c>
      <c r="W1308" s="381">
        <v>8.4</v>
      </c>
      <c r="X1308" s="379"/>
      <c r="Y1308" s="379"/>
      <c r="Z1308" s="379">
        <v>9991001</v>
      </c>
      <c r="AA1308" s="379" t="s">
        <v>2496</v>
      </c>
      <c r="AB1308" s="380">
        <f t="shared" si="18"/>
        <v>0.70000000000000007</v>
      </c>
    </row>
    <row r="1309" spans="1:28" outlineLevel="2" x14ac:dyDescent="0.3">
      <c r="A1309" s="379">
        <v>432</v>
      </c>
      <c r="B1309" s="379">
        <v>990000</v>
      </c>
      <c r="C1309" s="379" t="s">
        <v>1699</v>
      </c>
      <c r="D1309" s="379">
        <v>6313672</v>
      </c>
      <c r="E1309" s="379" t="s">
        <v>2540</v>
      </c>
      <c r="F1309" s="379" t="s">
        <v>3387</v>
      </c>
      <c r="G1309" s="383">
        <v>31138</v>
      </c>
      <c r="H1309" s="379">
        <v>9816.02</v>
      </c>
      <c r="I1309" s="379"/>
      <c r="J1309" s="379"/>
      <c r="K1309" s="379">
        <v>736.25</v>
      </c>
      <c r="L1309" s="379"/>
      <c r="M1309" s="379"/>
      <c r="N1309" s="379"/>
      <c r="O1309" s="379"/>
      <c r="P1309" s="379"/>
      <c r="Q1309" s="379"/>
      <c r="R1309" s="379"/>
      <c r="S1309" s="379">
        <v>8782.92</v>
      </c>
      <c r="T1309" s="379">
        <v>583.1</v>
      </c>
      <c r="U1309" s="379"/>
      <c r="V1309" s="380">
        <v>10552.27</v>
      </c>
      <c r="W1309" s="381">
        <v>1.2</v>
      </c>
      <c r="X1309" s="379"/>
      <c r="Y1309" s="379"/>
      <c r="Z1309" s="379">
        <v>5923001</v>
      </c>
      <c r="AA1309" s="379" t="s">
        <v>2354</v>
      </c>
      <c r="AB1309" s="380">
        <f t="shared" si="18"/>
        <v>9.9999999999999992E-2</v>
      </c>
    </row>
    <row r="1310" spans="1:28" outlineLevel="2" x14ac:dyDescent="0.3">
      <c r="A1310" s="379">
        <v>432</v>
      </c>
      <c r="B1310" s="379">
        <v>990000</v>
      </c>
      <c r="C1310" s="379" t="s">
        <v>1699</v>
      </c>
      <c r="D1310" s="379">
        <v>6314623</v>
      </c>
      <c r="E1310" s="379" t="s">
        <v>2340</v>
      </c>
      <c r="F1310" s="379" t="s">
        <v>2582</v>
      </c>
      <c r="G1310" s="383">
        <v>36557</v>
      </c>
      <c r="H1310" s="379">
        <v>22352.77</v>
      </c>
      <c r="I1310" s="379"/>
      <c r="J1310" s="379"/>
      <c r="K1310" s="379">
        <v>1676.5</v>
      </c>
      <c r="L1310" s="379"/>
      <c r="M1310" s="379"/>
      <c r="N1310" s="379"/>
      <c r="O1310" s="379"/>
      <c r="P1310" s="379"/>
      <c r="Q1310" s="379"/>
      <c r="R1310" s="379"/>
      <c r="S1310" s="379">
        <v>19947.38</v>
      </c>
      <c r="T1310" s="379">
        <v>1955.39</v>
      </c>
      <c r="U1310" s="379"/>
      <c r="V1310" s="380">
        <v>24029.27</v>
      </c>
      <c r="W1310" s="381">
        <v>3.42</v>
      </c>
      <c r="X1310" s="379"/>
      <c r="Y1310" s="379"/>
      <c r="Z1310" s="379">
        <v>9991001</v>
      </c>
      <c r="AA1310" s="379" t="s">
        <v>2496</v>
      </c>
      <c r="AB1310" s="380">
        <f t="shared" si="18"/>
        <v>0.28499999999999998</v>
      </c>
    </row>
    <row r="1311" spans="1:28" outlineLevel="2" x14ac:dyDescent="0.3">
      <c r="A1311" s="379">
        <v>432</v>
      </c>
      <c r="B1311" s="379">
        <v>990000</v>
      </c>
      <c r="C1311" s="379" t="s">
        <v>1699</v>
      </c>
      <c r="D1311" s="379">
        <v>6317154</v>
      </c>
      <c r="E1311" s="379" t="s">
        <v>2657</v>
      </c>
      <c r="F1311" s="379" t="s">
        <v>2644</v>
      </c>
      <c r="G1311" s="383">
        <v>28734</v>
      </c>
      <c r="H1311" s="379">
        <v>76054.5</v>
      </c>
      <c r="I1311" s="379"/>
      <c r="J1311" s="379"/>
      <c r="K1311" s="379">
        <v>5703.95</v>
      </c>
      <c r="L1311" s="379"/>
      <c r="M1311" s="379"/>
      <c r="N1311" s="379"/>
      <c r="O1311" s="379">
        <v>2352</v>
      </c>
      <c r="P1311" s="379"/>
      <c r="Q1311" s="379"/>
      <c r="R1311" s="379"/>
      <c r="S1311" s="379">
        <v>68170.77</v>
      </c>
      <c r="T1311" s="379">
        <v>5081.7299999999996</v>
      </c>
      <c r="U1311" s="379"/>
      <c r="V1311" s="380">
        <v>81758.45</v>
      </c>
      <c r="W1311" s="381">
        <v>8.4</v>
      </c>
      <c r="X1311" s="379"/>
      <c r="Y1311" s="379"/>
      <c r="Z1311" s="379">
        <v>9991001</v>
      </c>
      <c r="AA1311" s="379" t="s">
        <v>2496</v>
      </c>
      <c r="AB1311" s="380">
        <f t="shared" si="18"/>
        <v>0.70000000000000007</v>
      </c>
    </row>
    <row r="1312" spans="1:28" outlineLevel="2" x14ac:dyDescent="0.3">
      <c r="A1312" s="379">
        <v>432</v>
      </c>
      <c r="B1312" s="379">
        <v>990000</v>
      </c>
      <c r="C1312" s="379" t="s">
        <v>1699</v>
      </c>
      <c r="D1312" s="379">
        <v>6319106</v>
      </c>
      <c r="E1312" s="379" t="s">
        <v>3305</v>
      </c>
      <c r="F1312" s="379" t="s">
        <v>2644</v>
      </c>
      <c r="G1312" s="383">
        <v>34851</v>
      </c>
      <c r="H1312" s="379">
        <v>22837.46</v>
      </c>
      <c r="I1312" s="379"/>
      <c r="J1312" s="379"/>
      <c r="K1312" s="379">
        <v>1712.9</v>
      </c>
      <c r="L1312" s="379"/>
      <c r="M1312" s="379"/>
      <c r="N1312" s="379"/>
      <c r="O1312" s="379">
        <v>1572</v>
      </c>
      <c r="P1312" s="379"/>
      <c r="Q1312" s="379"/>
      <c r="R1312" s="379"/>
      <c r="S1312" s="379">
        <v>19242.599999999999</v>
      </c>
      <c r="T1312" s="379">
        <v>1572.86</v>
      </c>
      <c r="U1312" s="379"/>
      <c r="V1312" s="380">
        <v>24550.36</v>
      </c>
      <c r="W1312" s="381">
        <v>5.64</v>
      </c>
      <c r="X1312" s="379">
        <v>1</v>
      </c>
      <c r="Y1312" s="379" t="s">
        <v>2353</v>
      </c>
      <c r="Z1312" s="379">
        <v>5923001</v>
      </c>
      <c r="AA1312" s="379" t="s">
        <v>2354</v>
      </c>
      <c r="AB1312" s="380">
        <f t="shared" si="18"/>
        <v>0.47</v>
      </c>
    </row>
    <row r="1313" spans="1:28" outlineLevel="2" x14ac:dyDescent="0.3">
      <c r="A1313" s="379">
        <v>432</v>
      </c>
      <c r="B1313" s="379">
        <v>990000</v>
      </c>
      <c r="C1313" s="379" t="s">
        <v>1699</v>
      </c>
      <c r="D1313" s="379">
        <v>6323513</v>
      </c>
      <c r="E1313" s="379" t="s">
        <v>3388</v>
      </c>
      <c r="F1313" s="379" t="s">
        <v>3356</v>
      </c>
      <c r="G1313" s="383">
        <v>34669</v>
      </c>
      <c r="H1313" s="379">
        <v>15327.95</v>
      </c>
      <c r="I1313" s="379"/>
      <c r="J1313" s="379"/>
      <c r="K1313" s="379">
        <v>1149.7</v>
      </c>
      <c r="L1313" s="379"/>
      <c r="M1313" s="379"/>
      <c r="N1313" s="379"/>
      <c r="O1313" s="379"/>
      <c r="P1313" s="379"/>
      <c r="Q1313" s="379"/>
      <c r="R1313" s="379"/>
      <c r="S1313" s="379">
        <v>13566.12</v>
      </c>
      <c r="T1313" s="379">
        <v>1311.83</v>
      </c>
      <c r="U1313" s="379"/>
      <c r="V1313" s="380">
        <v>16477.650000000001</v>
      </c>
      <c r="W1313" s="381">
        <v>4.7039999999999997</v>
      </c>
      <c r="X1313" s="379"/>
      <c r="Y1313" s="379"/>
      <c r="Z1313" s="379">
        <v>9991001</v>
      </c>
      <c r="AA1313" s="379" t="s">
        <v>2496</v>
      </c>
      <c r="AB1313" s="380">
        <f t="shared" si="18"/>
        <v>0.39199999999999996</v>
      </c>
    </row>
    <row r="1314" spans="1:28" outlineLevel="2" x14ac:dyDescent="0.3">
      <c r="A1314" s="379">
        <v>432</v>
      </c>
      <c r="B1314" s="379">
        <v>990000</v>
      </c>
      <c r="C1314" s="379" t="s">
        <v>1699</v>
      </c>
      <c r="D1314" s="379">
        <v>6324252</v>
      </c>
      <c r="E1314" s="379" t="s">
        <v>3389</v>
      </c>
      <c r="F1314" s="379" t="s">
        <v>2434</v>
      </c>
      <c r="G1314" s="383">
        <v>28946</v>
      </c>
      <c r="H1314" s="379">
        <v>50875.16</v>
      </c>
      <c r="I1314" s="379"/>
      <c r="J1314" s="379"/>
      <c r="K1314" s="379">
        <v>1549</v>
      </c>
      <c r="L1314" s="379"/>
      <c r="M1314" s="379"/>
      <c r="N1314" s="379"/>
      <c r="O1314" s="379"/>
      <c r="P1314" s="379"/>
      <c r="Q1314" s="379"/>
      <c r="R1314" s="379"/>
      <c r="S1314" s="379">
        <v>46843.92</v>
      </c>
      <c r="T1314" s="379">
        <v>3581.24</v>
      </c>
      <c r="U1314" s="379"/>
      <c r="V1314" s="380">
        <v>52424.160000000003</v>
      </c>
      <c r="W1314" s="381">
        <v>7.7160000000000002</v>
      </c>
      <c r="X1314" s="379"/>
      <c r="Y1314" s="379"/>
      <c r="Z1314" s="379">
        <v>9991001</v>
      </c>
      <c r="AA1314" s="379" t="s">
        <v>2496</v>
      </c>
      <c r="AB1314" s="380">
        <f t="shared" ref="AB1314:AB1377" si="19">W1314/12</f>
        <v>0.64300000000000002</v>
      </c>
    </row>
    <row r="1315" spans="1:28" outlineLevel="2" x14ac:dyDescent="0.3">
      <c r="A1315" s="379">
        <v>432</v>
      </c>
      <c r="B1315" s="379">
        <v>990000</v>
      </c>
      <c r="C1315" s="379" t="s">
        <v>1699</v>
      </c>
      <c r="D1315" s="379">
        <v>6324484</v>
      </c>
      <c r="E1315" s="379" t="s">
        <v>2318</v>
      </c>
      <c r="F1315" s="379" t="s">
        <v>2735</v>
      </c>
      <c r="G1315" s="383">
        <v>28369</v>
      </c>
      <c r="H1315" s="379">
        <v>61752.44</v>
      </c>
      <c r="I1315" s="379"/>
      <c r="J1315" s="379"/>
      <c r="K1315" s="379">
        <v>4631.3999999999996</v>
      </c>
      <c r="L1315" s="379"/>
      <c r="M1315" s="379"/>
      <c r="N1315" s="379"/>
      <c r="O1315" s="379"/>
      <c r="P1315" s="379"/>
      <c r="Q1315" s="379"/>
      <c r="R1315" s="379"/>
      <c r="S1315" s="379">
        <v>56205.26</v>
      </c>
      <c r="T1315" s="379">
        <v>5097.18</v>
      </c>
      <c r="U1315" s="379"/>
      <c r="V1315" s="380">
        <v>66383.839999999997</v>
      </c>
      <c r="W1315" s="381">
        <v>7.92</v>
      </c>
      <c r="X1315" s="379"/>
      <c r="Y1315" s="379"/>
      <c r="Z1315" s="379">
        <v>9991001</v>
      </c>
      <c r="AA1315" s="379" t="s">
        <v>2496</v>
      </c>
      <c r="AB1315" s="380">
        <f t="shared" si="19"/>
        <v>0.66</v>
      </c>
    </row>
    <row r="1316" spans="1:28" outlineLevel="2" x14ac:dyDescent="0.3">
      <c r="A1316" s="379">
        <v>432</v>
      </c>
      <c r="B1316" s="379">
        <v>990000</v>
      </c>
      <c r="C1316" s="379" t="s">
        <v>1699</v>
      </c>
      <c r="D1316" s="379">
        <v>6325095</v>
      </c>
      <c r="E1316" s="379" t="s">
        <v>3390</v>
      </c>
      <c r="F1316" s="379" t="s">
        <v>2361</v>
      </c>
      <c r="G1316" s="383">
        <v>27364</v>
      </c>
      <c r="H1316" s="379">
        <v>124419.05</v>
      </c>
      <c r="I1316" s="379"/>
      <c r="J1316" s="379"/>
      <c r="K1316" s="379">
        <v>9331.2999999999993</v>
      </c>
      <c r="L1316" s="379"/>
      <c r="M1316" s="379"/>
      <c r="N1316" s="379"/>
      <c r="O1316" s="379"/>
      <c r="P1316" s="379">
        <v>23313.119999999999</v>
      </c>
      <c r="Q1316" s="379"/>
      <c r="R1316" s="379"/>
      <c r="S1316" s="379">
        <v>95404.29</v>
      </c>
      <c r="T1316" s="379">
        <v>5251.64</v>
      </c>
      <c r="U1316" s="379"/>
      <c r="V1316" s="380">
        <v>133750.35</v>
      </c>
      <c r="W1316" s="381">
        <v>8.16</v>
      </c>
      <c r="X1316" s="379"/>
      <c r="Y1316" s="379"/>
      <c r="Z1316" s="379">
        <v>9991001</v>
      </c>
      <c r="AA1316" s="379" t="s">
        <v>2496</v>
      </c>
      <c r="AB1316" s="380">
        <f t="shared" si="19"/>
        <v>0.68</v>
      </c>
    </row>
    <row r="1317" spans="1:28" outlineLevel="2" x14ac:dyDescent="0.3">
      <c r="A1317" s="379">
        <v>432</v>
      </c>
      <c r="B1317" s="379">
        <v>990000</v>
      </c>
      <c r="C1317" s="379" t="s">
        <v>1699</v>
      </c>
      <c r="D1317" s="379">
        <v>6327953</v>
      </c>
      <c r="E1317" s="379" t="s">
        <v>2523</v>
      </c>
      <c r="F1317" s="379" t="s">
        <v>2376</v>
      </c>
      <c r="G1317" s="383">
        <v>30926</v>
      </c>
      <c r="H1317" s="379">
        <v>26529.65</v>
      </c>
      <c r="I1317" s="379"/>
      <c r="J1317" s="379"/>
      <c r="K1317" s="379">
        <v>1989.65</v>
      </c>
      <c r="L1317" s="379"/>
      <c r="M1317" s="379"/>
      <c r="N1317" s="379"/>
      <c r="O1317" s="379"/>
      <c r="P1317" s="379"/>
      <c r="Q1317" s="379"/>
      <c r="R1317" s="379"/>
      <c r="S1317" s="379">
        <v>23747.3</v>
      </c>
      <c r="T1317" s="379">
        <v>2332.35</v>
      </c>
      <c r="U1317" s="379"/>
      <c r="V1317" s="380">
        <v>28519.3</v>
      </c>
      <c r="W1317" s="381">
        <v>6.24</v>
      </c>
      <c r="X1317" s="379"/>
      <c r="Y1317" s="379"/>
      <c r="Z1317" s="379">
        <v>9991001</v>
      </c>
      <c r="AA1317" s="379" t="s">
        <v>2496</v>
      </c>
      <c r="AB1317" s="380">
        <f t="shared" si="19"/>
        <v>0.52</v>
      </c>
    </row>
    <row r="1318" spans="1:28" outlineLevel="2" x14ac:dyDescent="0.3">
      <c r="A1318" s="379">
        <v>432</v>
      </c>
      <c r="B1318" s="379">
        <v>990000</v>
      </c>
      <c r="C1318" s="379" t="s">
        <v>1699</v>
      </c>
      <c r="D1318" s="379">
        <v>6332582</v>
      </c>
      <c r="E1318" s="379" t="s">
        <v>2323</v>
      </c>
      <c r="F1318" s="379" t="s">
        <v>3391</v>
      </c>
      <c r="G1318" s="383">
        <v>24351</v>
      </c>
      <c r="H1318" s="379">
        <v>41875.32</v>
      </c>
      <c r="I1318" s="379"/>
      <c r="J1318" s="379"/>
      <c r="K1318" s="379">
        <v>3140.45</v>
      </c>
      <c r="L1318" s="379"/>
      <c r="M1318" s="379"/>
      <c r="N1318" s="379"/>
      <c r="O1318" s="379"/>
      <c r="P1318" s="379"/>
      <c r="Q1318" s="379"/>
      <c r="R1318" s="379"/>
      <c r="S1318" s="379">
        <v>38419.56</v>
      </c>
      <c r="T1318" s="379">
        <v>3005.76</v>
      </c>
      <c r="U1318" s="379"/>
      <c r="V1318" s="380">
        <v>45015.77</v>
      </c>
      <c r="W1318" s="381">
        <v>5.76</v>
      </c>
      <c r="X1318" s="379"/>
      <c r="Y1318" s="379"/>
      <c r="Z1318" s="379">
        <v>9991001</v>
      </c>
      <c r="AA1318" s="379" t="s">
        <v>2496</v>
      </c>
      <c r="AB1318" s="380">
        <f t="shared" si="19"/>
        <v>0.48</v>
      </c>
    </row>
    <row r="1319" spans="1:28" outlineLevel="2" x14ac:dyDescent="0.3">
      <c r="A1319" s="379">
        <v>432</v>
      </c>
      <c r="B1319" s="379">
        <v>990000</v>
      </c>
      <c r="C1319" s="379" t="s">
        <v>1699</v>
      </c>
      <c r="D1319" s="379">
        <v>6335362</v>
      </c>
      <c r="E1319" s="379" t="s">
        <v>2736</v>
      </c>
      <c r="F1319" s="379" t="s">
        <v>2944</v>
      </c>
      <c r="G1319" s="383">
        <v>40817</v>
      </c>
      <c r="H1319" s="379">
        <v>8060.8</v>
      </c>
      <c r="I1319" s="379"/>
      <c r="J1319" s="379"/>
      <c r="K1319" s="379">
        <v>22.5</v>
      </c>
      <c r="L1319" s="379"/>
      <c r="M1319" s="379"/>
      <c r="N1319" s="379"/>
      <c r="O1319" s="379"/>
      <c r="P1319" s="379"/>
      <c r="Q1319" s="379"/>
      <c r="R1319" s="379"/>
      <c r="S1319" s="379">
        <v>7760.8</v>
      </c>
      <c r="T1319" s="379"/>
      <c r="U1319" s="379"/>
      <c r="V1319" s="380">
        <v>8083.3</v>
      </c>
      <c r="W1319" s="381">
        <v>1.44</v>
      </c>
      <c r="X1319" s="379"/>
      <c r="Y1319" s="379"/>
      <c r="Z1319" s="379">
        <v>9991001</v>
      </c>
      <c r="AA1319" s="379" t="s">
        <v>2496</v>
      </c>
      <c r="AB1319" s="380">
        <f t="shared" si="19"/>
        <v>0.12</v>
      </c>
    </row>
    <row r="1320" spans="1:28" outlineLevel="2" x14ac:dyDescent="0.3">
      <c r="A1320" s="379">
        <v>432</v>
      </c>
      <c r="B1320" s="379">
        <v>990000</v>
      </c>
      <c r="C1320" s="379" t="s">
        <v>1699</v>
      </c>
      <c r="D1320" s="379">
        <v>6335622</v>
      </c>
      <c r="E1320" s="379" t="s">
        <v>2564</v>
      </c>
      <c r="F1320" s="379" t="s">
        <v>3282</v>
      </c>
      <c r="G1320" s="383">
        <v>32994</v>
      </c>
      <c r="H1320" s="379">
        <v>31109.040000000001</v>
      </c>
      <c r="I1320" s="379"/>
      <c r="J1320" s="379"/>
      <c r="K1320" s="379">
        <v>33.75</v>
      </c>
      <c r="L1320" s="379"/>
      <c r="M1320" s="379"/>
      <c r="N1320" s="379"/>
      <c r="O1320" s="379"/>
      <c r="P1320" s="379"/>
      <c r="Q1320" s="379"/>
      <c r="R1320" s="379"/>
      <c r="S1320" s="379">
        <v>28499.040000000001</v>
      </c>
      <c r="T1320" s="379">
        <v>2160</v>
      </c>
      <c r="U1320" s="379"/>
      <c r="V1320" s="380">
        <v>31142.79</v>
      </c>
      <c r="W1320" s="381">
        <v>4.8</v>
      </c>
      <c r="X1320" s="379"/>
      <c r="Y1320" s="379"/>
      <c r="Z1320" s="379">
        <v>9991001</v>
      </c>
      <c r="AA1320" s="379" t="s">
        <v>2496</v>
      </c>
      <c r="AB1320" s="380">
        <f t="shared" si="19"/>
        <v>0.39999999999999997</v>
      </c>
    </row>
    <row r="1321" spans="1:28" outlineLevel="2" x14ac:dyDescent="0.3">
      <c r="A1321" s="379">
        <v>432</v>
      </c>
      <c r="B1321" s="379">
        <v>990000</v>
      </c>
      <c r="C1321" s="379" t="s">
        <v>1699</v>
      </c>
      <c r="D1321" s="379">
        <v>6336142</v>
      </c>
      <c r="E1321" s="379" t="s">
        <v>2332</v>
      </c>
      <c r="F1321" s="379" t="s">
        <v>3121</v>
      </c>
      <c r="G1321" s="383">
        <v>35278</v>
      </c>
      <c r="H1321" s="379">
        <v>15561.81</v>
      </c>
      <c r="I1321" s="379"/>
      <c r="J1321" s="379"/>
      <c r="K1321" s="379">
        <v>22.5</v>
      </c>
      <c r="L1321" s="379"/>
      <c r="M1321" s="379"/>
      <c r="N1321" s="379"/>
      <c r="O1321" s="379"/>
      <c r="P1321" s="379"/>
      <c r="Q1321" s="379"/>
      <c r="R1321" s="379"/>
      <c r="S1321" s="379">
        <v>12953.64</v>
      </c>
      <c r="T1321" s="379">
        <v>2308.17</v>
      </c>
      <c r="U1321" s="379"/>
      <c r="V1321" s="380">
        <v>15584.31</v>
      </c>
      <c r="W1321" s="381">
        <v>1.944</v>
      </c>
      <c r="X1321" s="379"/>
      <c r="Y1321" s="379"/>
      <c r="Z1321" s="379">
        <v>9991001</v>
      </c>
      <c r="AA1321" s="379" t="s">
        <v>2496</v>
      </c>
      <c r="AB1321" s="380">
        <f t="shared" si="19"/>
        <v>0.16200000000000001</v>
      </c>
    </row>
    <row r="1322" spans="1:28" outlineLevel="2" x14ac:dyDescent="0.3">
      <c r="A1322" s="379">
        <v>432</v>
      </c>
      <c r="B1322" s="379">
        <v>990000</v>
      </c>
      <c r="C1322" s="379" t="s">
        <v>1699</v>
      </c>
      <c r="D1322" s="379">
        <v>6336144</v>
      </c>
      <c r="E1322" s="379" t="s">
        <v>2318</v>
      </c>
      <c r="F1322" s="379" t="s">
        <v>2731</v>
      </c>
      <c r="G1322" s="383">
        <v>32021</v>
      </c>
      <c r="H1322" s="379">
        <v>42407.32</v>
      </c>
      <c r="I1322" s="379"/>
      <c r="J1322" s="379"/>
      <c r="K1322" s="379">
        <v>3180.5</v>
      </c>
      <c r="L1322" s="379"/>
      <c r="M1322" s="379"/>
      <c r="N1322" s="379"/>
      <c r="O1322" s="379">
        <v>4126.4399999999996</v>
      </c>
      <c r="P1322" s="379"/>
      <c r="Q1322" s="379"/>
      <c r="R1322" s="379"/>
      <c r="S1322" s="379">
        <v>34866.93</v>
      </c>
      <c r="T1322" s="379">
        <v>2963.95</v>
      </c>
      <c r="U1322" s="379"/>
      <c r="V1322" s="380">
        <v>45587.82</v>
      </c>
      <c r="W1322" s="381">
        <v>5.1840000000000002</v>
      </c>
      <c r="X1322" s="379"/>
      <c r="Y1322" s="379"/>
      <c r="Z1322" s="379">
        <v>9991001</v>
      </c>
      <c r="AA1322" s="379" t="s">
        <v>2496</v>
      </c>
      <c r="AB1322" s="380">
        <f t="shared" si="19"/>
        <v>0.432</v>
      </c>
    </row>
    <row r="1323" spans="1:28" outlineLevel="2" x14ac:dyDescent="0.3">
      <c r="A1323" s="379">
        <v>432</v>
      </c>
      <c r="B1323" s="379">
        <v>990000</v>
      </c>
      <c r="C1323" s="379" t="s">
        <v>1699</v>
      </c>
      <c r="D1323" s="379">
        <v>6338613</v>
      </c>
      <c r="E1323" s="379" t="s">
        <v>3392</v>
      </c>
      <c r="F1323" s="379" t="s">
        <v>2491</v>
      </c>
      <c r="G1323" s="383">
        <v>34486</v>
      </c>
      <c r="H1323" s="379">
        <v>40036.660000000003</v>
      </c>
      <c r="I1323" s="379"/>
      <c r="J1323" s="379"/>
      <c r="K1323" s="379">
        <v>3002.85</v>
      </c>
      <c r="L1323" s="379"/>
      <c r="M1323" s="379"/>
      <c r="N1323" s="379"/>
      <c r="O1323" s="379"/>
      <c r="P1323" s="379"/>
      <c r="Q1323" s="379"/>
      <c r="R1323" s="379"/>
      <c r="S1323" s="379">
        <v>36883.61</v>
      </c>
      <c r="T1323" s="379">
        <v>2703.05</v>
      </c>
      <c r="U1323" s="379"/>
      <c r="V1323" s="380">
        <v>43039.51</v>
      </c>
      <c r="W1323" s="381">
        <v>4.2</v>
      </c>
      <c r="X1323" s="379"/>
      <c r="Y1323" s="379"/>
      <c r="Z1323" s="379">
        <v>9991001</v>
      </c>
      <c r="AA1323" s="379" t="s">
        <v>2496</v>
      </c>
      <c r="AB1323" s="380">
        <f t="shared" si="19"/>
        <v>0.35000000000000003</v>
      </c>
    </row>
    <row r="1324" spans="1:28" outlineLevel="2" x14ac:dyDescent="0.3">
      <c r="A1324" s="379">
        <v>432</v>
      </c>
      <c r="B1324" s="379">
        <v>990000</v>
      </c>
      <c r="C1324" s="379" t="s">
        <v>1699</v>
      </c>
      <c r="D1324" s="379">
        <v>6338614</v>
      </c>
      <c r="E1324" s="379" t="s">
        <v>3393</v>
      </c>
      <c r="F1324" s="379" t="s">
        <v>2738</v>
      </c>
      <c r="G1324" s="383">
        <v>28004</v>
      </c>
      <c r="H1324" s="379">
        <v>75076.210000000006</v>
      </c>
      <c r="I1324" s="379"/>
      <c r="J1324" s="379"/>
      <c r="K1324" s="379">
        <v>5630.6</v>
      </c>
      <c r="L1324" s="379"/>
      <c r="M1324" s="379"/>
      <c r="N1324" s="379"/>
      <c r="O1324" s="379">
        <v>6686.4</v>
      </c>
      <c r="P1324" s="379"/>
      <c r="Q1324" s="379"/>
      <c r="R1324" s="379"/>
      <c r="S1324" s="379">
        <v>62533.71</v>
      </c>
      <c r="T1324" s="379">
        <v>5406.1</v>
      </c>
      <c r="U1324" s="379"/>
      <c r="V1324" s="380">
        <v>80706.81</v>
      </c>
      <c r="W1324" s="381">
        <v>8.4</v>
      </c>
      <c r="X1324" s="379"/>
      <c r="Y1324" s="379"/>
      <c r="Z1324" s="379">
        <v>9991001</v>
      </c>
      <c r="AA1324" s="379" t="s">
        <v>2496</v>
      </c>
      <c r="AB1324" s="380">
        <f t="shared" si="19"/>
        <v>0.70000000000000007</v>
      </c>
    </row>
    <row r="1325" spans="1:28" outlineLevel="2" x14ac:dyDescent="0.3">
      <c r="A1325" s="379">
        <v>432</v>
      </c>
      <c r="B1325" s="379">
        <v>990000</v>
      </c>
      <c r="C1325" s="379" t="s">
        <v>1699</v>
      </c>
      <c r="D1325" s="379">
        <v>6340233</v>
      </c>
      <c r="E1325" s="379" t="s">
        <v>2362</v>
      </c>
      <c r="F1325" s="379" t="s">
        <v>2363</v>
      </c>
      <c r="G1325" s="383">
        <v>29099</v>
      </c>
      <c r="H1325" s="379">
        <v>18540.18</v>
      </c>
      <c r="I1325" s="379">
        <v>684.26</v>
      </c>
      <c r="J1325" s="379"/>
      <c r="K1325" s="379">
        <v>1390.53</v>
      </c>
      <c r="L1325" s="379"/>
      <c r="M1325" s="379"/>
      <c r="N1325" s="379"/>
      <c r="O1325" s="379">
        <v>14042.58</v>
      </c>
      <c r="P1325" s="379"/>
      <c r="Q1325" s="379"/>
      <c r="R1325" s="379"/>
      <c r="S1325" s="379">
        <v>1931.6</v>
      </c>
      <c r="T1325" s="379">
        <v>2566</v>
      </c>
      <c r="U1325" s="379"/>
      <c r="V1325" s="380">
        <v>20614.97</v>
      </c>
      <c r="W1325" s="381">
        <v>2.8</v>
      </c>
      <c r="X1325" s="379"/>
      <c r="Y1325" s="379"/>
      <c r="Z1325" s="379">
        <v>9991001</v>
      </c>
      <c r="AA1325" s="379" t="s">
        <v>2496</v>
      </c>
      <c r="AB1325" s="380">
        <f t="shared" si="19"/>
        <v>0.23333333333333331</v>
      </c>
    </row>
    <row r="1326" spans="1:28" outlineLevel="2" x14ac:dyDescent="0.3">
      <c r="A1326" s="379">
        <v>432</v>
      </c>
      <c r="B1326" s="379">
        <v>990000</v>
      </c>
      <c r="C1326" s="379" t="s">
        <v>1699</v>
      </c>
      <c r="D1326" s="379">
        <v>6340434</v>
      </c>
      <c r="E1326" s="379" t="s">
        <v>3394</v>
      </c>
      <c r="F1326" s="379" t="s">
        <v>2376</v>
      </c>
      <c r="G1326" s="383">
        <v>28004</v>
      </c>
      <c r="H1326" s="379">
        <v>82946.97</v>
      </c>
      <c r="I1326" s="379"/>
      <c r="J1326" s="379"/>
      <c r="K1326" s="379">
        <v>6220.8</v>
      </c>
      <c r="L1326" s="379"/>
      <c r="M1326" s="379"/>
      <c r="N1326" s="379"/>
      <c r="O1326" s="379">
        <v>6686.4</v>
      </c>
      <c r="P1326" s="379"/>
      <c r="Q1326" s="379"/>
      <c r="R1326" s="379"/>
      <c r="S1326" s="379">
        <v>70404.47</v>
      </c>
      <c r="T1326" s="379">
        <v>5406.1</v>
      </c>
      <c r="U1326" s="379"/>
      <c r="V1326" s="380">
        <v>89167.77</v>
      </c>
      <c r="W1326" s="381">
        <v>8.4</v>
      </c>
      <c r="X1326" s="379"/>
      <c r="Y1326" s="379"/>
      <c r="Z1326" s="379">
        <v>9991001</v>
      </c>
      <c r="AA1326" s="379" t="s">
        <v>2496</v>
      </c>
      <c r="AB1326" s="380">
        <f t="shared" si="19"/>
        <v>0.70000000000000007</v>
      </c>
    </row>
    <row r="1327" spans="1:28" outlineLevel="2" x14ac:dyDescent="0.3">
      <c r="A1327" s="379">
        <v>432</v>
      </c>
      <c r="B1327" s="379">
        <v>990000</v>
      </c>
      <c r="C1327" s="379" t="s">
        <v>1699</v>
      </c>
      <c r="D1327" s="379">
        <v>6342183</v>
      </c>
      <c r="E1327" s="379" t="s">
        <v>2307</v>
      </c>
      <c r="F1327" s="379" t="s">
        <v>3395</v>
      </c>
      <c r="G1327" s="383">
        <v>33725</v>
      </c>
      <c r="H1327" s="379">
        <v>30426.93</v>
      </c>
      <c r="I1327" s="379"/>
      <c r="J1327" s="379"/>
      <c r="K1327" s="379">
        <v>2281.9499999999998</v>
      </c>
      <c r="L1327" s="379"/>
      <c r="M1327" s="379"/>
      <c r="N1327" s="379"/>
      <c r="O1327" s="379"/>
      <c r="P1327" s="379"/>
      <c r="Q1327" s="379"/>
      <c r="R1327" s="379"/>
      <c r="S1327" s="379">
        <v>27506.97</v>
      </c>
      <c r="T1327" s="379">
        <v>2469.96</v>
      </c>
      <c r="U1327" s="379"/>
      <c r="V1327" s="380">
        <v>32708.880000000001</v>
      </c>
      <c r="W1327" s="381">
        <v>4.32</v>
      </c>
      <c r="X1327" s="379"/>
      <c r="Y1327" s="379"/>
      <c r="Z1327" s="379">
        <v>9991001</v>
      </c>
      <c r="AA1327" s="379" t="s">
        <v>2496</v>
      </c>
      <c r="AB1327" s="380">
        <f t="shared" si="19"/>
        <v>0.36000000000000004</v>
      </c>
    </row>
    <row r="1328" spans="1:28" outlineLevel="2" x14ac:dyDescent="0.3">
      <c r="A1328" s="379">
        <v>432</v>
      </c>
      <c r="B1328" s="379">
        <v>990000</v>
      </c>
      <c r="C1328" s="379" t="s">
        <v>1699</v>
      </c>
      <c r="D1328" s="379">
        <v>6344871</v>
      </c>
      <c r="E1328" s="379" t="s">
        <v>2671</v>
      </c>
      <c r="F1328" s="379" t="s">
        <v>2674</v>
      </c>
      <c r="G1328" s="383">
        <v>30072</v>
      </c>
      <c r="H1328" s="379">
        <v>35449.839999999997</v>
      </c>
      <c r="I1328" s="379"/>
      <c r="J1328" s="379"/>
      <c r="K1328" s="379">
        <v>2658.45</v>
      </c>
      <c r="L1328" s="379"/>
      <c r="M1328" s="379"/>
      <c r="N1328" s="379"/>
      <c r="O1328" s="379"/>
      <c r="P1328" s="379"/>
      <c r="Q1328" s="379"/>
      <c r="R1328" s="379"/>
      <c r="S1328" s="379">
        <v>32427.84</v>
      </c>
      <c r="T1328" s="379">
        <v>2572</v>
      </c>
      <c r="U1328" s="379"/>
      <c r="V1328" s="380">
        <v>38108.29</v>
      </c>
      <c r="W1328" s="381">
        <v>4.8</v>
      </c>
      <c r="X1328" s="379"/>
      <c r="Y1328" s="379"/>
      <c r="Z1328" s="379">
        <v>6631001</v>
      </c>
      <c r="AA1328" s="379" t="s">
        <v>2459</v>
      </c>
      <c r="AB1328" s="380">
        <f t="shared" si="19"/>
        <v>0.39999999999999997</v>
      </c>
    </row>
    <row r="1329" spans="1:28" outlineLevel="2" x14ac:dyDescent="0.3">
      <c r="A1329" s="379">
        <v>432</v>
      </c>
      <c r="B1329" s="379">
        <v>990000</v>
      </c>
      <c r="C1329" s="379" t="s">
        <v>1699</v>
      </c>
      <c r="D1329" s="379">
        <v>6345214</v>
      </c>
      <c r="E1329" s="379" t="s">
        <v>2340</v>
      </c>
      <c r="F1329" s="379" t="s">
        <v>2352</v>
      </c>
      <c r="G1329" s="383">
        <v>42309</v>
      </c>
      <c r="H1329" s="379">
        <v>37434.29</v>
      </c>
      <c r="I1329" s="379"/>
      <c r="J1329" s="379"/>
      <c r="K1329" s="379">
        <v>33.75</v>
      </c>
      <c r="L1329" s="379"/>
      <c r="M1329" s="379"/>
      <c r="N1329" s="379"/>
      <c r="O1329" s="379"/>
      <c r="P1329" s="379"/>
      <c r="Q1329" s="379"/>
      <c r="R1329" s="379"/>
      <c r="S1329" s="379">
        <v>34184.160000000003</v>
      </c>
      <c r="T1329" s="379">
        <v>2800.13</v>
      </c>
      <c r="U1329" s="379"/>
      <c r="V1329" s="380">
        <v>37468.04</v>
      </c>
      <c r="W1329" s="381">
        <v>4.6079999999999997</v>
      </c>
      <c r="X1329" s="379"/>
      <c r="Y1329" s="379"/>
      <c r="Z1329" s="379">
        <v>9991001</v>
      </c>
      <c r="AA1329" s="379" t="s">
        <v>2496</v>
      </c>
      <c r="AB1329" s="380">
        <f t="shared" si="19"/>
        <v>0.38399999999999995</v>
      </c>
    </row>
    <row r="1330" spans="1:28" outlineLevel="2" x14ac:dyDescent="0.3">
      <c r="A1330" s="379">
        <v>432</v>
      </c>
      <c r="B1330" s="379">
        <v>990000</v>
      </c>
      <c r="C1330" s="379" t="s">
        <v>1699</v>
      </c>
      <c r="D1330" s="379">
        <v>6345644</v>
      </c>
      <c r="E1330" s="379" t="s">
        <v>2730</v>
      </c>
      <c r="F1330" s="379" t="s">
        <v>2319</v>
      </c>
      <c r="G1330" s="383">
        <v>28581</v>
      </c>
      <c r="H1330" s="379">
        <v>32323</v>
      </c>
      <c r="I1330" s="379"/>
      <c r="J1330" s="379"/>
      <c r="K1330" s="379">
        <v>2424.15</v>
      </c>
      <c r="L1330" s="379"/>
      <c r="M1330" s="379"/>
      <c r="N1330" s="379"/>
      <c r="O1330" s="379">
        <v>1104</v>
      </c>
      <c r="P1330" s="379"/>
      <c r="Q1330" s="379"/>
      <c r="R1330" s="379"/>
      <c r="S1330" s="379">
        <v>28216.799999999999</v>
      </c>
      <c r="T1330" s="379">
        <v>2552.1999999999998</v>
      </c>
      <c r="U1330" s="379"/>
      <c r="V1330" s="380">
        <v>34747.15</v>
      </c>
      <c r="W1330" s="381">
        <v>8.4</v>
      </c>
      <c r="X1330" s="379"/>
      <c r="Y1330" s="379"/>
      <c r="Z1330" s="379">
        <v>9991001</v>
      </c>
      <c r="AA1330" s="379" t="s">
        <v>2496</v>
      </c>
      <c r="AB1330" s="380">
        <f t="shared" si="19"/>
        <v>0.70000000000000007</v>
      </c>
    </row>
    <row r="1331" spans="1:28" outlineLevel="2" x14ac:dyDescent="0.3">
      <c r="A1331" s="379">
        <v>432</v>
      </c>
      <c r="B1331" s="379">
        <v>990000</v>
      </c>
      <c r="C1331" s="379" t="s">
        <v>1699</v>
      </c>
      <c r="D1331" s="379">
        <v>6347036</v>
      </c>
      <c r="E1331" s="379" t="s">
        <v>3149</v>
      </c>
      <c r="F1331" s="379" t="s">
        <v>3150</v>
      </c>
      <c r="G1331" s="383">
        <v>34029</v>
      </c>
      <c r="H1331" s="379">
        <v>33620.54</v>
      </c>
      <c r="I1331" s="379"/>
      <c r="J1331" s="379"/>
      <c r="K1331" s="379">
        <v>2521.58</v>
      </c>
      <c r="L1331" s="379"/>
      <c r="M1331" s="379"/>
      <c r="N1331" s="379"/>
      <c r="O1331" s="379"/>
      <c r="P1331" s="379"/>
      <c r="Q1331" s="379"/>
      <c r="R1331" s="379"/>
      <c r="S1331" s="379">
        <v>33470.54</v>
      </c>
      <c r="T1331" s="379"/>
      <c r="U1331" s="379"/>
      <c r="V1331" s="380">
        <v>36142.120000000003</v>
      </c>
      <c r="W1331" s="381">
        <v>5.2</v>
      </c>
      <c r="X1331" s="379">
        <v>121</v>
      </c>
      <c r="Y1331" s="379" t="s">
        <v>3396</v>
      </c>
      <c r="Z1331" s="379">
        <v>9991001</v>
      </c>
      <c r="AA1331" s="379" t="s">
        <v>2496</v>
      </c>
      <c r="AB1331" s="380">
        <f t="shared" si="19"/>
        <v>0.43333333333333335</v>
      </c>
    </row>
    <row r="1332" spans="1:28" outlineLevel="2" x14ac:dyDescent="0.3">
      <c r="A1332" s="379">
        <v>432</v>
      </c>
      <c r="B1332" s="379">
        <v>990000</v>
      </c>
      <c r="C1332" s="379" t="s">
        <v>1699</v>
      </c>
      <c r="D1332" s="379">
        <v>6356033</v>
      </c>
      <c r="E1332" s="379" t="s">
        <v>2590</v>
      </c>
      <c r="F1332" s="379" t="s">
        <v>3142</v>
      </c>
      <c r="G1332" s="383">
        <v>28338</v>
      </c>
      <c r="H1332" s="379">
        <v>80117.02</v>
      </c>
      <c r="I1332" s="379"/>
      <c r="J1332" s="379"/>
      <c r="K1332" s="379">
        <v>6008.8</v>
      </c>
      <c r="L1332" s="379"/>
      <c r="M1332" s="379"/>
      <c r="N1332" s="379"/>
      <c r="O1332" s="379">
        <v>4728</v>
      </c>
      <c r="P1332" s="379"/>
      <c r="Q1332" s="379"/>
      <c r="R1332" s="379"/>
      <c r="S1332" s="379">
        <v>68680.92</v>
      </c>
      <c r="T1332" s="379">
        <v>5406.1</v>
      </c>
      <c r="U1332" s="379">
        <v>852</v>
      </c>
      <c r="V1332" s="380">
        <v>86125.82</v>
      </c>
      <c r="W1332" s="381">
        <v>8.4</v>
      </c>
      <c r="X1332" s="379"/>
      <c r="Y1332" s="379"/>
      <c r="Z1332" s="379">
        <v>9991001</v>
      </c>
      <c r="AA1332" s="379" t="s">
        <v>2496</v>
      </c>
      <c r="AB1332" s="380">
        <f t="shared" si="19"/>
        <v>0.70000000000000007</v>
      </c>
    </row>
    <row r="1333" spans="1:28" outlineLevel="2" x14ac:dyDescent="0.3">
      <c r="A1333" s="379">
        <v>432</v>
      </c>
      <c r="B1333" s="379">
        <v>990000</v>
      </c>
      <c r="C1333" s="379" t="s">
        <v>1699</v>
      </c>
      <c r="D1333" s="379">
        <v>6356034</v>
      </c>
      <c r="E1333" s="379" t="s">
        <v>2590</v>
      </c>
      <c r="F1333" s="379" t="s">
        <v>2729</v>
      </c>
      <c r="G1333" s="383">
        <v>34213</v>
      </c>
      <c r="H1333" s="379">
        <v>29466.57</v>
      </c>
      <c r="I1333" s="379"/>
      <c r="J1333" s="379"/>
      <c r="K1333" s="379">
        <v>2209.9499999999998</v>
      </c>
      <c r="L1333" s="379"/>
      <c r="M1333" s="379"/>
      <c r="N1333" s="379"/>
      <c r="O1333" s="379">
        <v>1108.8</v>
      </c>
      <c r="P1333" s="379"/>
      <c r="Q1333" s="379"/>
      <c r="R1333" s="379"/>
      <c r="S1333" s="379">
        <v>25643.64</v>
      </c>
      <c r="T1333" s="379">
        <v>2264.13</v>
      </c>
      <c r="U1333" s="379"/>
      <c r="V1333" s="380">
        <v>31676.52</v>
      </c>
      <c r="W1333" s="381">
        <v>3.96</v>
      </c>
      <c r="X1333" s="379"/>
      <c r="Y1333" s="379"/>
      <c r="Z1333" s="379">
        <v>9991001</v>
      </c>
      <c r="AA1333" s="379" t="s">
        <v>2496</v>
      </c>
      <c r="AB1333" s="380">
        <f t="shared" si="19"/>
        <v>0.33</v>
      </c>
    </row>
    <row r="1334" spans="1:28" outlineLevel="2" x14ac:dyDescent="0.3">
      <c r="A1334" s="379">
        <v>432</v>
      </c>
      <c r="B1334" s="379">
        <v>990000</v>
      </c>
      <c r="C1334" s="379" t="s">
        <v>1699</v>
      </c>
      <c r="D1334" s="379">
        <v>6356038</v>
      </c>
      <c r="E1334" s="379" t="s">
        <v>3397</v>
      </c>
      <c r="F1334" s="379" t="s">
        <v>2349</v>
      </c>
      <c r="G1334" s="383">
        <v>28795</v>
      </c>
      <c r="H1334" s="379">
        <v>66527.53</v>
      </c>
      <c r="I1334" s="379"/>
      <c r="J1334" s="379"/>
      <c r="K1334" s="379">
        <v>4989.5</v>
      </c>
      <c r="L1334" s="379"/>
      <c r="M1334" s="379"/>
      <c r="N1334" s="379"/>
      <c r="O1334" s="379"/>
      <c r="P1334" s="379"/>
      <c r="Q1334" s="379"/>
      <c r="R1334" s="379"/>
      <c r="S1334" s="379">
        <v>60671.43</v>
      </c>
      <c r="T1334" s="379">
        <v>5406.1</v>
      </c>
      <c r="U1334" s="379"/>
      <c r="V1334" s="380">
        <v>71517.03</v>
      </c>
      <c r="W1334" s="381">
        <v>8.4</v>
      </c>
      <c r="X1334" s="379"/>
      <c r="Y1334" s="379"/>
      <c r="Z1334" s="379">
        <v>9991001</v>
      </c>
      <c r="AA1334" s="379" t="s">
        <v>2496</v>
      </c>
      <c r="AB1334" s="380">
        <f t="shared" si="19"/>
        <v>0.70000000000000007</v>
      </c>
    </row>
    <row r="1335" spans="1:28" outlineLevel="2" x14ac:dyDescent="0.3">
      <c r="A1335" s="379">
        <v>432</v>
      </c>
      <c r="B1335" s="379">
        <v>990000</v>
      </c>
      <c r="C1335" s="379" t="s">
        <v>1699</v>
      </c>
      <c r="D1335" s="379">
        <v>6356983</v>
      </c>
      <c r="E1335" s="379" t="s">
        <v>2307</v>
      </c>
      <c r="F1335" s="379" t="s">
        <v>2285</v>
      </c>
      <c r="G1335" s="383">
        <v>36373</v>
      </c>
      <c r="H1335" s="379">
        <v>18078.439999999999</v>
      </c>
      <c r="I1335" s="379"/>
      <c r="J1335" s="379"/>
      <c r="K1335" s="379">
        <v>1355.88</v>
      </c>
      <c r="L1335" s="379"/>
      <c r="M1335" s="379"/>
      <c r="N1335" s="379"/>
      <c r="O1335" s="379">
        <v>355</v>
      </c>
      <c r="P1335" s="379">
        <v>574.20000000000005</v>
      </c>
      <c r="Q1335" s="379"/>
      <c r="R1335" s="379"/>
      <c r="S1335" s="379">
        <v>16999.240000000002</v>
      </c>
      <c r="T1335" s="379"/>
      <c r="U1335" s="379"/>
      <c r="V1335" s="380">
        <v>19434.32</v>
      </c>
      <c r="W1335" s="381">
        <v>2.4</v>
      </c>
      <c r="X1335" s="379"/>
      <c r="Y1335" s="379"/>
      <c r="Z1335" s="379">
        <v>9991001</v>
      </c>
      <c r="AA1335" s="379" t="s">
        <v>2496</v>
      </c>
      <c r="AB1335" s="380">
        <f t="shared" si="19"/>
        <v>0.19999999999999998</v>
      </c>
    </row>
    <row r="1336" spans="1:28" outlineLevel="2" x14ac:dyDescent="0.3">
      <c r="A1336" s="379">
        <v>432</v>
      </c>
      <c r="B1336" s="379">
        <v>990000</v>
      </c>
      <c r="C1336" s="379" t="s">
        <v>1699</v>
      </c>
      <c r="D1336" s="379">
        <v>6377623</v>
      </c>
      <c r="E1336" s="379" t="s">
        <v>2562</v>
      </c>
      <c r="F1336" s="379" t="s">
        <v>2707</v>
      </c>
      <c r="G1336" s="383">
        <v>28004</v>
      </c>
      <c r="H1336" s="379">
        <v>70577.33</v>
      </c>
      <c r="I1336" s="379"/>
      <c r="J1336" s="379"/>
      <c r="K1336" s="379">
        <v>5293.35</v>
      </c>
      <c r="L1336" s="379"/>
      <c r="M1336" s="379"/>
      <c r="N1336" s="379"/>
      <c r="O1336" s="379">
        <v>2352</v>
      </c>
      <c r="P1336" s="379"/>
      <c r="Q1336" s="379"/>
      <c r="R1336" s="379"/>
      <c r="S1336" s="379">
        <v>63072.02</v>
      </c>
      <c r="T1336" s="379">
        <v>4703.3100000000004</v>
      </c>
      <c r="U1336" s="379"/>
      <c r="V1336" s="380">
        <v>75870.679999999993</v>
      </c>
      <c r="W1336" s="381">
        <v>8.4</v>
      </c>
      <c r="X1336" s="379">
        <v>21</v>
      </c>
      <c r="Y1336" s="379" t="s">
        <v>2632</v>
      </c>
      <c r="Z1336" s="379">
        <v>9991001</v>
      </c>
      <c r="AA1336" s="379" t="s">
        <v>2496</v>
      </c>
      <c r="AB1336" s="380">
        <f t="shared" si="19"/>
        <v>0.70000000000000007</v>
      </c>
    </row>
    <row r="1337" spans="1:28" outlineLevel="2" x14ac:dyDescent="0.3">
      <c r="A1337" s="379">
        <v>432</v>
      </c>
      <c r="B1337" s="379">
        <v>990000</v>
      </c>
      <c r="C1337" s="379" t="s">
        <v>1699</v>
      </c>
      <c r="D1337" s="379">
        <v>6379031</v>
      </c>
      <c r="E1337" s="379" t="s">
        <v>2303</v>
      </c>
      <c r="F1337" s="379" t="s">
        <v>2554</v>
      </c>
      <c r="G1337" s="383">
        <v>31107</v>
      </c>
      <c r="H1337" s="379">
        <v>47743.56</v>
      </c>
      <c r="I1337" s="379"/>
      <c r="J1337" s="379"/>
      <c r="K1337" s="379">
        <v>3580.7</v>
      </c>
      <c r="L1337" s="379"/>
      <c r="M1337" s="379"/>
      <c r="N1337" s="379"/>
      <c r="O1337" s="379"/>
      <c r="P1337" s="379"/>
      <c r="Q1337" s="379"/>
      <c r="R1337" s="379"/>
      <c r="S1337" s="379">
        <v>44129.16</v>
      </c>
      <c r="T1337" s="379">
        <v>3164.4</v>
      </c>
      <c r="U1337" s="379"/>
      <c r="V1337" s="380">
        <v>51324.26</v>
      </c>
      <c r="W1337" s="381">
        <v>7.032</v>
      </c>
      <c r="X1337" s="379"/>
      <c r="Y1337" s="379"/>
      <c r="Z1337" s="379">
        <v>9921001</v>
      </c>
      <c r="AA1337" s="379" t="s">
        <v>2464</v>
      </c>
      <c r="AB1337" s="380">
        <f t="shared" si="19"/>
        <v>0.58599999999999997</v>
      </c>
    </row>
    <row r="1338" spans="1:28" outlineLevel="2" x14ac:dyDescent="0.3">
      <c r="A1338" s="379">
        <v>432</v>
      </c>
      <c r="B1338" s="379">
        <v>990000</v>
      </c>
      <c r="C1338" s="379" t="s">
        <v>1699</v>
      </c>
      <c r="D1338" s="379">
        <v>6379032</v>
      </c>
      <c r="E1338" s="379" t="s">
        <v>2303</v>
      </c>
      <c r="F1338" s="379" t="s">
        <v>3342</v>
      </c>
      <c r="G1338" s="383">
        <v>26268</v>
      </c>
      <c r="H1338" s="379">
        <v>35743.86</v>
      </c>
      <c r="I1338" s="379"/>
      <c r="J1338" s="379"/>
      <c r="K1338" s="379">
        <v>2680.85</v>
      </c>
      <c r="L1338" s="379"/>
      <c r="M1338" s="379"/>
      <c r="N1338" s="379"/>
      <c r="O1338" s="379"/>
      <c r="P1338" s="379"/>
      <c r="Q1338" s="379"/>
      <c r="R1338" s="379"/>
      <c r="S1338" s="379">
        <v>32815.68</v>
      </c>
      <c r="T1338" s="379">
        <v>2478.1799999999998</v>
      </c>
      <c r="U1338" s="379"/>
      <c r="V1338" s="380">
        <v>38424.71</v>
      </c>
      <c r="W1338" s="381">
        <v>5.0999999999999996</v>
      </c>
      <c r="X1338" s="379"/>
      <c r="Y1338" s="379"/>
      <c r="Z1338" s="379">
        <v>9991001</v>
      </c>
      <c r="AA1338" s="379" t="s">
        <v>2496</v>
      </c>
      <c r="AB1338" s="380">
        <f t="shared" si="19"/>
        <v>0.42499999999999999</v>
      </c>
    </row>
    <row r="1339" spans="1:28" outlineLevel="2" x14ac:dyDescent="0.3">
      <c r="A1339" s="379">
        <v>432</v>
      </c>
      <c r="B1339" s="379">
        <v>990000</v>
      </c>
      <c r="C1339" s="379" t="s">
        <v>1699</v>
      </c>
      <c r="D1339" s="379">
        <v>6379045</v>
      </c>
      <c r="E1339" s="379" t="s">
        <v>2332</v>
      </c>
      <c r="F1339" s="379" t="s">
        <v>2319</v>
      </c>
      <c r="G1339" s="383">
        <v>27273</v>
      </c>
      <c r="H1339" s="379">
        <v>64030.71</v>
      </c>
      <c r="I1339" s="379"/>
      <c r="J1339" s="379"/>
      <c r="K1339" s="379">
        <v>4802.3</v>
      </c>
      <c r="L1339" s="379"/>
      <c r="M1339" s="379"/>
      <c r="N1339" s="379"/>
      <c r="O1339" s="379"/>
      <c r="P1339" s="379"/>
      <c r="Q1339" s="379"/>
      <c r="R1339" s="379"/>
      <c r="S1339" s="379">
        <v>58174.61</v>
      </c>
      <c r="T1339" s="379">
        <v>5406.1</v>
      </c>
      <c r="U1339" s="379"/>
      <c r="V1339" s="380">
        <v>68833.009999999995</v>
      </c>
      <c r="W1339" s="381">
        <v>8.4</v>
      </c>
      <c r="X1339" s="379"/>
      <c r="Y1339" s="379"/>
      <c r="Z1339" s="379">
        <v>9991001</v>
      </c>
      <c r="AA1339" s="379" t="s">
        <v>2496</v>
      </c>
      <c r="AB1339" s="380">
        <f t="shared" si="19"/>
        <v>0.70000000000000007</v>
      </c>
    </row>
    <row r="1340" spans="1:28" outlineLevel="2" x14ac:dyDescent="0.3">
      <c r="A1340" s="379">
        <v>432</v>
      </c>
      <c r="B1340" s="379">
        <v>990000</v>
      </c>
      <c r="C1340" s="379" t="s">
        <v>1699</v>
      </c>
      <c r="D1340" s="379">
        <v>6379124</v>
      </c>
      <c r="E1340" s="379" t="s">
        <v>2303</v>
      </c>
      <c r="F1340" s="379" t="s">
        <v>2366</v>
      </c>
      <c r="G1340" s="383">
        <v>26268</v>
      </c>
      <c r="H1340" s="379">
        <v>27027.9</v>
      </c>
      <c r="I1340" s="379"/>
      <c r="J1340" s="379"/>
      <c r="K1340" s="379">
        <v>2027.3</v>
      </c>
      <c r="L1340" s="379"/>
      <c r="M1340" s="379"/>
      <c r="N1340" s="379"/>
      <c r="O1340" s="379"/>
      <c r="P1340" s="379"/>
      <c r="Q1340" s="379"/>
      <c r="R1340" s="379"/>
      <c r="S1340" s="379">
        <v>24335.74</v>
      </c>
      <c r="T1340" s="379">
        <v>2242.16</v>
      </c>
      <c r="U1340" s="379"/>
      <c r="V1340" s="380">
        <v>29055.200000000001</v>
      </c>
      <c r="W1340" s="381">
        <v>3.6850000000000001</v>
      </c>
      <c r="X1340" s="379"/>
      <c r="Y1340" s="379"/>
      <c r="Z1340" s="379">
        <v>9991001</v>
      </c>
      <c r="AA1340" s="379" t="s">
        <v>2496</v>
      </c>
      <c r="AB1340" s="380">
        <f t="shared" si="19"/>
        <v>0.30708333333333332</v>
      </c>
    </row>
    <row r="1341" spans="1:28" outlineLevel="2" x14ac:dyDescent="0.3">
      <c r="A1341" s="379">
        <v>432</v>
      </c>
      <c r="B1341" s="379">
        <v>990000</v>
      </c>
      <c r="C1341" s="379" t="s">
        <v>1699</v>
      </c>
      <c r="D1341" s="379">
        <v>6390023</v>
      </c>
      <c r="E1341" s="379" t="s">
        <v>3398</v>
      </c>
      <c r="F1341" s="379" t="s">
        <v>2707</v>
      </c>
      <c r="G1341" s="383">
        <v>29495</v>
      </c>
      <c r="H1341" s="379">
        <v>90874.28</v>
      </c>
      <c r="I1341" s="379"/>
      <c r="J1341" s="379"/>
      <c r="K1341" s="379">
        <v>6815.5</v>
      </c>
      <c r="L1341" s="379"/>
      <c r="M1341" s="379"/>
      <c r="N1341" s="379"/>
      <c r="O1341" s="379"/>
      <c r="P1341" s="379"/>
      <c r="Q1341" s="379"/>
      <c r="R1341" s="379"/>
      <c r="S1341" s="379">
        <v>86307.68</v>
      </c>
      <c r="T1341" s="379">
        <v>4116.6000000000004</v>
      </c>
      <c r="U1341" s="379"/>
      <c r="V1341" s="380">
        <v>97689.78</v>
      </c>
      <c r="W1341" s="381">
        <v>7.2</v>
      </c>
      <c r="X1341" s="379"/>
      <c r="Y1341" s="379"/>
      <c r="Z1341" s="379">
        <v>9991001</v>
      </c>
      <c r="AA1341" s="379" t="s">
        <v>2496</v>
      </c>
      <c r="AB1341" s="380">
        <f t="shared" si="19"/>
        <v>0.6</v>
      </c>
    </row>
    <row r="1342" spans="1:28" outlineLevel="2" x14ac:dyDescent="0.3">
      <c r="A1342" s="379">
        <v>432</v>
      </c>
      <c r="B1342" s="379">
        <v>990000</v>
      </c>
      <c r="C1342" s="379" t="s">
        <v>1699</v>
      </c>
      <c r="D1342" s="379">
        <v>6413114</v>
      </c>
      <c r="E1342" s="379" t="s">
        <v>2451</v>
      </c>
      <c r="F1342" s="379" t="s">
        <v>3399</v>
      </c>
      <c r="G1342" s="383">
        <v>31017</v>
      </c>
      <c r="H1342" s="379">
        <v>26501.06</v>
      </c>
      <c r="I1342" s="379"/>
      <c r="J1342" s="379"/>
      <c r="K1342" s="379">
        <v>1987.4</v>
      </c>
      <c r="L1342" s="379"/>
      <c r="M1342" s="379"/>
      <c r="N1342" s="379"/>
      <c r="O1342" s="379"/>
      <c r="P1342" s="379"/>
      <c r="Q1342" s="379"/>
      <c r="R1342" s="379"/>
      <c r="S1342" s="379">
        <v>24186.36</v>
      </c>
      <c r="T1342" s="379">
        <v>1864.7</v>
      </c>
      <c r="U1342" s="379"/>
      <c r="V1342" s="380">
        <v>28488.46</v>
      </c>
      <c r="W1342" s="381">
        <v>3.48</v>
      </c>
      <c r="X1342" s="379"/>
      <c r="Y1342" s="379"/>
      <c r="Z1342" s="379">
        <v>9991001</v>
      </c>
      <c r="AA1342" s="379" t="s">
        <v>2496</v>
      </c>
      <c r="AB1342" s="380">
        <f t="shared" si="19"/>
        <v>0.28999999999999998</v>
      </c>
    </row>
    <row r="1343" spans="1:28" outlineLevel="2" x14ac:dyDescent="0.3">
      <c r="A1343" s="379">
        <v>432</v>
      </c>
      <c r="B1343" s="379">
        <v>990000</v>
      </c>
      <c r="C1343" s="379" t="s">
        <v>1699</v>
      </c>
      <c r="D1343" s="379">
        <v>6413526</v>
      </c>
      <c r="E1343" s="379" t="s">
        <v>2765</v>
      </c>
      <c r="F1343" s="379" t="s">
        <v>3400</v>
      </c>
      <c r="G1343" s="383">
        <v>23651</v>
      </c>
      <c r="H1343" s="379">
        <v>105640.38</v>
      </c>
      <c r="I1343" s="379"/>
      <c r="J1343" s="379"/>
      <c r="K1343" s="379">
        <v>7922.85</v>
      </c>
      <c r="L1343" s="379"/>
      <c r="M1343" s="379"/>
      <c r="N1343" s="379"/>
      <c r="O1343" s="379"/>
      <c r="P1343" s="379">
        <v>19429.2</v>
      </c>
      <c r="Q1343" s="379"/>
      <c r="R1343" s="379"/>
      <c r="S1343" s="379">
        <v>80355.08</v>
      </c>
      <c r="T1343" s="379">
        <v>5406.1</v>
      </c>
      <c r="U1343" s="379"/>
      <c r="V1343" s="380">
        <v>113563.23</v>
      </c>
      <c r="W1343" s="381">
        <v>8.4</v>
      </c>
      <c r="X1343" s="379"/>
      <c r="Y1343" s="379"/>
      <c r="Z1343" s="379">
        <v>9991001</v>
      </c>
      <c r="AA1343" s="379" t="s">
        <v>2496</v>
      </c>
      <c r="AB1343" s="380">
        <f t="shared" si="19"/>
        <v>0.70000000000000007</v>
      </c>
    </row>
    <row r="1344" spans="1:28" outlineLevel="2" x14ac:dyDescent="0.3">
      <c r="A1344" s="379">
        <v>432</v>
      </c>
      <c r="B1344" s="379">
        <v>990000</v>
      </c>
      <c r="C1344" s="379" t="s">
        <v>1699</v>
      </c>
      <c r="D1344" s="379">
        <v>6414491</v>
      </c>
      <c r="E1344" s="379" t="s">
        <v>3401</v>
      </c>
      <c r="F1344" s="379" t="s">
        <v>2707</v>
      </c>
      <c r="G1344" s="383">
        <v>24504</v>
      </c>
      <c r="H1344" s="379">
        <v>59791.94</v>
      </c>
      <c r="I1344" s="379"/>
      <c r="J1344" s="379"/>
      <c r="K1344" s="379">
        <v>4484.5</v>
      </c>
      <c r="L1344" s="379"/>
      <c r="M1344" s="379"/>
      <c r="N1344" s="379"/>
      <c r="O1344" s="379">
        <v>2352</v>
      </c>
      <c r="P1344" s="379"/>
      <c r="Q1344" s="379"/>
      <c r="R1344" s="379"/>
      <c r="S1344" s="379">
        <v>52618.720000000001</v>
      </c>
      <c r="T1344" s="379">
        <v>4371.22</v>
      </c>
      <c r="U1344" s="379"/>
      <c r="V1344" s="380">
        <v>64276.44</v>
      </c>
      <c r="W1344" s="381">
        <v>8.4</v>
      </c>
      <c r="X1344" s="379"/>
      <c r="Y1344" s="379"/>
      <c r="Z1344" s="379">
        <v>9991001</v>
      </c>
      <c r="AA1344" s="379" t="s">
        <v>2496</v>
      </c>
      <c r="AB1344" s="380">
        <f t="shared" si="19"/>
        <v>0.70000000000000007</v>
      </c>
    </row>
    <row r="1345" spans="1:28" outlineLevel="2" x14ac:dyDescent="0.3">
      <c r="A1345" s="379">
        <v>432</v>
      </c>
      <c r="B1345" s="379">
        <v>990000</v>
      </c>
      <c r="C1345" s="379" t="s">
        <v>1699</v>
      </c>
      <c r="D1345" s="379">
        <v>6414798</v>
      </c>
      <c r="E1345" s="379" t="s">
        <v>2340</v>
      </c>
      <c r="F1345" s="379" t="s">
        <v>2549</v>
      </c>
      <c r="G1345" s="383">
        <v>27546</v>
      </c>
      <c r="H1345" s="379">
        <v>65766.759999999995</v>
      </c>
      <c r="I1345" s="379"/>
      <c r="J1345" s="379"/>
      <c r="K1345" s="379">
        <v>4932.75</v>
      </c>
      <c r="L1345" s="379"/>
      <c r="M1345" s="379"/>
      <c r="N1345" s="379"/>
      <c r="O1345" s="379"/>
      <c r="P1345" s="379"/>
      <c r="Q1345" s="379"/>
      <c r="R1345" s="379"/>
      <c r="S1345" s="379">
        <v>60212.36</v>
      </c>
      <c r="T1345" s="379">
        <v>5104.3999999999996</v>
      </c>
      <c r="U1345" s="379"/>
      <c r="V1345" s="380">
        <v>70699.509999999995</v>
      </c>
      <c r="W1345" s="381">
        <v>8.4</v>
      </c>
      <c r="X1345" s="379"/>
      <c r="Y1345" s="379"/>
      <c r="Z1345" s="379">
        <v>9991001</v>
      </c>
      <c r="AA1345" s="379" t="s">
        <v>2496</v>
      </c>
      <c r="AB1345" s="380">
        <f t="shared" si="19"/>
        <v>0.70000000000000007</v>
      </c>
    </row>
    <row r="1346" spans="1:28" outlineLevel="2" x14ac:dyDescent="0.3">
      <c r="A1346" s="379">
        <v>432</v>
      </c>
      <c r="B1346" s="379">
        <v>990000</v>
      </c>
      <c r="C1346" s="379" t="s">
        <v>1699</v>
      </c>
      <c r="D1346" s="379">
        <v>6415521</v>
      </c>
      <c r="E1346" s="379" t="s">
        <v>3402</v>
      </c>
      <c r="F1346" s="379" t="s">
        <v>3043</v>
      </c>
      <c r="G1346" s="383">
        <v>36678</v>
      </c>
      <c r="H1346" s="379">
        <v>37893.32</v>
      </c>
      <c r="I1346" s="379"/>
      <c r="J1346" s="379"/>
      <c r="K1346" s="379">
        <v>33.75</v>
      </c>
      <c r="L1346" s="379"/>
      <c r="M1346" s="379"/>
      <c r="N1346" s="379"/>
      <c r="O1346" s="379"/>
      <c r="P1346" s="379"/>
      <c r="Q1346" s="379"/>
      <c r="R1346" s="379"/>
      <c r="S1346" s="379">
        <v>34526.519999999997</v>
      </c>
      <c r="T1346" s="379">
        <v>2916.8</v>
      </c>
      <c r="U1346" s="379"/>
      <c r="V1346" s="380">
        <v>37927.07</v>
      </c>
      <c r="W1346" s="381">
        <v>4.8</v>
      </c>
      <c r="X1346" s="379"/>
      <c r="Y1346" s="379"/>
      <c r="Z1346" s="379">
        <v>9991001</v>
      </c>
      <c r="AA1346" s="379" t="s">
        <v>2496</v>
      </c>
      <c r="AB1346" s="380">
        <f t="shared" si="19"/>
        <v>0.39999999999999997</v>
      </c>
    </row>
    <row r="1347" spans="1:28" outlineLevel="2" x14ac:dyDescent="0.3">
      <c r="A1347" s="379">
        <v>432</v>
      </c>
      <c r="B1347" s="379">
        <v>990000</v>
      </c>
      <c r="C1347" s="379" t="s">
        <v>1699</v>
      </c>
      <c r="D1347" s="379">
        <v>6418114</v>
      </c>
      <c r="E1347" s="379" t="s">
        <v>2307</v>
      </c>
      <c r="F1347" s="379" t="s">
        <v>3403</v>
      </c>
      <c r="G1347" s="383">
        <v>26816</v>
      </c>
      <c r="H1347" s="379">
        <v>84176.93</v>
      </c>
      <c r="I1347" s="379"/>
      <c r="J1347" s="379"/>
      <c r="K1347" s="379">
        <v>6313.45</v>
      </c>
      <c r="L1347" s="379"/>
      <c r="M1347" s="379"/>
      <c r="N1347" s="379"/>
      <c r="O1347" s="379"/>
      <c r="P1347" s="379"/>
      <c r="Q1347" s="379"/>
      <c r="R1347" s="379"/>
      <c r="S1347" s="379">
        <v>78320.83</v>
      </c>
      <c r="T1347" s="379">
        <v>5406.1</v>
      </c>
      <c r="U1347" s="379"/>
      <c r="V1347" s="380">
        <v>90490.38</v>
      </c>
      <c r="W1347" s="381">
        <v>8.4</v>
      </c>
      <c r="X1347" s="379"/>
      <c r="Y1347" s="379"/>
      <c r="Z1347" s="379">
        <v>9991001</v>
      </c>
      <c r="AA1347" s="379" t="s">
        <v>2496</v>
      </c>
      <c r="AB1347" s="380">
        <f t="shared" si="19"/>
        <v>0.70000000000000007</v>
      </c>
    </row>
    <row r="1348" spans="1:28" outlineLevel="2" x14ac:dyDescent="0.3">
      <c r="A1348" s="379">
        <v>432</v>
      </c>
      <c r="B1348" s="379">
        <v>990000</v>
      </c>
      <c r="C1348" s="379" t="s">
        <v>1699</v>
      </c>
      <c r="D1348" s="379">
        <v>6420412</v>
      </c>
      <c r="E1348" s="379" t="s">
        <v>2784</v>
      </c>
      <c r="F1348" s="379" t="s">
        <v>2944</v>
      </c>
      <c r="G1348" s="383">
        <v>40422</v>
      </c>
      <c r="H1348" s="379">
        <v>30461.51</v>
      </c>
      <c r="I1348" s="379"/>
      <c r="J1348" s="379"/>
      <c r="K1348" s="379">
        <v>33.75</v>
      </c>
      <c r="L1348" s="379"/>
      <c r="M1348" s="379"/>
      <c r="N1348" s="379"/>
      <c r="O1348" s="379"/>
      <c r="P1348" s="379"/>
      <c r="Q1348" s="379"/>
      <c r="R1348" s="379"/>
      <c r="S1348" s="379">
        <v>27167.63</v>
      </c>
      <c r="T1348" s="379">
        <v>2843.88</v>
      </c>
      <c r="U1348" s="379"/>
      <c r="V1348" s="380">
        <v>30495.26</v>
      </c>
      <c r="W1348" s="381">
        <v>4.68</v>
      </c>
      <c r="X1348" s="379"/>
      <c r="Y1348" s="379"/>
      <c r="Z1348" s="379">
        <v>9991001</v>
      </c>
      <c r="AA1348" s="379" t="s">
        <v>2496</v>
      </c>
      <c r="AB1348" s="380">
        <f t="shared" si="19"/>
        <v>0.38999999999999996</v>
      </c>
    </row>
    <row r="1349" spans="1:28" outlineLevel="2" x14ac:dyDescent="0.3">
      <c r="A1349" s="379">
        <v>432</v>
      </c>
      <c r="B1349" s="379">
        <v>990000</v>
      </c>
      <c r="C1349" s="379" t="s">
        <v>1699</v>
      </c>
      <c r="D1349" s="379">
        <v>6421021</v>
      </c>
      <c r="E1349" s="379" t="s">
        <v>2734</v>
      </c>
      <c r="F1349" s="379" t="s">
        <v>2478</v>
      </c>
      <c r="G1349" s="383">
        <v>28338</v>
      </c>
      <c r="H1349" s="379">
        <v>114126.61</v>
      </c>
      <c r="I1349" s="379"/>
      <c r="J1349" s="379"/>
      <c r="K1349" s="379">
        <v>8559.4500000000007</v>
      </c>
      <c r="L1349" s="379"/>
      <c r="M1349" s="379"/>
      <c r="N1349" s="379"/>
      <c r="O1349" s="379"/>
      <c r="P1349" s="379">
        <v>21063</v>
      </c>
      <c r="Q1349" s="379"/>
      <c r="R1349" s="379"/>
      <c r="S1349" s="379">
        <v>87207.51</v>
      </c>
      <c r="T1349" s="379">
        <v>5406.1</v>
      </c>
      <c r="U1349" s="379"/>
      <c r="V1349" s="380">
        <v>122686.06</v>
      </c>
      <c r="W1349" s="381">
        <v>8.4</v>
      </c>
      <c r="X1349" s="379"/>
      <c r="Y1349" s="379"/>
      <c r="Z1349" s="379">
        <v>9991001</v>
      </c>
      <c r="AA1349" s="379" t="s">
        <v>2496</v>
      </c>
      <c r="AB1349" s="380">
        <f t="shared" si="19"/>
        <v>0.70000000000000007</v>
      </c>
    </row>
    <row r="1350" spans="1:28" outlineLevel="2" x14ac:dyDescent="0.3">
      <c r="A1350" s="379">
        <v>432</v>
      </c>
      <c r="B1350" s="379">
        <v>990000</v>
      </c>
      <c r="C1350" s="379" t="s">
        <v>1699</v>
      </c>
      <c r="D1350" s="379">
        <v>6428502</v>
      </c>
      <c r="E1350" s="379" t="s">
        <v>2303</v>
      </c>
      <c r="F1350" s="379" t="s">
        <v>2586</v>
      </c>
      <c r="G1350" s="383">
        <v>21641</v>
      </c>
      <c r="H1350" s="379">
        <v>74127.05</v>
      </c>
      <c r="I1350" s="379"/>
      <c r="J1350" s="379"/>
      <c r="K1350" s="379">
        <v>5559.7</v>
      </c>
      <c r="L1350" s="379"/>
      <c r="M1350" s="379"/>
      <c r="N1350" s="379"/>
      <c r="O1350" s="379">
        <v>1349.9</v>
      </c>
      <c r="P1350" s="379"/>
      <c r="Q1350" s="379"/>
      <c r="R1350" s="379"/>
      <c r="S1350" s="379">
        <v>66921.05</v>
      </c>
      <c r="T1350" s="379">
        <v>5406.1</v>
      </c>
      <c r="U1350" s="379"/>
      <c r="V1350" s="380">
        <v>79686.75</v>
      </c>
      <c r="W1350" s="381">
        <v>8.6010000000000009</v>
      </c>
      <c r="X1350" s="379"/>
      <c r="Y1350" s="379"/>
      <c r="Z1350" s="379">
        <v>9921001</v>
      </c>
      <c r="AA1350" s="379" t="s">
        <v>2464</v>
      </c>
      <c r="AB1350" s="380">
        <f t="shared" si="19"/>
        <v>0.71675000000000011</v>
      </c>
    </row>
    <row r="1351" spans="1:28" outlineLevel="2" x14ac:dyDescent="0.3">
      <c r="A1351" s="379">
        <v>432</v>
      </c>
      <c r="B1351" s="379">
        <v>990000</v>
      </c>
      <c r="C1351" s="379" t="s">
        <v>1699</v>
      </c>
      <c r="D1351" s="379">
        <v>6433119</v>
      </c>
      <c r="E1351" s="379" t="s">
        <v>3404</v>
      </c>
      <c r="F1351" s="379" t="s">
        <v>2285</v>
      </c>
      <c r="G1351" s="383">
        <v>25993</v>
      </c>
      <c r="H1351" s="379">
        <v>47489.52</v>
      </c>
      <c r="I1351" s="379"/>
      <c r="J1351" s="379"/>
      <c r="K1351" s="379">
        <v>3880.8</v>
      </c>
      <c r="L1351" s="379"/>
      <c r="M1351" s="379"/>
      <c r="N1351" s="379"/>
      <c r="O1351" s="379"/>
      <c r="P1351" s="379"/>
      <c r="Q1351" s="379"/>
      <c r="R1351" s="379"/>
      <c r="S1351" s="379">
        <v>42525.77</v>
      </c>
      <c r="T1351" s="379">
        <v>4513.75</v>
      </c>
      <c r="U1351" s="379"/>
      <c r="V1351" s="380">
        <v>51370.32</v>
      </c>
      <c r="W1351" s="381">
        <v>7.48</v>
      </c>
      <c r="X1351" s="379"/>
      <c r="Y1351" s="379"/>
      <c r="Z1351" s="379">
        <v>3103002</v>
      </c>
      <c r="AA1351" s="379" t="s">
        <v>2453</v>
      </c>
      <c r="AB1351" s="380">
        <f t="shared" si="19"/>
        <v>0.62333333333333341</v>
      </c>
    </row>
    <row r="1352" spans="1:28" outlineLevel="2" x14ac:dyDescent="0.3">
      <c r="A1352" s="379">
        <v>432</v>
      </c>
      <c r="B1352" s="379">
        <v>990000</v>
      </c>
      <c r="C1352" s="379" t="s">
        <v>1699</v>
      </c>
      <c r="D1352" s="379">
        <v>6457715</v>
      </c>
      <c r="E1352" s="379" t="s">
        <v>2455</v>
      </c>
      <c r="F1352" s="379" t="s">
        <v>2288</v>
      </c>
      <c r="G1352" s="383">
        <v>27638</v>
      </c>
      <c r="H1352" s="379">
        <v>73132.42</v>
      </c>
      <c r="I1352" s="379"/>
      <c r="J1352" s="379"/>
      <c r="K1352" s="379">
        <v>5485</v>
      </c>
      <c r="L1352" s="379"/>
      <c r="M1352" s="379"/>
      <c r="N1352" s="379"/>
      <c r="O1352" s="379"/>
      <c r="P1352" s="379"/>
      <c r="Q1352" s="379"/>
      <c r="R1352" s="379"/>
      <c r="S1352" s="379">
        <v>67276.320000000007</v>
      </c>
      <c r="T1352" s="379">
        <v>5406.1</v>
      </c>
      <c r="U1352" s="379"/>
      <c r="V1352" s="380">
        <v>78617.42</v>
      </c>
      <c r="W1352" s="381">
        <v>8.4</v>
      </c>
      <c r="X1352" s="379"/>
      <c r="Y1352" s="379"/>
      <c r="Z1352" s="379">
        <v>9991001</v>
      </c>
      <c r="AA1352" s="379" t="s">
        <v>2496</v>
      </c>
      <c r="AB1352" s="380">
        <f t="shared" si="19"/>
        <v>0.70000000000000007</v>
      </c>
    </row>
    <row r="1353" spans="1:28" outlineLevel="2" x14ac:dyDescent="0.3">
      <c r="A1353" s="379">
        <v>432</v>
      </c>
      <c r="B1353" s="379">
        <v>990000</v>
      </c>
      <c r="C1353" s="379" t="s">
        <v>1699</v>
      </c>
      <c r="D1353" s="379">
        <v>6464305</v>
      </c>
      <c r="E1353" s="379" t="s">
        <v>2519</v>
      </c>
      <c r="F1353" s="379" t="s">
        <v>3405</v>
      </c>
      <c r="G1353" s="383">
        <v>25873</v>
      </c>
      <c r="H1353" s="379">
        <v>67075.05</v>
      </c>
      <c r="I1353" s="379"/>
      <c r="J1353" s="379"/>
      <c r="K1353" s="379">
        <v>5030.6000000000004</v>
      </c>
      <c r="L1353" s="379"/>
      <c r="M1353" s="379"/>
      <c r="N1353" s="379"/>
      <c r="O1353" s="379">
        <v>2676</v>
      </c>
      <c r="P1353" s="379"/>
      <c r="Q1353" s="379"/>
      <c r="R1353" s="379"/>
      <c r="S1353" s="379">
        <v>58643.35</v>
      </c>
      <c r="T1353" s="379">
        <v>5305.7</v>
      </c>
      <c r="U1353" s="379"/>
      <c r="V1353" s="380">
        <v>72105.649999999994</v>
      </c>
      <c r="W1353" s="381">
        <v>8.2439999999999998</v>
      </c>
      <c r="X1353" s="379"/>
      <c r="Y1353" s="379"/>
      <c r="Z1353" s="379">
        <v>5821002</v>
      </c>
      <c r="AA1353" s="379" t="s">
        <v>3303</v>
      </c>
      <c r="AB1353" s="380">
        <f t="shared" si="19"/>
        <v>0.68699999999999994</v>
      </c>
    </row>
    <row r="1354" spans="1:28" outlineLevel="2" x14ac:dyDescent="0.3">
      <c r="A1354" s="379">
        <v>432</v>
      </c>
      <c r="B1354" s="379">
        <v>990000</v>
      </c>
      <c r="C1354" s="379" t="s">
        <v>1699</v>
      </c>
      <c r="D1354" s="379">
        <v>6475402</v>
      </c>
      <c r="E1354" s="379" t="s">
        <v>3406</v>
      </c>
      <c r="F1354" s="379" t="s">
        <v>2944</v>
      </c>
      <c r="G1354" s="383">
        <v>42522</v>
      </c>
      <c r="H1354" s="379">
        <v>21341.49</v>
      </c>
      <c r="I1354" s="379"/>
      <c r="J1354" s="379"/>
      <c r="K1354" s="379">
        <v>33.75</v>
      </c>
      <c r="L1354" s="379"/>
      <c r="M1354" s="379"/>
      <c r="N1354" s="379"/>
      <c r="O1354" s="379"/>
      <c r="P1354" s="379"/>
      <c r="Q1354" s="379"/>
      <c r="R1354" s="379"/>
      <c r="S1354" s="379">
        <v>18966.400000000001</v>
      </c>
      <c r="T1354" s="379">
        <v>1925.09</v>
      </c>
      <c r="U1354" s="379"/>
      <c r="V1354" s="380">
        <v>21375.24</v>
      </c>
      <c r="W1354" s="381">
        <v>3.1680000000000001</v>
      </c>
      <c r="X1354" s="379"/>
      <c r="Y1354" s="379"/>
      <c r="Z1354" s="379">
        <v>9991001</v>
      </c>
      <c r="AA1354" s="379" t="s">
        <v>2496</v>
      </c>
      <c r="AB1354" s="380">
        <f t="shared" si="19"/>
        <v>0.26400000000000001</v>
      </c>
    </row>
    <row r="1355" spans="1:28" outlineLevel="2" x14ac:dyDescent="0.3">
      <c r="A1355" s="379">
        <v>432</v>
      </c>
      <c r="B1355" s="379">
        <v>990000</v>
      </c>
      <c r="C1355" s="379" t="s">
        <v>1699</v>
      </c>
      <c r="D1355" s="379">
        <v>6477419</v>
      </c>
      <c r="E1355" s="379" t="s">
        <v>3407</v>
      </c>
      <c r="F1355" s="379" t="s">
        <v>3395</v>
      </c>
      <c r="G1355" s="383">
        <v>31291</v>
      </c>
      <c r="H1355" s="379">
        <v>37945.230000000003</v>
      </c>
      <c r="I1355" s="379"/>
      <c r="J1355" s="379"/>
      <c r="K1355" s="379">
        <v>2846.1</v>
      </c>
      <c r="L1355" s="379"/>
      <c r="M1355" s="379"/>
      <c r="N1355" s="379"/>
      <c r="O1355" s="379"/>
      <c r="P1355" s="379"/>
      <c r="Q1355" s="379"/>
      <c r="R1355" s="379"/>
      <c r="S1355" s="379">
        <v>34251.57</v>
      </c>
      <c r="T1355" s="379">
        <v>3243.66</v>
      </c>
      <c r="U1355" s="379"/>
      <c r="V1355" s="380">
        <v>40791.33</v>
      </c>
      <c r="W1355" s="381">
        <v>7.2</v>
      </c>
      <c r="X1355" s="379"/>
      <c r="Y1355" s="379"/>
      <c r="Z1355" s="379">
        <v>9991001</v>
      </c>
      <c r="AA1355" s="379" t="s">
        <v>2496</v>
      </c>
      <c r="AB1355" s="380">
        <f t="shared" si="19"/>
        <v>0.6</v>
      </c>
    </row>
    <row r="1356" spans="1:28" outlineLevel="2" x14ac:dyDescent="0.3">
      <c r="A1356" s="379">
        <v>432</v>
      </c>
      <c r="B1356" s="379">
        <v>990000</v>
      </c>
      <c r="C1356" s="379" t="s">
        <v>1699</v>
      </c>
      <c r="D1356" s="379">
        <v>6481200</v>
      </c>
      <c r="E1356" s="379" t="s">
        <v>3404</v>
      </c>
      <c r="F1356" s="379" t="s">
        <v>2707</v>
      </c>
      <c r="G1356" s="383">
        <v>43770</v>
      </c>
      <c r="H1356" s="379">
        <v>35.17</v>
      </c>
      <c r="I1356" s="379">
        <v>-20.350000000000001</v>
      </c>
      <c r="J1356" s="379"/>
      <c r="K1356" s="379">
        <v>-318.05</v>
      </c>
      <c r="L1356" s="379"/>
      <c r="M1356" s="379"/>
      <c r="N1356" s="379"/>
      <c r="O1356" s="379">
        <v>-4240.47</v>
      </c>
      <c r="P1356" s="379"/>
      <c r="Q1356" s="379"/>
      <c r="R1356" s="379"/>
      <c r="S1356" s="379">
        <v>4275.6400000000003</v>
      </c>
      <c r="T1356" s="379"/>
      <c r="U1356" s="379"/>
      <c r="V1356" s="380">
        <v>-303.23</v>
      </c>
      <c r="W1356" s="381">
        <v>0.372</v>
      </c>
      <c r="X1356" s="379"/>
      <c r="Y1356" s="379"/>
      <c r="Z1356" s="379">
        <v>9991001</v>
      </c>
      <c r="AA1356" s="379" t="s">
        <v>2496</v>
      </c>
      <c r="AB1356" s="380">
        <f t="shared" si="19"/>
        <v>3.1E-2</v>
      </c>
    </row>
    <row r="1357" spans="1:28" outlineLevel="2" x14ac:dyDescent="0.3">
      <c r="A1357" s="379">
        <v>432</v>
      </c>
      <c r="B1357" s="379">
        <v>990000</v>
      </c>
      <c r="C1357" s="379" t="s">
        <v>1699</v>
      </c>
      <c r="D1357" s="379">
        <v>6481672</v>
      </c>
      <c r="E1357" s="379" t="s">
        <v>2674</v>
      </c>
      <c r="F1357" s="379" t="s">
        <v>2366</v>
      </c>
      <c r="G1357" s="383">
        <v>34213</v>
      </c>
      <c r="H1357" s="379">
        <v>36151.129999999997</v>
      </c>
      <c r="I1357" s="379"/>
      <c r="J1357" s="379"/>
      <c r="K1357" s="379">
        <v>2711.55</v>
      </c>
      <c r="L1357" s="379"/>
      <c r="M1357" s="379"/>
      <c r="N1357" s="379"/>
      <c r="O1357" s="379">
        <v>1620</v>
      </c>
      <c r="P1357" s="379"/>
      <c r="Q1357" s="379"/>
      <c r="R1357" s="379"/>
      <c r="S1357" s="379">
        <v>31281</v>
      </c>
      <c r="T1357" s="379">
        <v>2800.13</v>
      </c>
      <c r="U1357" s="379"/>
      <c r="V1357" s="380">
        <v>38862.68</v>
      </c>
      <c r="W1357" s="381">
        <v>5.76</v>
      </c>
      <c r="X1357" s="379">
        <v>1</v>
      </c>
      <c r="Y1357" s="379" t="s">
        <v>2353</v>
      </c>
      <c r="Z1357" s="379">
        <v>9991001</v>
      </c>
      <c r="AA1357" s="379" t="s">
        <v>2496</v>
      </c>
      <c r="AB1357" s="380">
        <f t="shared" si="19"/>
        <v>0.48</v>
      </c>
    </row>
    <row r="1358" spans="1:28" outlineLevel="2" x14ac:dyDescent="0.3">
      <c r="A1358" s="379">
        <v>432</v>
      </c>
      <c r="B1358" s="379">
        <v>990000</v>
      </c>
      <c r="C1358" s="379" t="s">
        <v>1699</v>
      </c>
      <c r="D1358" s="379">
        <v>6486920</v>
      </c>
      <c r="E1358" s="379" t="s">
        <v>2767</v>
      </c>
      <c r="F1358" s="379" t="s">
        <v>3403</v>
      </c>
      <c r="G1358" s="383">
        <v>34090</v>
      </c>
      <c r="H1358" s="379">
        <v>30958.639999999999</v>
      </c>
      <c r="I1358" s="379"/>
      <c r="J1358" s="379"/>
      <c r="K1358" s="379">
        <v>2322.0500000000002</v>
      </c>
      <c r="L1358" s="379"/>
      <c r="M1358" s="379"/>
      <c r="N1358" s="379"/>
      <c r="O1358" s="379"/>
      <c r="P1358" s="379"/>
      <c r="Q1358" s="379"/>
      <c r="R1358" s="379"/>
      <c r="S1358" s="379">
        <v>27810.6</v>
      </c>
      <c r="T1358" s="379">
        <v>2698.04</v>
      </c>
      <c r="U1358" s="379"/>
      <c r="V1358" s="380">
        <v>33280.69</v>
      </c>
      <c r="W1358" s="381">
        <v>4.4400000000000004</v>
      </c>
      <c r="X1358" s="379"/>
      <c r="Y1358" s="379"/>
      <c r="Z1358" s="379">
        <v>9991001</v>
      </c>
      <c r="AA1358" s="379" t="s">
        <v>2496</v>
      </c>
      <c r="AB1358" s="380">
        <f t="shared" si="19"/>
        <v>0.37000000000000005</v>
      </c>
    </row>
    <row r="1359" spans="1:28" outlineLevel="2" x14ac:dyDescent="0.3">
      <c r="A1359" s="379">
        <v>432</v>
      </c>
      <c r="B1359" s="379">
        <v>990000</v>
      </c>
      <c r="C1359" s="379" t="s">
        <v>1699</v>
      </c>
      <c r="D1359" s="379">
        <v>6510489</v>
      </c>
      <c r="E1359" s="379" t="s">
        <v>3408</v>
      </c>
      <c r="F1359" s="379" t="s">
        <v>2319</v>
      </c>
      <c r="G1359" s="383">
        <v>26390</v>
      </c>
      <c r="H1359" s="379">
        <v>37586.78</v>
      </c>
      <c r="I1359" s="379"/>
      <c r="J1359" s="379"/>
      <c r="K1359" s="379">
        <v>2818.85</v>
      </c>
      <c r="L1359" s="379"/>
      <c r="M1359" s="379"/>
      <c r="N1359" s="379"/>
      <c r="O1359" s="379">
        <v>1236</v>
      </c>
      <c r="P1359" s="379"/>
      <c r="Q1359" s="379"/>
      <c r="R1359" s="379"/>
      <c r="S1359" s="379">
        <v>32998.559999999998</v>
      </c>
      <c r="T1359" s="379">
        <v>2902.22</v>
      </c>
      <c r="U1359" s="379"/>
      <c r="V1359" s="380">
        <v>40405.629999999997</v>
      </c>
      <c r="W1359" s="381">
        <v>7.8</v>
      </c>
      <c r="X1359" s="379"/>
      <c r="Y1359" s="379"/>
      <c r="Z1359" s="379">
        <v>9991001</v>
      </c>
      <c r="AA1359" s="379" t="s">
        <v>2496</v>
      </c>
      <c r="AB1359" s="380">
        <f t="shared" si="19"/>
        <v>0.65</v>
      </c>
    </row>
    <row r="1360" spans="1:28" outlineLevel="2" x14ac:dyDescent="0.3">
      <c r="A1360" s="379">
        <v>432</v>
      </c>
      <c r="B1360" s="379">
        <v>990000</v>
      </c>
      <c r="C1360" s="379" t="s">
        <v>1699</v>
      </c>
      <c r="D1360" s="379">
        <v>6516374</v>
      </c>
      <c r="E1360" s="379" t="s">
        <v>2683</v>
      </c>
      <c r="F1360" s="379" t="s">
        <v>3269</v>
      </c>
      <c r="G1360" s="383">
        <v>34639</v>
      </c>
      <c r="H1360" s="379">
        <v>12733.99</v>
      </c>
      <c r="I1360" s="379"/>
      <c r="J1360" s="379"/>
      <c r="K1360" s="379">
        <v>955.05</v>
      </c>
      <c r="L1360" s="379"/>
      <c r="M1360" s="379"/>
      <c r="N1360" s="379"/>
      <c r="O1360" s="379">
        <v>972</v>
      </c>
      <c r="P1360" s="379"/>
      <c r="Q1360" s="379"/>
      <c r="R1360" s="379"/>
      <c r="S1360" s="379">
        <v>10379.64</v>
      </c>
      <c r="T1360" s="379">
        <v>932.35</v>
      </c>
      <c r="U1360" s="379"/>
      <c r="V1360" s="380">
        <v>13689.04</v>
      </c>
      <c r="W1360" s="381">
        <v>3.48</v>
      </c>
      <c r="X1360" s="379"/>
      <c r="Y1360" s="379"/>
      <c r="Z1360" s="379">
        <v>9991001</v>
      </c>
      <c r="AA1360" s="379" t="s">
        <v>2496</v>
      </c>
      <c r="AB1360" s="380">
        <f t="shared" si="19"/>
        <v>0.28999999999999998</v>
      </c>
    </row>
    <row r="1361" spans="1:28" outlineLevel="2" x14ac:dyDescent="0.3">
      <c r="A1361" s="379">
        <v>432</v>
      </c>
      <c r="B1361" s="379">
        <v>990000</v>
      </c>
      <c r="C1361" s="379" t="s">
        <v>1699</v>
      </c>
      <c r="D1361" s="379">
        <v>6532955</v>
      </c>
      <c r="E1361" s="379" t="s">
        <v>3287</v>
      </c>
      <c r="F1361" s="379" t="s">
        <v>2549</v>
      </c>
      <c r="G1361" s="383">
        <v>29587</v>
      </c>
      <c r="H1361" s="379">
        <v>48163.48</v>
      </c>
      <c r="I1361" s="379"/>
      <c r="J1361" s="379"/>
      <c r="K1361" s="379">
        <v>3612.15</v>
      </c>
      <c r="L1361" s="379"/>
      <c r="M1361" s="379"/>
      <c r="N1361" s="379"/>
      <c r="O1361" s="379"/>
      <c r="P1361" s="379"/>
      <c r="Q1361" s="379"/>
      <c r="R1361" s="379"/>
      <c r="S1361" s="379">
        <v>44337.33</v>
      </c>
      <c r="T1361" s="379">
        <v>3376.15</v>
      </c>
      <c r="U1361" s="379"/>
      <c r="V1361" s="380">
        <v>51775.63</v>
      </c>
      <c r="W1361" s="381">
        <v>6.9480000000000004</v>
      </c>
      <c r="X1361" s="379"/>
      <c r="Y1361" s="379"/>
      <c r="Z1361" s="379">
        <v>1582004</v>
      </c>
      <c r="AA1361" s="379" t="s">
        <v>2474</v>
      </c>
      <c r="AB1361" s="380">
        <f t="shared" si="19"/>
        <v>0.57900000000000007</v>
      </c>
    </row>
    <row r="1362" spans="1:28" outlineLevel="2" x14ac:dyDescent="0.3">
      <c r="A1362" s="379">
        <v>432</v>
      </c>
      <c r="B1362" s="379">
        <v>990000</v>
      </c>
      <c r="C1362" s="379" t="s">
        <v>1699</v>
      </c>
      <c r="D1362" s="379">
        <v>6544639</v>
      </c>
      <c r="E1362" s="379" t="s">
        <v>2375</v>
      </c>
      <c r="F1362" s="379" t="s">
        <v>3142</v>
      </c>
      <c r="G1362" s="383">
        <v>40817</v>
      </c>
      <c r="H1362" s="379">
        <v>16431.68</v>
      </c>
      <c r="I1362" s="379"/>
      <c r="J1362" s="379"/>
      <c r="K1362" s="379">
        <v>123.75</v>
      </c>
      <c r="L1362" s="379"/>
      <c r="M1362" s="379"/>
      <c r="N1362" s="379"/>
      <c r="O1362" s="379">
        <v>1200</v>
      </c>
      <c r="P1362" s="379"/>
      <c r="Q1362" s="379"/>
      <c r="R1362" s="379"/>
      <c r="S1362" s="379">
        <v>13418.08</v>
      </c>
      <c r="T1362" s="379">
        <v>1363.6</v>
      </c>
      <c r="U1362" s="379"/>
      <c r="V1362" s="380">
        <v>16555.43</v>
      </c>
      <c r="W1362" s="381">
        <v>4.32</v>
      </c>
      <c r="X1362" s="379"/>
      <c r="Y1362" s="379"/>
      <c r="Z1362" s="379">
        <v>9991001</v>
      </c>
      <c r="AA1362" s="379" t="s">
        <v>2496</v>
      </c>
      <c r="AB1362" s="380">
        <f t="shared" si="19"/>
        <v>0.36000000000000004</v>
      </c>
    </row>
    <row r="1363" spans="1:28" outlineLevel="2" x14ac:dyDescent="0.3">
      <c r="A1363" s="379">
        <v>432</v>
      </c>
      <c r="B1363" s="379">
        <v>990000</v>
      </c>
      <c r="C1363" s="379" t="s">
        <v>1699</v>
      </c>
      <c r="D1363" s="379">
        <v>6551272</v>
      </c>
      <c r="E1363" s="379" t="s">
        <v>3409</v>
      </c>
      <c r="F1363" s="379" t="s">
        <v>2361</v>
      </c>
      <c r="G1363" s="383">
        <v>33848</v>
      </c>
      <c r="H1363" s="379">
        <v>60028.94</v>
      </c>
      <c r="I1363" s="379"/>
      <c r="J1363" s="379"/>
      <c r="K1363" s="379">
        <v>4502.3999999999996</v>
      </c>
      <c r="L1363" s="379"/>
      <c r="M1363" s="379"/>
      <c r="N1363" s="379"/>
      <c r="O1363" s="379">
        <v>4968</v>
      </c>
      <c r="P1363" s="379"/>
      <c r="Q1363" s="379"/>
      <c r="R1363" s="379"/>
      <c r="S1363" s="379">
        <v>51676.2</v>
      </c>
      <c r="T1363" s="379">
        <v>2934.74</v>
      </c>
      <c r="U1363" s="379"/>
      <c r="V1363" s="380">
        <v>64531.34</v>
      </c>
      <c r="W1363" s="381">
        <v>5.28</v>
      </c>
      <c r="X1363" s="379"/>
      <c r="Y1363" s="379"/>
      <c r="Z1363" s="379">
        <v>9991001</v>
      </c>
      <c r="AA1363" s="379" t="s">
        <v>2496</v>
      </c>
      <c r="AB1363" s="380">
        <f t="shared" si="19"/>
        <v>0.44</v>
      </c>
    </row>
    <row r="1364" spans="1:28" outlineLevel="2" x14ac:dyDescent="0.3">
      <c r="A1364" s="379">
        <v>432</v>
      </c>
      <c r="B1364" s="379">
        <v>990000</v>
      </c>
      <c r="C1364" s="379" t="s">
        <v>1699</v>
      </c>
      <c r="D1364" s="379">
        <v>6551709</v>
      </c>
      <c r="E1364" s="379" t="s">
        <v>3410</v>
      </c>
      <c r="F1364" s="379" t="s">
        <v>2935</v>
      </c>
      <c r="G1364" s="383">
        <v>28277</v>
      </c>
      <c r="H1364" s="379">
        <v>82185.039999999994</v>
      </c>
      <c r="I1364" s="379"/>
      <c r="J1364" s="379"/>
      <c r="K1364" s="379">
        <v>6163.7</v>
      </c>
      <c r="L1364" s="379"/>
      <c r="M1364" s="379"/>
      <c r="N1364" s="379"/>
      <c r="O1364" s="379">
        <v>2352</v>
      </c>
      <c r="P1364" s="379"/>
      <c r="Q1364" s="379"/>
      <c r="R1364" s="379"/>
      <c r="S1364" s="379">
        <v>73976.94</v>
      </c>
      <c r="T1364" s="379">
        <v>5406.1</v>
      </c>
      <c r="U1364" s="379"/>
      <c r="V1364" s="380">
        <v>88348.74</v>
      </c>
      <c r="W1364" s="381">
        <v>8.4</v>
      </c>
      <c r="X1364" s="379"/>
      <c r="Y1364" s="379"/>
      <c r="Z1364" s="379">
        <v>9991001</v>
      </c>
      <c r="AA1364" s="379" t="s">
        <v>2496</v>
      </c>
      <c r="AB1364" s="380">
        <f t="shared" si="19"/>
        <v>0.70000000000000007</v>
      </c>
    </row>
    <row r="1365" spans="1:28" outlineLevel="2" x14ac:dyDescent="0.3">
      <c r="A1365" s="379">
        <v>432</v>
      </c>
      <c r="B1365" s="379">
        <v>990000</v>
      </c>
      <c r="C1365" s="379" t="s">
        <v>1699</v>
      </c>
      <c r="D1365" s="379">
        <v>6581516</v>
      </c>
      <c r="E1365" s="379" t="s">
        <v>2549</v>
      </c>
      <c r="F1365" s="379" t="s">
        <v>3411</v>
      </c>
      <c r="G1365" s="383">
        <v>22890</v>
      </c>
      <c r="H1365" s="379">
        <v>87333.31</v>
      </c>
      <c r="I1365" s="379"/>
      <c r="J1365" s="379"/>
      <c r="K1365" s="379">
        <v>6550</v>
      </c>
      <c r="L1365" s="379"/>
      <c r="M1365" s="379"/>
      <c r="N1365" s="379"/>
      <c r="O1365" s="379">
        <v>10882.92</v>
      </c>
      <c r="P1365" s="379"/>
      <c r="Q1365" s="379"/>
      <c r="R1365" s="379"/>
      <c r="S1365" s="379">
        <v>70594.289999999994</v>
      </c>
      <c r="T1365" s="379">
        <v>5406.1</v>
      </c>
      <c r="U1365" s="379"/>
      <c r="V1365" s="380">
        <v>93883.31</v>
      </c>
      <c r="W1365" s="381">
        <v>8.4</v>
      </c>
      <c r="X1365" s="379"/>
      <c r="Y1365" s="379"/>
      <c r="Z1365" s="379">
        <v>5831001</v>
      </c>
      <c r="AA1365" s="379" t="s">
        <v>3412</v>
      </c>
      <c r="AB1365" s="380">
        <f t="shared" si="19"/>
        <v>0.70000000000000007</v>
      </c>
    </row>
    <row r="1366" spans="1:28" outlineLevel="2" x14ac:dyDescent="0.3">
      <c r="A1366" s="379">
        <v>432</v>
      </c>
      <c r="B1366" s="379">
        <v>990000</v>
      </c>
      <c r="C1366" s="379" t="s">
        <v>1699</v>
      </c>
      <c r="D1366" s="379">
        <v>6711787</v>
      </c>
      <c r="E1366" s="379" t="s">
        <v>2519</v>
      </c>
      <c r="F1366" s="379" t="s">
        <v>2514</v>
      </c>
      <c r="G1366" s="383">
        <v>28430</v>
      </c>
      <c r="H1366" s="379">
        <v>139685.29</v>
      </c>
      <c r="I1366" s="379"/>
      <c r="J1366" s="379"/>
      <c r="K1366" s="379">
        <v>10476.549999999999</v>
      </c>
      <c r="L1366" s="379"/>
      <c r="M1366" s="379"/>
      <c r="N1366" s="379"/>
      <c r="O1366" s="379"/>
      <c r="P1366" s="379">
        <v>41762.76</v>
      </c>
      <c r="Q1366" s="379"/>
      <c r="R1366" s="379"/>
      <c r="S1366" s="379">
        <v>93082.75</v>
      </c>
      <c r="T1366" s="379">
        <v>4389.78</v>
      </c>
      <c r="U1366" s="379"/>
      <c r="V1366" s="380">
        <v>150161.84</v>
      </c>
      <c r="W1366" s="381">
        <v>7.2240000000000002</v>
      </c>
      <c r="X1366" s="379"/>
      <c r="Y1366" s="379"/>
      <c r="Z1366" s="379">
        <v>9991001</v>
      </c>
      <c r="AA1366" s="379" t="s">
        <v>2496</v>
      </c>
      <c r="AB1366" s="380">
        <f t="shared" si="19"/>
        <v>0.60199999999999998</v>
      </c>
    </row>
    <row r="1367" spans="1:28" outlineLevel="2" x14ac:dyDescent="0.3">
      <c r="A1367" s="379">
        <v>432</v>
      </c>
      <c r="B1367" s="379">
        <v>990000</v>
      </c>
      <c r="C1367" s="379" t="s">
        <v>1699</v>
      </c>
      <c r="D1367" s="379">
        <v>6718111</v>
      </c>
      <c r="E1367" s="379" t="s">
        <v>3413</v>
      </c>
      <c r="F1367" s="379" t="s">
        <v>3399</v>
      </c>
      <c r="G1367" s="383">
        <v>35400</v>
      </c>
      <c r="H1367" s="379">
        <v>14823.62</v>
      </c>
      <c r="I1367" s="379"/>
      <c r="J1367" s="379"/>
      <c r="K1367" s="379">
        <v>1111.8</v>
      </c>
      <c r="L1367" s="379"/>
      <c r="M1367" s="379"/>
      <c r="N1367" s="379"/>
      <c r="O1367" s="379"/>
      <c r="P1367" s="379"/>
      <c r="Q1367" s="379"/>
      <c r="R1367" s="379"/>
      <c r="S1367" s="379">
        <v>13236.57</v>
      </c>
      <c r="T1367" s="379">
        <v>1137.05</v>
      </c>
      <c r="U1367" s="379"/>
      <c r="V1367" s="380">
        <v>15935.42</v>
      </c>
      <c r="W1367" s="381">
        <v>3.6</v>
      </c>
      <c r="X1367" s="379"/>
      <c r="Y1367" s="379"/>
      <c r="Z1367" s="379">
        <v>9991001</v>
      </c>
      <c r="AA1367" s="379" t="s">
        <v>2496</v>
      </c>
      <c r="AB1367" s="380">
        <f t="shared" si="19"/>
        <v>0.3</v>
      </c>
    </row>
    <row r="1368" spans="1:28" outlineLevel="2" x14ac:dyDescent="0.3">
      <c r="A1368" s="379">
        <v>432</v>
      </c>
      <c r="B1368" s="379">
        <v>990000</v>
      </c>
      <c r="C1368" s="379" t="s">
        <v>1699</v>
      </c>
      <c r="D1368" s="379">
        <v>6737621</v>
      </c>
      <c r="E1368" s="379" t="s">
        <v>3414</v>
      </c>
      <c r="F1368" s="379" t="s">
        <v>2810</v>
      </c>
      <c r="G1368" s="383">
        <v>36647</v>
      </c>
      <c r="H1368" s="379">
        <v>28192.83</v>
      </c>
      <c r="I1368" s="379"/>
      <c r="J1368" s="379"/>
      <c r="K1368" s="379">
        <v>2114.6</v>
      </c>
      <c r="L1368" s="379"/>
      <c r="M1368" s="379"/>
      <c r="N1368" s="379"/>
      <c r="O1368" s="379"/>
      <c r="P1368" s="379"/>
      <c r="Q1368" s="379"/>
      <c r="R1368" s="379"/>
      <c r="S1368" s="379">
        <v>25755.63</v>
      </c>
      <c r="T1368" s="379">
        <v>1987.2</v>
      </c>
      <c r="U1368" s="379"/>
      <c r="V1368" s="380">
        <v>30307.43</v>
      </c>
      <c r="W1368" s="381">
        <v>4.9560000000000004</v>
      </c>
      <c r="X1368" s="379"/>
      <c r="Y1368" s="379"/>
      <c r="Z1368" s="379">
        <v>9991001</v>
      </c>
      <c r="AA1368" s="379" t="s">
        <v>2496</v>
      </c>
      <c r="AB1368" s="380">
        <f t="shared" si="19"/>
        <v>0.41300000000000003</v>
      </c>
    </row>
    <row r="1369" spans="1:28" outlineLevel="2" x14ac:dyDescent="0.3">
      <c r="A1369" s="379">
        <v>432</v>
      </c>
      <c r="B1369" s="379">
        <v>990000</v>
      </c>
      <c r="C1369" s="379" t="s">
        <v>1699</v>
      </c>
      <c r="D1369" s="379">
        <v>6737623</v>
      </c>
      <c r="E1369" s="379" t="s">
        <v>2398</v>
      </c>
      <c r="F1369" s="379" t="s">
        <v>2549</v>
      </c>
      <c r="G1369" s="383">
        <v>34151</v>
      </c>
      <c r="H1369" s="379">
        <v>40243.03</v>
      </c>
      <c r="I1369" s="379"/>
      <c r="J1369" s="379"/>
      <c r="K1369" s="379">
        <v>3018.05</v>
      </c>
      <c r="L1369" s="379"/>
      <c r="M1369" s="379"/>
      <c r="N1369" s="379"/>
      <c r="O1369" s="379"/>
      <c r="P1369" s="379"/>
      <c r="Q1369" s="379"/>
      <c r="R1369" s="379"/>
      <c r="S1369" s="379">
        <v>36085.99</v>
      </c>
      <c r="T1369" s="379">
        <v>3707.04</v>
      </c>
      <c r="U1369" s="379"/>
      <c r="V1369" s="380">
        <v>43261.08</v>
      </c>
      <c r="W1369" s="381">
        <v>5.76</v>
      </c>
      <c r="X1369" s="379"/>
      <c r="Y1369" s="379"/>
      <c r="Z1369" s="379">
        <v>9991001</v>
      </c>
      <c r="AA1369" s="379" t="s">
        <v>2496</v>
      </c>
      <c r="AB1369" s="380">
        <f t="shared" si="19"/>
        <v>0.48</v>
      </c>
    </row>
    <row r="1370" spans="1:28" outlineLevel="2" x14ac:dyDescent="0.3">
      <c r="A1370" s="379">
        <v>432</v>
      </c>
      <c r="B1370" s="379">
        <v>990000</v>
      </c>
      <c r="C1370" s="379" t="s">
        <v>1699</v>
      </c>
      <c r="D1370" s="379">
        <v>6742719</v>
      </c>
      <c r="E1370" s="379" t="s">
        <v>2581</v>
      </c>
      <c r="F1370" s="379" t="s">
        <v>2696</v>
      </c>
      <c r="G1370" s="383">
        <v>25235</v>
      </c>
      <c r="H1370" s="379">
        <v>73852.259999999995</v>
      </c>
      <c r="I1370" s="379"/>
      <c r="J1370" s="379"/>
      <c r="K1370" s="379">
        <v>3529.8</v>
      </c>
      <c r="L1370" s="379"/>
      <c r="M1370" s="379"/>
      <c r="N1370" s="379"/>
      <c r="O1370" s="379">
        <v>1428</v>
      </c>
      <c r="P1370" s="379"/>
      <c r="Q1370" s="379"/>
      <c r="R1370" s="379"/>
      <c r="S1370" s="379">
        <v>66516.23</v>
      </c>
      <c r="T1370" s="379">
        <v>5458.03</v>
      </c>
      <c r="U1370" s="379"/>
      <c r="V1370" s="380">
        <v>77382.06</v>
      </c>
      <c r="W1370" s="381">
        <v>12.6</v>
      </c>
      <c r="X1370" s="379"/>
      <c r="Y1370" s="379"/>
      <c r="Z1370" s="379">
        <v>9991001</v>
      </c>
      <c r="AA1370" s="379" t="s">
        <v>2496</v>
      </c>
      <c r="AB1370" s="380">
        <f t="shared" si="19"/>
        <v>1.05</v>
      </c>
    </row>
    <row r="1371" spans="1:28" outlineLevel="2" x14ac:dyDescent="0.3">
      <c r="A1371" s="379">
        <v>432</v>
      </c>
      <c r="B1371" s="379">
        <v>990000</v>
      </c>
      <c r="C1371" s="379" t="s">
        <v>1699</v>
      </c>
      <c r="D1371" s="379">
        <v>6744802</v>
      </c>
      <c r="E1371" s="379" t="s">
        <v>3415</v>
      </c>
      <c r="F1371" s="379" t="s">
        <v>2434</v>
      </c>
      <c r="G1371" s="383">
        <v>26634</v>
      </c>
      <c r="H1371" s="379">
        <v>32267.52</v>
      </c>
      <c r="I1371" s="379"/>
      <c r="J1371" s="379"/>
      <c r="K1371" s="379">
        <v>2420.3000000000002</v>
      </c>
      <c r="L1371" s="379"/>
      <c r="M1371" s="379"/>
      <c r="N1371" s="379"/>
      <c r="O1371" s="379">
        <v>888</v>
      </c>
      <c r="P1371" s="379"/>
      <c r="Q1371" s="379"/>
      <c r="R1371" s="379"/>
      <c r="S1371" s="379">
        <v>28580.28</v>
      </c>
      <c r="T1371" s="379">
        <v>2349.2399999999998</v>
      </c>
      <c r="U1371" s="379"/>
      <c r="V1371" s="380">
        <v>34687.82</v>
      </c>
      <c r="W1371" s="381">
        <v>4.2119999999999997</v>
      </c>
      <c r="X1371" s="379"/>
      <c r="Y1371" s="379"/>
      <c r="Z1371" s="379">
        <v>5923001</v>
      </c>
      <c r="AA1371" s="379" t="s">
        <v>2354</v>
      </c>
      <c r="AB1371" s="380">
        <f t="shared" si="19"/>
        <v>0.35099999999999998</v>
      </c>
    </row>
    <row r="1372" spans="1:28" outlineLevel="2" x14ac:dyDescent="0.3">
      <c r="A1372" s="379">
        <v>432</v>
      </c>
      <c r="B1372" s="379">
        <v>990000</v>
      </c>
      <c r="C1372" s="379" t="s">
        <v>1699</v>
      </c>
      <c r="D1372" s="379">
        <v>6744832</v>
      </c>
      <c r="E1372" s="379" t="s">
        <v>3416</v>
      </c>
      <c r="F1372" s="379" t="s">
        <v>2452</v>
      </c>
      <c r="G1372" s="383">
        <v>24351</v>
      </c>
      <c r="H1372" s="379">
        <v>113701.49</v>
      </c>
      <c r="I1372" s="379"/>
      <c r="J1372" s="379"/>
      <c r="K1372" s="379">
        <v>8527.5</v>
      </c>
      <c r="L1372" s="379"/>
      <c r="M1372" s="379"/>
      <c r="N1372" s="379"/>
      <c r="O1372" s="379">
        <v>5348.4</v>
      </c>
      <c r="P1372" s="379">
        <v>15775.8</v>
      </c>
      <c r="Q1372" s="379"/>
      <c r="R1372" s="379"/>
      <c r="S1372" s="379">
        <v>89206.45</v>
      </c>
      <c r="T1372" s="379">
        <v>2920.84</v>
      </c>
      <c r="U1372" s="379"/>
      <c r="V1372" s="380">
        <v>122228.99</v>
      </c>
      <c r="W1372" s="381">
        <v>4.92</v>
      </c>
      <c r="X1372" s="379"/>
      <c r="Y1372" s="379"/>
      <c r="Z1372" s="379">
        <v>9991001</v>
      </c>
      <c r="AA1372" s="379" t="s">
        <v>2496</v>
      </c>
      <c r="AB1372" s="380">
        <f t="shared" si="19"/>
        <v>0.41</v>
      </c>
    </row>
    <row r="1373" spans="1:28" outlineLevel="2" x14ac:dyDescent="0.3">
      <c r="A1373" s="379">
        <v>432</v>
      </c>
      <c r="B1373" s="379">
        <v>990000</v>
      </c>
      <c r="C1373" s="379" t="s">
        <v>1699</v>
      </c>
      <c r="D1373" s="379">
        <v>6749399</v>
      </c>
      <c r="E1373" s="379" t="s">
        <v>2355</v>
      </c>
      <c r="F1373" s="379" t="s">
        <v>3342</v>
      </c>
      <c r="G1373" s="383">
        <v>38231</v>
      </c>
      <c r="H1373" s="379">
        <v>27287.46</v>
      </c>
      <c r="I1373" s="379"/>
      <c r="J1373" s="379"/>
      <c r="K1373" s="379">
        <v>33.75</v>
      </c>
      <c r="L1373" s="379"/>
      <c r="M1373" s="379"/>
      <c r="N1373" s="379"/>
      <c r="O1373" s="379"/>
      <c r="P1373" s="379"/>
      <c r="Q1373" s="379"/>
      <c r="R1373" s="379"/>
      <c r="S1373" s="379">
        <v>25037.759999999998</v>
      </c>
      <c r="T1373" s="379">
        <v>1799.7</v>
      </c>
      <c r="U1373" s="379"/>
      <c r="V1373" s="380">
        <v>27321.21</v>
      </c>
      <c r="W1373" s="381">
        <v>3.6</v>
      </c>
      <c r="X1373" s="379"/>
      <c r="Y1373" s="379"/>
      <c r="Z1373" s="379">
        <v>9991001</v>
      </c>
      <c r="AA1373" s="379" t="s">
        <v>2496</v>
      </c>
      <c r="AB1373" s="380">
        <f t="shared" si="19"/>
        <v>0.3</v>
      </c>
    </row>
    <row r="1374" spans="1:28" outlineLevel="2" x14ac:dyDescent="0.3">
      <c r="A1374" s="379">
        <v>432</v>
      </c>
      <c r="B1374" s="379">
        <v>990000</v>
      </c>
      <c r="C1374" s="379" t="s">
        <v>1699</v>
      </c>
      <c r="D1374" s="379">
        <v>6753841</v>
      </c>
      <c r="E1374" s="379" t="s">
        <v>2581</v>
      </c>
      <c r="F1374" s="379" t="s">
        <v>3417</v>
      </c>
      <c r="G1374" s="383">
        <v>27485</v>
      </c>
      <c r="H1374" s="379">
        <v>31377.55</v>
      </c>
      <c r="I1374" s="379"/>
      <c r="J1374" s="379"/>
      <c r="K1374" s="379">
        <v>2353.4499999999998</v>
      </c>
      <c r="L1374" s="379"/>
      <c r="M1374" s="379"/>
      <c r="N1374" s="379"/>
      <c r="O1374" s="379">
        <v>1008</v>
      </c>
      <c r="P1374" s="379"/>
      <c r="Q1374" s="379"/>
      <c r="R1374" s="379"/>
      <c r="S1374" s="379">
        <v>27469.439999999999</v>
      </c>
      <c r="T1374" s="379">
        <v>2450.11</v>
      </c>
      <c r="U1374" s="379"/>
      <c r="V1374" s="380">
        <v>33731</v>
      </c>
      <c r="W1374" s="381">
        <v>6.72</v>
      </c>
      <c r="X1374" s="379"/>
      <c r="Y1374" s="379"/>
      <c r="Z1374" s="379">
        <v>9991001</v>
      </c>
      <c r="AA1374" s="379" t="s">
        <v>2496</v>
      </c>
      <c r="AB1374" s="380">
        <f t="shared" si="19"/>
        <v>0.55999999999999994</v>
      </c>
    </row>
    <row r="1375" spans="1:28" outlineLevel="2" x14ac:dyDescent="0.3">
      <c r="A1375" s="379">
        <v>432</v>
      </c>
      <c r="B1375" s="379">
        <v>990000</v>
      </c>
      <c r="C1375" s="379" t="s">
        <v>1699</v>
      </c>
      <c r="D1375" s="379">
        <v>6754571</v>
      </c>
      <c r="E1375" s="379" t="s">
        <v>2303</v>
      </c>
      <c r="F1375" s="379" t="s">
        <v>2586</v>
      </c>
      <c r="G1375" s="383">
        <v>28734</v>
      </c>
      <c r="H1375" s="379">
        <v>137722.54</v>
      </c>
      <c r="I1375" s="379"/>
      <c r="J1375" s="379"/>
      <c r="K1375" s="379">
        <v>10329.049999999999</v>
      </c>
      <c r="L1375" s="379"/>
      <c r="M1375" s="379"/>
      <c r="N1375" s="379"/>
      <c r="O1375" s="379"/>
      <c r="P1375" s="379"/>
      <c r="Q1375" s="379"/>
      <c r="R1375" s="379"/>
      <c r="S1375" s="379">
        <v>131866.44</v>
      </c>
      <c r="T1375" s="379">
        <v>5406.1</v>
      </c>
      <c r="U1375" s="379"/>
      <c r="V1375" s="380">
        <v>148051.59</v>
      </c>
      <c r="W1375" s="381">
        <v>8.4</v>
      </c>
      <c r="X1375" s="379"/>
      <c r="Y1375" s="379"/>
      <c r="Z1375" s="379">
        <v>9991001</v>
      </c>
      <c r="AA1375" s="379" t="s">
        <v>2496</v>
      </c>
      <c r="AB1375" s="380">
        <f t="shared" si="19"/>
        <v>0.70000000000000007</v>
      </c>
    </row>
    <row r="1376" spans="1:28" outlineLevel="2" x14ac:dyDescent="0.3">
      <c r="A1376" s="379">
        <v>432</v>
      </c>
      <c r="B1376" s="379">
        <v>990000</v>
      </c>
      <c r="C1376" s="379" t="s">
        <v>1699</v>
      </c>
      <c r="D1376" s="379">
        <v>6754812</v>
      </c>
      <c r="E1376" s="379" t="s">
        <v>2590</v>
      </c>
      <c r="F1376" s="379" t="s">
        <v>2810</v>
      </c>
      <c r="G1376" s="383">
        <v>32629</v>
      </c>
      <c r="H1376" s="379">
        <v>54250.45</v>
      </c>
      <c r="I1376" s="379"/>
      <c r="J1376" s="379"/>
      <c r="K1376" s="379">
        <v>4068.9</v>
      </c>
      <c r="L1376" s="379"/>
      <c r="M1376" s="379"/>
      <c r="N1376" s="379"/>
      <c r="O1376" s="379"/>
      <c r="P1376" s="379"/>
      <c r="Q1376" s="379"/>
      <c r="R1376" s="379"/>
      <c r="S1376" s="379">
        <v>49475.57</v>
      </c>
      <c r="T1376" s="379">
        <v>4324.88</v>
      </c>
      <c r="U1376" s="379"/>
      <c r="V1376" s="380">
        <v>58319.35</v>
      </c>
      <c r="W1376" s="381">
        <v>6.72</v>
      </c>
      <c r="X1376" s="379"/>
      <c r="Y1376" s="379"/>
      <c r="Z1376" s="379">
        <v>9991001</v>
      </c>
      <c r="AA1376" s="379" t="s">
        <v>2496</v>
      </c>
      <c r="AB1376" s="380">
        <f t="shared" si="19"/>
        <v>0.55999999999999994</v>
      </c>
    </row>
    <row r="1377" spans="1:28" outlineLevel="2" x14ac:dyDescent="0.3">
      <c r="A1377" s="379">
        <v>432</v>
      </c>
      <c r="B1377" s="379">
        <v>990000</v>
      </c>
      <c r="C1377" s="379" t="s">
        <v>1699</v>
      </c>
      <c r="D1377" s="379">
        <v>6754842</v>
      </c>
      <c r="E1377" s="379" t="s">
        <v>3418</v>
      </c>
      <c r="F1377" s="379" t="s">
        <v>2771</v>
      </c>
      <c r="G1377" s="383">
        <v>38169</v>
      </c>
      <c r="H1377" s="379">
        <v>33885.29</v>
      </c>
      <c r="I1377" s="379"/>
      <c r="J1377" s="379"/>
      <c r="K1377" s="379">
        <v>33.75</v>
      </c>
      <c r="L1377" s="379"/>
      <c r="M1377" s="379"/>
      <c r="N1377" s="379"/>
      <c r="O1377" s="379"/>
      <c r="P1377" s="379"/>
      <c r="Q1377" s="379"/>
      <c r="R1377" s="379"/>
      <c r="S1377" s="379">
        <v>30624.12</v>
      </c>
      <c r="T1377" s="379">
        <v>2811.17</v>
      </c>
      <c r="U1377" s="379"/>
      <c r="V1377" s="380">
        <v>33919.040000000001</v>
      </c>
      <c r="W1377" s="381">
        <v>4.3680000000000003</v>
      </c>
      <c r="X1377" s="379"/>
      <c r="Y1377" s="379"/>
      <c r="Z1377" s="379">
        <v>9991001</v>
      </c>
      <c r="AA1377" s="379" t="s">
        <v>2496</v>
      </c>
      <c r="AB1377" s="380">
        <f t="shared" si="19"/>
        <v>0.36400000000000005</v>
      </c>
    </row>
    <row r="1378" spans="1:28" outlineLevel="2" x14ac:dyDescent="0.3">
      <c r="A1378" s="379">
        <v>432</v>
      </c>
      <c r="B1378" s="379">
        <v>990000</v>
      </c>
      <c r="C1378" s="379" t="s">
        <v>1699</v>
      </c>
      <c r="D1378" s="379">
        <v>6755485</v>
      </c>
      <c r="E1378" s="379" t="s">
        <v>2989</v>
      </c>
      <c r="F1378" s="379" t="s">
        <v>2717</v>
      </c>
      <c r="G1378" s="383">
        <v>34578</v>
      </c>
      <c r="H1378" s="379">
        <v>51874.34</v>
      </c>
      <c r="I1378" s="379"/>
      <c r="J1378" s="379"/>
      <c r="K1378" s="379">
        <v>3890.7</v>
      </c>
      <c r="L1378" s="379"/>
      <c r="M1378" s="379"/>
      <c r="N1378" s="379"/>
      <c r="O1378" s="379"/>
      <c r="P1378" s="379"/>
      <c r="Q1378" s="379"/>
      <c r="R1378" s="379"/>
      <c r="S1378" s="379">
        <v>47562.84</v>
      </c>
      <c r="T1378" s="379">
        <v>3861.5</v>
      </c>
      <c r="U1378" s="379"/>
      <c r="V1378" s="380">
        <v>55765.04</v>
      </c>
      <c r="W1378" s="381">
        <v>6</v>
      </c>
      <c r="X1378" s="379"/>
      <c r="Y1378" s="379"/>
      <c r="Z1378" s="379">
        <v>9991001</v>
      </c>
      <c r="AA1378" s="379" t="s">
        <v>2496</v>
      </c>
      <c r="AB1378" s="380">
        <f t="shared" ref="AB1378:AB1441" si="20">W1378/12</f>
        <v>0.5</v>
      </c>
    </row>
    <row r="1379" spans="1:28" outlineLevel="2" x14ac:dyDescent="0.3">
      <c r="A1379" s="379">
        <v>432</v>
      </c>
      <c r="B1379" s="379">
        <v>990000</v>
      </c>
      <c r="C1379" s="379" t="s">
        <v>1699</v>
      </c>
      <c r="D1379" s="379">
        <v>6756548</v>
      </c>
      <c r="E1379" s="379" t="s">
        <v>3419</v>
      </c>
      <c r="F1379" s="379" t="s">
        <v>2363</v>
      </c>
      <c r="G1379" s="383">
        <v>35765</v>
      </c>
      <c r="H1379" s="379">
        <v>114296.7</v>
      </c>
      <c r="I1379" s="379"/>
      <c r="J1379" s="379"/>
      <c r="K1379" s="379">
        <v>8572.4500000000007</v>
      </c>
      <c r="L1379" s="379"/>
      <c r="M1379" s="379"/>
      <c r="N1379" s="379"/>
      <c r="O1379" s="379">
        <v>1188</v>
      </c>
      <c r="P1379" s="379"/>
      <c r="Q1379" s="379"/>
      <c r="R1379" s="379"/>
      <c r="S1379" s="379">
        <v>112658.7</v>
      </c>
      <c r="T1379" s="379"/>
      <c r="U1379" s="379"/>
      <c r="V1379" s="380">
        <v>122869.15</v>
      </c>
      <c r="W1379" s="381">
        <v>2.5680000000000001</v>
      </c>
      <c r="X1379" s="379"/>
      <c r="Y1379" s="379"/>
      <c r="Z1379" s="379">
        <v>9991001</v>
      </c>
      <c r="AA1379" s="379" t="s">
        <v>2496</v>
      </c>
      <c r="AB1379" s="380">
        <f t="shared" si="20"/>
        <v>0.214</v>
      </c>
    </row>
    <row r="1380" spans="1:28" outlineLevel="2" x14ac:dyDescent="0.3">
      <c r="A1380" s="379">
        <v>432</v>
      </c>
      <c r="B1380" s="379">
        <v>990000</v>
      </c>
      <c r="C1380" s="379" t="s">
        <v>1699</v>
      </c>
      <c r="D1380" s="379">
        <v>6756711</v>
      </c>
      <c r="E1380" s="379" t="s">
        <v>2428</v>
      </c>
      <c r="F1380" s="379" t="s">
        <v>2968</v>
      </c>
      <c r="G1380" s="383">
        <v>42278</v>
      </c>
      <c r="H1380" s="379">
        <v>45960.02</v>
      </c>
      <c r="I1380" s="379"/>
      <c r="J1380" s="379"/>
      <c r="K1380" s="379">
        <v>1173.1500000000001</v>
      </c>
      <c r="L1380" s="379"/>
      <c r="M1380" s="379"/>
      <c r="N1380" s="379"/>
      <c r="O1380" s="379">
        <v>15192</v>
      </c>
      <c r="P1380" s="379"/>
      <c r="Q1380" s="379"/>
      <c r="R1380" s="379"/>
      <c r="S1380" s="379">
        <v>27942</v>
      </c>
      <c r="T1380" s="379">
        <v>2376.02</v>
      </c>
      <c r="U1380" s="379"/>
      <c r="V1380" s="380">
        <v>47133.17</v>
      </c>
      <c r="W1380" s="381">
        <v>4.26</v>
      </c>
      <c r="X1380" s="379"/>
      <c r="Y1380" s="379"/>
      <c r="Z1380" s="379">
        <v>9991001</v>
      </c>
      <c r="AA1380" s="379" t="s">
        <v>2496</v>
      </c>
      <c r="AB1380" s="380">
        <f t="shared" si="20"/>
        <v>0.35499999999999998</v>
      </c>
    </row>
    <row r="1381" spans="1:28" outlineLevel="2" x14ac:dyDescent="0.3">
      <c r="A1381" s="379">
        <v>432</v>
      </c>
      <c r="B1381" s="379">
        <v>990000</v>
      </c>
      <c r="C1381" s="379" t="s">
        <v>1699</v>
      </c>
      <c r="D1381" s="379">
        <v>6761020</v>
      </c>
      <c r="E1381" s="379" t="s">
        <v>2524</v>
      </c>
      <c r="F1381" s="379" t="s">
        <v>2554</v>
      </c>
      <c r="G1381" s="383">
        <v>31503</v>
      </c>
      <c r="H1381" s="379">
        <v>51166.36</v>
      </c>
      <c r="I1381" s="379"/>
      <c r="J1381" s="379"/>
      <c r="K1381" s="379">
        <v>3837.3</v>
      </c>
      <c r="L1381" s="379"/>
      <c r="M1381" s="379"/>
      <c r="N1381" s="379"/>
      <c r="O1381" s="379"/>
      <c r="P1381" s="379"/>
      <c r="Q1381" s="379"/>
      <c r="R1381" s="379"/>
      <c r="S1381" s="379">
        <v>46800.800000000003</v>
      </c>
      <c r="T1381" s="379">
        <v>3915.56</v>
      </c>
      <c r="U1381" s="379"/>
      <c r="V1381" s="380">
        <v>55003.66</v>
      </c>
      <c r="W1381" s="381">
        <v>6.0839999999999996</v>
      </c>
      <c r="X1381" s="379"/>
      <c r="Y1381" s="379"/>
      <c r="Z1381" s="379">
        <v>9991001</v>
      </c>
      <c r="AA1381" s="379" t="s">
        <v>2496</v>
      </c>
      <c r="AB1381" s="380">
        <f t="shared" si="20"/>
        <v>0.50700000000000001</v>
      </c>
    </row>
    <row r="1382" spans="1:28" outlineLevel="2" x14ac:dyDescent="0.3">
      <c r="A1382" s="379">
        <v>432</v>
      </c>
      <c r="B1382" s="379">
        <v>990000</v>
      </c>
      <c r="C1382" s="379" t="s">
        <v>1699</v>
      </c>
      <c r="D1382" s="379">
        <v>6762357</v>
      </c>
      <c r="E1382" s="379" t="s">
        <v>2486</v>
      </c>
      <c r="F1382" s="379" t="s">
        <v>2363</v>
      </c>
      <c r="G1382" s="383">
        <v>38322</v>
      </c>
      <c r="H1382" s="379">
        <v>14478.07</v>
      </c>
      <c r="I1382" s="379"/>
      <c r="J1382" s="379"/>
      <c r="K1382" s="379">
        <v>33.75</v>
      </c>
      <c r="L1382" s="379"/>
      <c r="M1382" s="379"/>
      <c r="N1382" s="379"/>
      <c r="O1382" s="379"/>
      <c r="P1382" s="379"/>
      <c r="Q1382" s="379"/>
      <c r="R1382" s="379"/>
      <c r="S1382" s="379">
        <v>13007.64</v>
      </c>
      <c r="T1382" s="379">
        <v>1020.43</v>
      </c>
      <c r="U1382" s="379"/>
      <c r="V1382" s="380">
        <v>14511.82</v>
      </c>
      <c r="W1382" s="381">
        <v>2.1</v>
      </c>
      <c r="X1382" s="379"/>
      <c r="Y1382" s="379"/>
      <c r="Z1382" s="379">
        <v>9991001</v>
      </c>
      <c r="AA1382" s="379" t="s">
        <v>2496</v>
      </c>
      <c r="AB1382" s="380">
        <f t="shared" si="20"/>
        <v>0.17500000000000002</v>
      </c>
    </row>
    <row r="1383" spans="1:28" outlineLevel="2" x14ac:dyDescent="0.3">
      <c r="A1383" s="379">
        <v>432</v>
      </c>
      <c r="B1383" s="379">
        <v>990000</v>
      </c>
      <c r="C1383" s="379" t="s">
        <v>1699</v>
      </c>
      <c r="D1383" s="379">
        <v>6766923</v>
      </c>
      <c r="E1383" s="379" t="s">
        <v>2922</v>
      </c>
      <c r="F1383" s="379" t="s">
        <v>2586</v>
      </c>
      <c r="G1383" s="383">
        <v>35521</v>
      </c>
      <c r="H1383" s="379">
        <v>41571.47</v>
      </c>
      <c r="I1383" s="379"/>
      <c r="J1383" s="379"/>
      <c r="K1383" s="379">
        <v>3118.05</v>
      </c>
      <c r="L1383" s="379"/>
      <c r="M1383" s="379"/>
      <c r="N1383" s="379"/>
      <c r="O1383" s="379"/>
      <c r="P1383" s="379"/>
      <c r="Q1383" s="379"/>
      <c r="R1383" s="379"/>
      <c r="S1383" s="379">
        <v>39886.47</v>
      </c>
      <c r="T1383" s="379">
        <v>1235</v>
      </c>
      <c r="U1383" s="379"/>
      <c r="V1383" s="380">
        <v>44689.52</v>
      </c>
      <c r="W1383" s="381">
        <v>5.28</v>
      </c>
      <c r="X1383" s="379"/>
      <c r="Y1383" s="379"/>
      <c r="Z1383" s="379">
        <v>9991001</v>
      </c>
      <c r="AA1383" s="379" t="s">
        <v>2496</v>
      </c>
      <c r="AB1383" s="380">
        <f t="shared" si="20"/>
        <v>0.44</v>
      </c>
    </row>
    <row r="1384" spans="1:28" outlineLevel="2" x14ac:dyDescent="0.3">
      <c r="A1384" s="379">
        <v>432</v>
      </c>
      <c r="B1384" s="379">
        <v>990000</v>
      </c>
      <c r="C1384" s="379" t="s">
        <v>1699</v>
      </c>
      <c r="D1384" s="379">
        <v>6767643</v>
      </c>
      <c r="E1384" s="379" t="s">
        <v>2457</v>
      </c>
      <c r="F1384" s="379" t="s">
        <v>2285</v>
      </c>
      <c r="G1384" s="383">
        <v>27485</v>
      </c>
      <c r="H1384" s="379">
        <v>72747.63</v>
      </c>
      <c r="I1384" s="379"/>
      <c r="J1384" s="379"/>
      <c r="K1384" s="379">
        <v>5456.05</v>
      </c>
      <c r="L1384" s="379"/>
      <c r="M1384" s="379"/>
      <c r="N1384" s="379"/>
      <c r="O1384" s="379"/>
      <c r="P1384" s="379"/>
      <c r="Q1384" s="379"/>
      <c r="R1384" s="379"/>
      <c r="S1384" s="379">
        <v>66891.53</v>
      </c>
      <c r="T1384" s="379">
        <v>5406.1</v>
      </c>
      <c r="U1384" s="379"/>
      <c r="V1384" s="380">
        <v>78203.679999999993</v>
      </c>
      <c r="W1384" s="381">
        <v>8.4</v>
      </c>
      <c r="X1384" s="379"/>
      <c r="Y1384" s="379"/>
      <c r="Z1384" s="379">
        <v>9991001</v>
      </c>
      <c r="AA1384" s="379" t="s">
        <v>2496</v>
      </c>
      <c r="AB1384" s="380">
        <f t="shared" si="20"/>
        <v>0.70000000000000007</v>
      </c>
    </row>
    <row r="1385" spans="1:28" outlineLevel="2" x14ac:dyDescent="0.3">
      <c r="A1385" s="379">
        <v>432</v>
      </c>
      <c r="B1385" s="379">
        <v>990000</v>
      </c>
      <c r="C1385" s="379" t="s">
        <v>1699</v>
      </c>
      <c r="D1385" s="379">
        <v>6769551</v>
      </c>
      <c r="E1385" s="379" t="s">
        <v>2888</v>
      </c>
      <c r="F1385" s="379" t="s">
        <v>3142</v>
      </c>
      <c r="G1385" s="383">
        <v>33451</v>
      </c>
      <c r="H1385" s="379">
        <v>26613.27</v>
      </c>
      <c r="I1385" s="379"/>
      <c r="J1385" s="379"/>
      <c r="K1385" s="379">
        <v>1996</v>
      </c>
      <c r="L1385" s="379"/>
      <c r="M1385" s="379"/>
      <c r="N1385" s="379"/>
      <c r="O1385" s="379"/>
      <c r="P1385" s="379"/>
      <c r="Q1385" s="379"/>
      <c r="R1385" s="379"/>
      <c r="S1385" s="379">
        <v>24183.599999999999</v>
      </c>
      <c r="T1385" s="379">
        <v>1979.67</v>
      </c>
      <c r="U1385" s="379"/>
      <c r="V1385" s="380">
        <v>28609.27</v>
      </c>
      <c r="W1385" s="381">
        <v>3.96</v>
      </c>
      <c r="X1385" s="379"/>
      <c r="Y1385" s="379"/>
      <c r="Z1385" s="379">
        <v>5931001</v>
      </c>
      <c r="AA1385" s="379" t="s">
        <v>2320</v>
      </c>
      <c r="AB1385" s="380">
        <f t="shared" si="20"/>
        <v>0.33</v>
      </c>
    </row>
    <row r="1386" spans="1:28" outlineLevel="2" x14ac:dyDescent="0.3">
      <c r="A1386" s="379">
        <v>432</v>
      </c>
      <c r="B1386" s="379">
        <v>990000</v>
      </c>
      <c r="C1386" s="379" t="s">
        <v>1699</v>
      </c>
      <c r="D1386" s="379">
        <v>6773831</v>
      </c>
      <c r="E1386" s="379" t="s">
        <v>3420</v>
      </c>
      <c r="F1386" s="379" t="s">
        <v>2547</v>
      </c>
      <c r="G1386" s="383">
        <v>31503</v>
      </c>
      <c r="H1386" s="379">
        <v>48428.92</v>
      </c>
      <c r="I1386" s="379"/>
      <c r="J1386" s="379"/>
      <c r="K1386" s="379">
        <v>3632.05</v>
      </c>
      <c r="L1386" s="379"/>
      <c r="M1386" s="379"/>
      <c r="N1386" s="379"/>
      <c r="O1386" s="379"/>
      <c r="P1386" s="379"/>
      <c r="Q1386" s="379"/>
      <c r="R1386" s="379"/>
      <c r="S1386" s="379">
        <v>44651.33</v>
      </c>
      <c r="T1386" s="379">
        <v>3327.59</v>
      </c>
      <c r="U1386" s="379"/>
      <c r="V1386" s="380">
        <v>52060.97</v>
      </c>
      <c r="W1386" s="381">
        <v>5.82</v>
      </c>
      <c r="X1386" s="379"/>
      <c r="Y1386" s="379"/>
      <c r="Z1386" s="379">
        <v>9991001</v>
      </c>
      <c r="AA1386" s="379" t="s">
        <v>2496</v>
      </c>
      <c r="AB1386" s="380">
        <f t="shared" si="20"/>
        <v>0.48500000000000004</v>
      </c>
    </row>
    <row r="1387" spans="1:28" outlineLevel="2" x14ac:dyDescent="0.3">
      <c r="A1387" s="379">
        <v>432</v>
      </c>
      <c r="B1387" s="379">
        <v>990000</v>
      </c>
      <c r="C1387" s="379" t="s">
        <v>1699</v>
      </c>
      <c r="D1387" s="379">
        <v>6774260</v>
      </c>
      <c r="E1387" s="379" t="s">
        <v>3362</v>
      </c>
      <c r="F1387" s="379" t="s">
        <v>3142</v>
      </c>
      <c r="G1387" s="383">
        <v>37956</v>
      </c>
      <c r="H1387" s="379">
        <v>227131.5</v>
      </c>
      <c r="I1387" s="379"/>
      <c r="J1387" s="379"/>
      <c r="K1387" s="379">
        <v>17034.7</v>
      </c>
      <c r="L1387" s="379"/>
      <c r="M1387" s="379"/>
      <c r="N1387" s="379"/>
      <c r="O1387" s="379"/>
      <c r="P1387" s="379"/>
      <c r="Q1387" s="379"/>
      <c r="R1387" s="379"/>
      <c r="S1387" s="379">
        <v>226681.5</v>
      </c>
      <c r="T1387" s="379"/>
      <c r="U1387" s="379"/>
      <c r="V1387" s="380">
        <v>244166.2</v>
      </c>
      <c r="W1387" s="381">
        <v>5.4119999999999999</v>
      </c>
      <c r="X1387" s="379"/>
      <c r="Y1387" s="379"/>
      <c r="Z1387" s="379">
        <v>9991001</v>
      </c>
      <c r="AA1387" s="379" t="s">
        <v>2496</v>
      </c>
      <c r="AB1387" s="380">
        <f t="shared" si="20"/>
        <v>0.45100000000000001</v>
      </c>
    </row>
    <row r="1388" spans="1:28" outlineLevel="2" x14ac:dyDescent="0.3">
      <c r="A1388" s="379">
        <v>432</v>
      </c>
      <c r="B1388" s="379">
        <v>990000</v>
      </c>
      <c r="C1388" s="379" t="s">
        <v>1699</v>
      </c>
      <c r="D1388" s="379">
        <v>6775164</v>
      </c>
      <c r="E1388" s="379" t="s">
        <v>2538</v>
      </c>
      <c r="F1388" s="379" t="s">
        <v>2968</v>
      </c>
      <c r="G1388" s="383">
        <v>29342</v>
      </c>
      <c r="H1388" s="379">
        <v>61569.14</v>
      </c>
      <c r="I1388" s="379"/>
      <c r="J1388" s="379"/>
      <c r="K1388" s="379">
        <v>4617.75</v>
      </c>
      <c r="L1388" s="379"/>
      <c r="M1388" s="379"/>
      <c r="N1388" s="379"/>
      <c r="O1388" s="379">
        <v>2016</v>
      </c>
      <c r="P1388" s="379"/>
      <c r="Q1388" s="379"/>
      <c r="R1388" s="379"/>
      <c r="S1388" s="379">
        <v>54932.72</v>
      </c>
      <c r="T1388" s="379">
        <v>4170.42</v>
      </c>
      <c r="U1388" s="379"/>
      <c r="V1388" s="380">
        <v>66186.89</v>
      </c>
      <c r="W1388" s="381">
        <v>7.2</v>
      </c>
      <c r="X1388" s="379"/>
      <c r="Y1388" s="379"/>
      <c r="Z1388" s="379">
        <v>9991001</v>
      </c>
      <c r="AA1388" s="379" t="s">
        <v>2496</v>
      </c>
      <c r="AB1388" s="380">
        <f t="shared" si="20"/>
        <v>0.6</v>
      </c>
    </row>
    <row r="1389" spans="1:28" outlineLevel="2" x14ac:dyDescent="0.3">
      <c r="A1389" s="379">
        <v>432</v>
      </c>
      <c r="B1389" s="379">
        <v>990000</v>
      </c>
      <c r="C1389" s="379" t="s">
        <v>1699</v>
      </c>
      <c r="D1389" s="379">
        <v>6776805</v>
      </c>
      <c r="E1389" s="379" t="s">
        <v>3421</v>
      </c>
      <c r="F1389" s="379" t="s">
        <v>2563</v>
      </c>
      <c r="G1389" s="383">
        <v>33695</v>
      </c>
      <c r="H1389" s="379">
        <v>32857.919999999998</v>
      </c>
      <c r="I1389" s="379"/>
      <c r="J1389" s="379"/>
      <c r="K1389" s="379">
        <v>2464.1999999999998</v>
      </c>
      <c r="L1389" s="379"/>
      <c r="M1389" s="379"/>
      <c r="N1389" s="379"/>
      <c r="O1389" s="379"/>
      <c r="P1389" s="379"/>
      <c r="Q1389" s="379"/>
      <c r="R1389" s="379"/>
      <c r="S1389" s="379">
        <v>29937.96</v>
      </c>
      <c r="T1389" s="379">
        <v>2469.96</v>
      </c>
      <c r="U1389" s="379"/>
      <c r="V1389" s="380">
        <v>35322.120000000003</v>
      </c>
      <c r="W1389" s="381">
        <v>4.32</v>
      </c>
      <c r="X1389" s="379"/>
      <c r="Y1389" s="379"/>
      <c r="Z1389" s="379">
        <v>9991001</v>
      </c>
      <c r="AA1389" s="379" t="s">
        <v>2496</v>
      </c>
      <c r="AB1389" s="380">
        <f t="shared" si="20"/>
        <v>0.36000000000000004</v>
      </c>
    </row>
    <row r="1390" spans="1:28" outlineLevel="2" x14ac:dyDescent="0.3">
      <c r="A1390" s="379">
        <v>432</v>
      </c>
      <c r="B1390" s="379">
        <v>990000</v>
      </c>
      <c r="C1390" s="379" t="s">
        <v>1699</v>
      </c>
      <c r="D1390" s="379">
        <v>6777593</v>
      </c>
      <c r="E1390" s="379" t="s">
        <v>2513</v>
      </c>
      <c r="F1390" s="379" t="s">
        <v>2363</v>
      </c>
      <c r="G1390" s="383">
        <v>29037</v>
      </c>
      <c r="H1390" s="379">
        <v>28678.92</v>
      </c>
      <c r="I1390" s="379"/>
      <c r="J1390" s="379"/>
      <c r="K1390" s="379">
        <v>2150.9</v>
      </c>
      <c r="L1390" s="379"/>
      <c r="M1390" s="379"/>
      <c r="N1390" s="379"/>
      <c r="O1390" s="379"/>
      <c r="P1390" s="379"/>
      <c r="Q1390" s="379"/>
      <c r="R1390" s="379"/>
      <c r="S1390" s="379">
        <v>24948.42</v>
      </c>
      <c r="T1390" s="379">
        <v>3430.5</v>
      </c>
      <c r="U1390" s="379"/>
      <c r="V1390" s="380">
        <v>30829.82</v>
      </c>
      <c r="W1390" s="381">
        <v>3.5</v>
      </c>
      <c r="X1390" s="379"/>
      <c r="Y1390" s="379"/>
      <c r="Z1390" s="379">
        <v>6631001</v>
      </c>
      <c r="AA1390" s="379" t="s">
        <v>2459</v>
      </c>
      <c r="AB1390" s="380">
        <f t="shared" si="20"/>
        <v>0.29166666666666669</v>
      </c>
    </row>
    <row r="1391" spans="1:28" outlineLevel="2" x14ac:dyDescent="0.3">
      <c r="A1391" s="379">
        <v>432</v>
      </c>
      <c r="B1391" s="379">
        <v>990000</v>
      </c>
      <c r="C1391" s="379" t="s">
        <v>1699</v>
      </c>
      <c r="D1391" s="379">
        <v>6777594</v>
      </c>
      <c r="E1391" s="379" t="s">
        <v>3408</v>
      </c>
      <c r="F1391" s="379" t="s">
        <v>3422</v>
      </c>
      <c r="G1391" s="383">
        <v>43678</v>
      </c>
      <c r="H1391" s="379">
        <v>9536.94</v>
      </c>
      <c r="I1391" s="379">
        <v>41.98</v>
      </c>
      <c r="J1391" s="379"/>
      <c r="K1391" s="379">
        <v>715.25</v>
      </c>
      <c r="L1391" s="379"/>
      <c r="M1391" s="379"/>
      <c r="N1391" s="379"/>
      <c r="O1391" s="379">
        <v>8746.94</v>
      </c>
      <c r="P1391" s="379"/>
      <c r="Q1391" s="379"/>
      <c r="R1391" s="379"/>
      <c r="S1391" s="379">
        <v>640</v>
      </c>
      <c r="T1391" s="379"/>
      <c r="U1391" s="379"/>
      <c r="V1391" s="380">
        <v>10294.17</v>
      </c>
      <c r="W1391" s="381">
        <v>1.5</v>
      </c>
      <c r="X1391" s="379"/>
      <c r="Y1391" s="379"/>
      <c r="Z1391" s="379">
        <v>9991001</v>
      </c>
      <c r="AA1391" s="379" t="s">
        <v>2496</v>
      </c>
      <c r="AB1391" s="380">
        <f t="shared" si="20"/>
        <v>0.125</v>
      </c>
    </row>
    <row r="1392" spans="1:28" outlineLevel="2" x14ac:dyDescent="0.3">
      <c r="A1392" s="379">
        <v>432</v>
      </c>
      <c r="B1392" s="379">
        <v>990000</v>
      </c>
      <c r="C1392" s="379" t="s">
        <v>1699</v>
      </c>
      <c r="D1392" s="379">
        <v>6781270</v>
      </c>
      <c r="E1392" s="379" t="s">
        <v>2540</v>
      </c>
      <c r="F1392" s="379" t="s">
        <v>2583</v>
      </c>
      <c r="G1392" s="383">
        <v>35490</v>
      </c>
      <c r="H1392" s="379">
        <v>9029.69</v>
      </c>
      <c r="I1392" s="379"/>
      <c r="J1392" s="379"/>
      <c r="K1392" s="379">
        <v>677.24</v>
      </c>
      <c r="L1392" s="379"/>
      <c r="M1392" s="379"/>
      <c r="N1392" s="379"/>
      <c r="O1392" s="379">
        <v>3963.84</v>
      </c>
      <c r="P1392" s="379"/>
      <c r="Q1392" s="379"/>
      <c r="R1392" s="379"/>
      <c r="S1392" s="379">
        <v>5065.8500000000004</v>
      </c>
      <c r="T1392" s="379"/>
      <c r="U1392" s="379"/>
      <c r="V1392" s="380">
        <v>9706.93</v>
      </c>
      <c r="W1392" s="381">
        <v>1.212</v>
      </c>
      <c r="X1392" s="379"/>
      <c r="Y1392" s="379"/>
      <c r="Z1392" s="379">
        <v>9991001</v>
      </c>
      <c r="AA1392" s="379" t="s">
        <v>2496</v>
      </c>
      <c r="AB1392" s="380">
        <f t="shared" si="20"/>
        <v>0.10099999999999999</v>
      </c>
    </row>
    <row r="1393" spans="1:28" outlineLevel="2" x14ac:dyDescent="0.3">
      <c r="A1393" s="379">
        <v>432</v>
      </c>
      <c r="B1393" s="379">
        <v>990000</v>
      </c>
      <c r="C1393" s="379" t="s">
        <v>1699</v>
      </c>
      <c r="D1393" s="379">
        <v>6798464</v>
      </c>
      <c r="E1393" s="379" t="s">
        <v>2802</v>
      </c>
      <c r="F1393" s="379" t="s">
        <v>2944</v>
      </c>
      <c r="G1393" s="383">
        <v>34486</v>
      </c>
      <c r="H1393" s="379">
        <v>33595.32</v>
      </c>
      <c r="I1393" s="379"/>
      <c r="J1393" s="379"/>
      <c r="K1393" s="379">
        <v>33.75</v>
      </c>
      <c r="L1393" s="379"/>
      <c r="M1393" s="379"/>
      <c r="N1393" s="379"/>
      <c r="O1393" s="379"/>
      <c r="P1393" s="379"/>
      <c r="Q1393" s="379"/>
      <c r="R1393" s="379"/>
      <c r="S1393" s="379">
        <v>30855.72</v>
      </c>
      <c r="T1393" s="379">
        <v>2289.6</v>
      </c>
      <c r="U1393" s="379"/>
      <c r="V1393" s="380">
        <v>33629.07</v>
      </c>
      <c r="W1393" s="381">
        <v>5.0880000000000001</v>
      </c>
      <c r="X1393" s="379"/>
      <c r="Y1393" s="379"/>
      <c r="Z1393" s="379">
        <v>9991001</v>
      </c>
      <c r="AA1393" s="379" t="s">
        <v>2496</v>
      </c>
      <c r="AB1393" s="380">
        <f t="shared" si="20"/>
        <v>0.42399999999999999</v>
      </c>
    </row>
    <row r="1394" spans="1:28" outlineLevel="2" x14ac:dyDescent="0.3">
      <c r="A1394" s="379">
        <v>432</v>
      </c>
      <c r="B1394" s="379">
        <v>990000</v>
      </c>
      <c r="C1394" s="379" t="s">
        <v>1699</v>
      </c>
      <c r="D1394" s="379">
        <v>6801656</v>
      </c>
      <c r="E1394" s="379" t="s">
        <v>2645</v>
      </c>
      <c r="F1394" s="379" t="s">
        <v>2478</v>
      </c>
      <c r="G1394" s="383">
        <v>31959</v>
      </c>
      <c r="H1394" s="379">
        <v>39548.44</v>
      </c>
      <c r="I1394" s="379"/>
      <c r="J1394" s="379"/>
      <c r="K1394" s="379">
        <v>2966.2</v>
      </c>
      <c r="L1394" s="379"/>
      <c r="M1394" s="379"/>
      <c r="N1394" s="379"/>
      <c r="O1394" s="379"/>
      <c r="P1394" s="379"/>
      <c r="Q1394" s="379"/>
      <c r="R1394" s="379"/>
      <c r="S1394" s="379">
        <v>35889.96</v>
      </c>
      <c r="T1394" s="379">
        <v>3208.48</v>
      </c>
      <c r="U1394" s="379"/>
      <c r="V1394" s="380">
        <v>42514.64</v>
      </c>
      <c r="W1394" s="381">
        <v>5.28</v>
      </c>
      <c r="X1394" s="379"/>
      <c r="Y1394" s="379"/>
      <c r="Z1394" s="379">
        <v>5731001</v>
      </c>
      <c r="AA1394" s="379" t="s">
        <v>3039</v>
      </c>
      <c r="AB1394" s="380">
        <f t="shared" si="20"/>
        <v>0.44</v>
      </c>
    </row>
    <row r="1395" spans="1:28" outlineLevel="2" x14ac:dyDescent="0.3">
      <c r="A1395" s="379">
        <v>432</v>
      </c>
      <c r="B1395" s="379">
        <v>990000</v>
      </c>
      <c r="C1395" s="379" t="s">
        <v>1699</v>
      </c>
      <c r="D1395" s="379">
        <v>6803903</v>
      </c>
      <c r="E1395" s="379" t="s">
        <v>3042</v>
      </c>
      <c r="F1395" s="379" t="s">
        <v>2303</v>
      </c>
      <c r="G1395" s="383">
        <v>33970</v>
      </c>
      <c r="H1395" s="379">
        <v>63881.77</v>
      </c>
      <c r="I1395" s="379"/>
      <c r="J1395" s="379"/>
      <c r="K1395" s="379">
        <v>4791.1499999999996</v>
      </c>
      <c r="L1395" s="379"/>
      <c r="M1395" s="379"/>
      <c r="N1395" s="379"/>
      <c r="O1395" s="379"/>
      <c r="P1395" s="379"/>
      <c r="Q1395" s="379"/>
      <c r="R1395" s="379"/>
      <c r="S1395" s="379">
        <v>59785.77</v>
      </c>
      <c r="T1395" s="379">
        <v>3646</v>
      </c>
      <c r="U1395" s="379"/>
      <c r="V1395" s="380">
        <v>68672.92</v>
      </c>
      <c r="W1395" s="381">
        <v>6</v>
      </c>
      <c r="X1395" s="379"/>
      <c r="Y1395" s="379"/>
      <c r="Z1395" s="379">
        <v>9991001</v>
      </c>
      <c r="AA1395" s="379" t="s">
        <v>2496</v>
      </c>
      <c r="AB1395" s="380">
        <f t="shared" si="20"/>
        <v>0.5</v>
      </c>
    </row>
    <row r="1396" spans="1:28" outlineLevel="2" x14ac:dyDescent="0.3">
      <c r="A1396" s="379">
        <v>432</v>
      </c>
      <c r="B1396" s="379">
        <v>990000</v>
      </c>
      <c r="C1396" s="379" t="s">
        <v>1699</v>
      </c>
      <c r="D1396" s="379">
        <v>6806343</v>
      </c>
      <c r="E1396" s="379" t="s">
        <v>2333</v>
      </c>
      <c r="F1396" s="379" t="s">
        <v>2583</v>
      </c>
      <c r="G1396" s="383">
        <v>43191</v>
      </c>
      <c r="H1396" s="379">
        <v>13032.89</v>
      </c>
      <c r="I1396" s="379"/>
      <c r="J1396" s="379"/>
      <c r="K1396" s="379">
        <v>73.349999999999994</v>
      </c>
      <c r="L1396" s="379"/>
      <c r="M1396" s="379"/>
      <c r="N1396" s="379"/>
      <c r="O1396" s="379">
        <v>1130.4000000000001</v>
      </c>
      <c r="P1396" s="379"/>
      <c r="Q1396" s="379"/>
      <c r="R1396" s="379"/>
      <c r="S1396" s="379">
        <v>10447.530000000001</v>
      </c>
      <c r="T1396" s="379">
        <v>1004.96</v>
      </c>
      <c r="U1396" s="379"/>
      <c r="V1396" s="380">
        <v>13106.24</v>
      </c>
      <c r="W1396" s="381">
        <v>1.92</v>
      </c>
      <c r="X1396" s="379"/>
      <c r="Y1396" s="379"/>
      <c r="Z1396" s="379">
        <v>9991001</v>
      </c>
      <c r="AA1396" s="379" t="s">
        <v>2496</v>
      </c>
      <c r="AB1396" s="380">
        <f t="shared" si="20"/>
        <v>0.16</v>
      </c>
    </row>
    <row r="1397" spans="1:28" outlineLevel="2" x14ac:dyDescent="0.3">
      <c r="A1397" s="379">
        <v>432</v>
      </c>
      <c r="B1397" s="379">
        <v>990000</v>
      </c>
      <c r="C1397" s="379" t="s">
        <v>1699</v>
      </c>
      <c r="D1397" s="379">
        <v>6807582</v>
      </c>
      <c r="E1397" s="379" t="s">
        <v>2318</v>
      </c>
      <c r="F1397" s="379" t="s">
        <v>3121</v>
      </c>
      <c r="G1397" s="383">
        <v>28946</v>
      </c>
      <c r="H1397" s="379">
        <v>24468.69</v>
      </c>
      <c r="I1397" s="379"/>
      <c r="J1397" s="379"/>
      <c r="K1397" s="379">
        <v>1834.95</v>
      </c>
      <c r="L1397" s="379"/>
      <c r="M1397" s="379"/>
      <c r="N1397" s="379"/>
      <c r="O1397" s="379">
        <v>732</v>
      </c>
      <c r="P1397" s="379"/>
      <c r="Q1397" s="379"/>
      <c r="R1397" s="379"/>
      <c r="S1397" s="379">
        <v>21454.799999999999</v>
      </c>
      <c r="T1397" s="379">
        <v>1831.89</v>
      </c>
      <c r="U1397" s="379"/>
      <c r="V1397" s="380">
        <v>26303.64</v>
      </c>
      <c r="W1397" s="381">
        <v>6.048</v>
      </c>
      <c r="X1397" s="379"/>
      <c r="Y1397" s="379"/>
      <c r="Z1397" s="379">
        <v>9991001</v>
      </c>
      <c r="AA1397" s="379" t="s">
        <v>2496</v>
      </c>
      <c r="AB1397" s="380">
        <f t="shared" si="20"/>
        <v>0.504</v>
      </c>
    </row>
    <row r="1398" spans="1:28" outlineLevel="2" x14ac:dyDescent="0.3">
      <c r="A1398" s="379">
        <v>432</v>
      </c>
      <c r="B1398" s="379">
        <v>990000</v>
      </c>
      <c r="C1398" s="379" t="s">
        <v>1699</v>
      </c>
      <c r="D1398" s="379">
        <v>6807748</v>
      </c>
      <c r="E1398" s="379" t="s">
        <v>2685</v>
      </c>
      <c r="F1398" s="379" t="s">
        <v>2445</v>
      </c>
      <c r="G1398" s="383">
        <v>24929</v>
      </c>
      <c r="H1398" s="379">
        <v>58932.36</v>
      </c>
      <c r="I1398" s="379"/>
      <c r="J1398" s="379"/>
      <c r="K1398" s="379">
        <v>4420.05</v>
      </c>
      <c r="L1398" s="379"/>
      <c r="M1398" s="379"/>
      <c r="N1398" s="379"/>
      <c r="O1398" s="379"/>
      <c r="P1398" s="379"/>
      <c r="Q1398" s="379"/>
      <c r="R1398" s="379"/>
      <c r="S1398" s="379">
        <v>53979.99</v>
      </c>
      <c r="T1398" s="379">
        <v>4502.37</v>
      </c>
      <c r="U1398" s="379"/>
      <c r="V1398" s="380">
        <v>63352.41</v>
      </c>
      <c r="W1398" s="381">
        <v>7.5839999999999996</v>
      </c>
      <c r="X1398" s="379"/>
      <c r="Y1398" s="379"/>
      <c r="Z1398" s="379">
        <v>1582004</v>
      </c>
      <c r="AA1398" s="379" t="s">
        <v>2474</v>
      </c>
      <c r="AB1398" s="380">
        <f t="shared" si="20"/>
        <v>0.63200000000000001</v>
      </c>
    </row>
    <row r="1399" spans="1:28" outlineLevel="2" x14ac:dyDescent="0.3">
      <c r="A1399" s="379">
        <v>432</v>
      </c>
      <c r="B1399" s="379">
        <v>990000</v>
      </c>
      <c r="C1399" s="379" t="s">
        <v>1699</v>
      </c>
      <c r="D1399" s="379">
        <v>6808260</v>
      </c>
      <c r="E1399" s="379" t="s">
        <v>3423</v>
      </c>
      <c r="F1399" s="379" t="s">
        <v>2445</v>
      </c>
      <c r="G1399" s="383">
        <v>40057</v>
      </c>
      <c r="H1399" s="379">
        <v>26226.41</v>
      </c>
      <c r="I1399" s="379"/>
      <c r="J1399" s="379"/>
      <c r="K1399" s="379">
        <v>33.75</v>
      </c>
      <c r="L1399" s="379"/>
      <c r="M1399" s="379"/>
      <c r="N1399" s="379"/>
      <c r="O1399" s="379"/>
      <c r="P1399" s="379"/>
      <c r="Q1399" s="379"/>
      <c r="R1399" s="379"/>
      <c r="S1399" s="379">
        <v>23588.81</v>
      </c>
      <c r="T1399" s="379">
        <v>2187.6</v>
      </c>
      <c r="U1399" s="379"/>
      <c r="V1399" s="380">
        <v>26260.16</v>
      </c>
      <c r="W1399" s="381">
        <v>3.6</v>
      </c>
      <c r="X1399" s="379"/>
      <c r="Y1399" s="379"/>
      <c r="Z1399" s="379">
        <v>9991001</v>
      </c>
      <c r="AA1399" s="379" t="s">
        <v>2496</v>
      </c>
      <c r="AB1399" s="380">
        <f t="shared" si="20"/>
        <v>0.3</v>
      </c>
    </row>
    <row r="1400" spans="1:28" outlineLevel="2" x14ac:dyDescent="0.3">
      <c r="A1400" s="379">
        <v>432</v>
      </c>
      <c r="B1400" s="379">
        <v>990000</v>
      </c>
      <c r="C1400" s="379" t="s">
        <v>1699</v>
      </c>
      <c r="D1400" s="379">
        <v>6815068</v>
      </c>
      <c r="E1400" s="379" t="s">
        <v>2787</v>
      </c>
      <c r="F1400" s="379" t="s">
        <v>2944</v>
      </c>
      <c r="G1400" s="383">
        <v>31138</v>
      </c>
      <c r="H1400" s="379">
        <v>24470.880000000001</v>
      </c>
      <c r="I1400" s="379"/>
      <c r="J1400" s="379"/>
      <c r="K1400" s="379">
        <v>1835.45</v>
      </c>
      <c r="L1400" s="379"/>
      <c r="M1400" s="379"/>
      <c r="N1400" s="379"/>
      <c r="O1400" s="379"/>
      <c r="P1400" s="379"/>
      <c r="Q1400" s="379"/>
      <c r="R1400" s="379"/>
      <c r="S1400" s="379">
        <v>22390.080000000002</v>
      </c>
      <c r="T1400" s="379">
        <v>1630.8</v>
      </c>
      <c r="U1400" s="379"/>
      <c r="V1400" s="380">
        <v>26306.33</v>
      </c>
      <c r="W1400" s="381">
        <v>3.6240000000000001</v>
      </c>
      <c r="X1400" s="379"/>
      <c r="Y1400" s="379"/>
      <c r="Z1400" s="379">
        <v>9991001</v>
      </c>
      <c r="AA1400" s="379" t="s">
        <v>2496</v>
      </c>
      <c r="AB1400" s="380">
        <f t="shared" si="20"/>
        <v>0.30199999999999999</v>
      </c>
    </row>
    <row r="1401" spans="1:28" outlineLevel="2" x14ac:dyDescent="0.3">
      <c r="A1401" s="379">
        <v>432</v>
      </c>
      <c r="B1401" s="379">
        <v>990000</v>
      </c>
      <c r="C1401" s="379" t="s">
        <v>1699</v>
      </c>
      <c r="D1401" s="379">
        <v>6815848</v>
      </c>
      <c r="E1401" s="379" t="s">
        <v>2457</v>
      </c>
      <c r="F1401" s="379" t="s">
        <v>2361</v>
      </c>
      <c r="G1401" s="383">
        <v>42217</v>
      </c>
      <c r="H1401" s="379">
        <v>24284.81</v>
      </c>
      <c r="I1401" s="379"/>
      <c r="J1401" s="379"/>
      <c r="K1401" s="379">
        <v>33.75</v>
      </c>
      <c r="L1401" s="379"/>
      <c r="M1401" s="379"/>
      <c r="N1401" s="379"/>
      <c r="O1401" s="379"/>
      <c r="P1401" s="379"/>
      <c r="Q1401" s="379"/>
      <c r="R1401" s="379"/>
      <c r="S1401" s="379">
        <v>21909.72</v>
      </c>
      <c r="T1401" s="379">
        <v>1925.09</v>
      </c>
      <c r="U1401" s="379"/>
      <c r="V1401" s="380">
        <v>24318.560000000001</v>
      </c>
      <c r="W1401" s="381">
        <v>3.1680000000000001</v>
      </c>
      <c r="X1401" s="379"/>
      <c r="Y1401" s="379"/>
      <c r="Z1401" s="379">
        <v>9991001</v>
      </c>
      <c r="AA1401" s="379" t="s">
        <v>2496</v>
      </c>
      <c r="AB1401" s="380">
        <f t="shared" si="20"/>
        <v>0.26400000000000001</v>
      </c>
    </row>
    <row r="1402" spans="1:28" outlineLevel="2" x14ac:dyDescent="0.3">
      <c r="A1402" s="379">
        <v>432</v>
      </c>
      <c r="B1402" s="379">
        <v>990000</v>
      </c>
      <c r="C1402" s="379" t="s">
        <v>1699</v>
      </c>
      <c r="D1402" s="379">
        <v>6822663</v>
      </c>
      <c r="E1402" s="379" t="s">
        <v>2303</v>
      </c>
      <c r="F1402" s="379" t="s">
        <v>2554</v>
      </c>
      <c r="G1402" s="383">
        <v>28369</v>
      </c>
      <c r="H1402" s="379">
        <v>80201.789999999994</v>
      </c>
      <c r="I1402" s="379"/>
      <c r="J1402" s="379"/>
      <c r="K1402" s="379">
        <v>6015.05</v>
      </c>
      <c r="L1402" s="379"/>
      <c r="M1402" s="379"/>
      <c r="N1402" s="379"/>
      <c r="O1402" s="379"/>
      <c r="P1402" s="379">
        <v>12065.76</v>
      </c>
      <c r="Q1402" s="379"/>
      <c r="R1402" s="379"/>
      <c r="S1402" s="379">
        <v>62279.93</v>
      </c>
      <c r="T1402" s="379">
        <v>5406.1</v>
      </c>
      <c r="U1402" s="379"/>
      <c r="V1402" s="380">
        <v>86216.84</v>
      </c>
      <c r="W1402" s="381">
        <v>8.4</v>
      </c>
      <c r="X1402" s="379"/>
      <c r="Y1402" s="379"/>
      <c r="Z1402" s="379">
        <v>9991001</v>
      </c>
      <c r="AA1402" s="379" t="s">
        <v>2496</v>
      </c>
      <c r="AB1402" s="380">
        <f t="shared" si="20"/>
        <v>0.70000000000000007</v>
      </c>
    </row>
    <row r="1403" spans="1:28" outlineLevel="2" x14ac:dyDescent="0.3">
      <c r="A1403" s="379">
        <v>432</v>
      </c>
      <c r="B1403" s="379">
        <v>990000</v>
      </c>
      <c r="C1403" s="379" t="s">
        <v>1699</v>
      </c>
      <c r="D1403" s="379">
        <v>6824559</v>
      </c>
      <c r="E1403" s="379" t="s">
        <v>3424</v>
      </c>
      <c r="F1403" s="379" t="s">
        <v>3400</v>
      </c>
      <c r="G1403" s="383">
        <v>27485</v>
      </c>
      <c r="H1403" s="379">
        <v>76315.399999999994</v>
      </c>
      <c r="I1403" s="379"/>
      <c r="J1403" s="379"/>
      <c r="K1403" s="379">
        <v>5723.55</v>
      </c>
      <c r="L1403" s="379"/>
      <c r="M1403" s="379"/>
      <c r="N1403" s="379"/>
      <c r="O1403" s="379">
        <v>6686.4</v>
      </c>
      <c r="P1403" s="379"/>
      <c r="Q1403" s="379"/>
      <c r="R1403" s="379"/>
      <c r="S1403" s="379">
        <v>63772.9</v>
      </c>
      <c r="T1403" s="379">
        <v>5406.1</v>
      </c>
      <c r="U1403" s="379"/>
      <c r="V1403" s="380">
        <v>82038.95</v>
      </c>
      <c r="W1403" s="381">
        <v>8.4</v>
      </c>
      <c r="X1403" s="379"/>
      <c r="Y1403" s="379"/>
      <c r="Z1403" s="379">
        <v>9991001</v>
      </c>
      <c r="AA1403" s="379" t="s">
        <v>2496</v>
      </c>
      <c r="AB1403" s="380">
        <f t="shared" si="20"/>
        <v>0.70000000000000007</v>
      </c>
    </row>
    <row r="1404" spans="1:28" outlineLevel="2" x14ac:dyDescent="0.3">
      <c r="A1404" s="379">
        <v>432</v>
      </c>
      <c r="B1404" s="379">
        <v>990000</v>
      </c>
      <c r="C1404" s="379" t="s">
        <v>1699</v>
      </c>
      <c r="D1404" s="379">
        <v>6830955</v>
      </c>
      <c r="E1404" s="379" t="s">
        <v>2486</v>
      </c>
      <c r="F1404" s="379" t="s">
        <v>3296</v>
      </c>
      <c r="G1404" s="383">
        <v>27485</v>
      </c>
      <c r="H1404" s="379">
        <v>60511.81</v>
      </c>
      <c r="I1404" s="379"/>
      <c r="J1404" s="379"/>
      <c r="K1404" s="379">
        <v>4538.3</v>
      </c>
      <c r="L1404" s="379"/>
      <c r="M1404" s="379"/>
      <c r="N1404" s="379"/>
      <c r="O1404" s="379"/>
      <c r="P1404" s="379"/>
      <c r="Q1404" s="379"/>
      <c r="R1404" s="379"/>
      <c r="S1404" s="379">
        <v>55428.01</v>
      </c>
      <c r="T1404" s="379">
        <v>4633.8</v>
      </c>
      <c r="U1404" s="379"/>
      <c r="V1404" s="380">
        <v>65050.11</v>
      </c>
      <c r="W1404" s="381">
        <v>7.2</v>
      </c>
      <c r="X1404" s="379"/>
      <c r="Y1404" s="379"/>
      <c r="Z1404" s="379">
        <v>9991001</v>
      </c>
      <c r="AA1404" s="379" t="s">
        <v>2496</v>
      </c>
      <c r="AB1404" s="380">
        <f t="shared" si="20"/>
        <v>0.6</v>
      </c>
    </row>
    <row r="1405" spans="1:28" outlineLevel="2" x14ac:dyDescent="0.3">
      <c r="A1405" s="379">
        <v>432</v>
      </c>
      <c r="B1405" s="379">
        <v>990000</v>
      </c>
      <c r="C1405" s="379" t="s">
        <v>1699</v>
      </c>
      <c r="D1405" s="379">
        <v>6831139</v>
      </c>
      <c r="E1405" s="379" t="s">
        <v>2365</v>
      </c>
      <c r="F1405" s="379" t="s">
        <v>3177</v>
      </c>
      <c r="G1405" s="383">
        <v>32356</v>
      </c>
      <c r="H1405" s="379">
        <v>23270.68</v>
      </c>
      <c r="I1405" s="379"/>
      <c r="J1405" s="379"/>
      <c r="K1405" s="379">
        <v>1745.15</v>
      </c>
      <c r="L1405" s="379"/>
      <c r="M1405" s="379"/>
      <c r="N1405" s="379"/>
      <c r="O1405" s="379"/>
      <c r="P1405" s="379"/>
      <c r="Q1405" s="379"/>
      <c r="R1405" s="379"/>
      <c r="S1405" s="379">
        <v>20893.09</v>
      </c>
      <c r="T1405" s="379">
        <v>1927.59</v>
      </c>
      <c r="U1405" s="379"/>
      <c r="V1405" s="380">
        <v>25015.83</v>
      </c>
      <c r="W1405" s="381">
        <v>5.4</v>
      </c>
      <c r="X1405" s="379"/>
      <c r="Y1405" s="379"/>
      <c r="Z1405" s="379">
        <v>9991001</v>
      </c>
      <c r="AA1405" s="379" t="s">
        <v>2496</v>
      </c>
      <c r="AB1405" s="380">
        <f t="shared" si="20"/>
        <v>0.45</v>
      </c>
    </row>
    <row r="1406" spans="1:28" outlineLevel="2" x14ac:dyDescent="0.3">
      <c r="A1406" s="379">
        <v>432</v>
      </c>
      <c r="B1406" s="379">
        <v>990000</v>
      </c>
      <c r="C1406" s="379" t="s">
        <v>1699</v>
      </c>
      <c r="D1406" s="379">
        <v>6832709</v>
      </c>
      <c r="E1406" s="379" t="s">
        <v>3425</v>
      </c>
      <c r="F1406" s="379" t="s">
        <v>2554</v>
      </c>
      <c r="G1406" s="383">
        <v>28307</v>
      </c>
      <c r="H1406" s="379">
        <v>83523.64</v>
      </c>
      <c r="I1406" s="379">
        <v>166.1</v>
      </c>
      <c r="J1406" s="379"/>
      <c r="K1406" s="379">
        <v>6264.35</v>
      </c>
      <c r="L1406" s="379"/>
      <c r="M1406" s="379"/>
      <c r="N1406" s="379"/>
      <c r="O1406" s="379">
        <v>4530</v>
      </c>
      <c r="P1406" s="379">
        <v>10451.76</v>
      </c>
      <c r="Q1406" s="379">
        <v>149</v>
      </c>
      <c r="R1406" s="379"/>
      <c r="S1406" s="379">
        <v>62536.78</v>
      </c>
      <c r="T1406" s="379">
        <v>5406.1</v>
      </c>
      <c r="U1406" s="379"/>
      <c r="V1406" s="380">
        <v>89954.09</v>
      </c>
      <c r="W1406" s="381">
        <v>8.4</v>
      </c>
      <c r="X1406" s="379"/>
      <c r="Y1406" s="379"/>
      <c r="Z1406" s="379">
        <v>9991001</v>
      </c>
      <c r="AA1406" s="379" t="s">
        <v>2496</v>
      </c>
      <c r="AB1406" s="380">
        <f t="shared" si="20"/>
        <v>0.70000000000000007</v>
      </c>
    </row>
    <row r="1407" spans="1:28" outlineLevel="2" x14ac:dyDescent="0.3">
      <c r="A1407" s="379">
        <v>432</v>
      </c>
      <c r="B1407" s="379">
        <v>990000</v>
      </c>
      <c r="C1407" s="379" t="s">
        <v>1699</v>
      </c>
      <c r="D1407" s="379">
        <v>6833168</v>
      </c>
      <c r="E1407" s="379" t="s">
        <v>3272</v>
      </c>
      <c r="F1407" s="379" t="s">
        <v>3426</v>
      </c>
      <c r="G1407" s="383">
        <v>40725</v>
      </c>
      <c r="H1407" s="379">
        <v>25060.080000000002</v>
      </c>
      <c r="I1407" s="379"/>
      <c r="J1407" s="379"/>
      <c r="K1407" s="379">
        <v>33.75</v>
      </c>
      <c r="L1407" s="379"/>
      <c r="M1407" s="379"/>
      <c r="N1407" s="379"/>
      <c r="O1407" s="379"/>
      <c r="P1407" s="379"/>
      <c r="Q1407" s="379"/>
      <c r="R1407" s="379"/>
      <c r="S1407" s="379">
        <v>22666.080000000002</v>
      </c>
      <c r="T1407" s="379">
        <v>1944</v>
      </c>
      <c r="U1407" s="379"/>
      <c r="V1407" s="380">
        <v>25093.83</v>
      </c>
      <c r="W1407" s="381">
        <v>4.32</v>
      </c>
      <c r="X1407" s="379"/>
      <c r="Y1407" s="379"/>
      <c r="Z1407" s="379">
        <v>9991001</v>
      </c>
      <c r="AA1407" s="379" t="s">
        <v>2496</v>
      </c>
      <c r="AB1407" s="380">
        <f t="shared" si="20"/>
        <v>0.36000000000000004</v>
      </c>
    </row>
    <row r="1408" spans="1:28" outlineLevel="2" x14ac:dyDescent="0.3">
      <c r="A1408" s="379">
        <v>432</v>
      </c>
      <c r="B1408" s="379">
        <v>990000</v>
      </c>
      <c r="C1408" s="379" t="s">
        <v>1699</v>
      </c>
      <c r="D1408" s="379">
        <v>6833531</v>
      </c>
      <c r="E1408" s="379" t="s">
        <v>2303</v>
      </c>
      <c r="F1408" s="379" t="s">
        <v>2483</v>
      </c>
      <c r="G1408" s="383">
        <v>26299</v>
      </c>
      <c r="H1408" s="379">
        <v>73448.38</v>
      </c>
      <c r="I1408" s="379"/>
      <c r="J1408" s="379"/>
      <c r="K1408" s="379">
        <v>5508.75</v>
      </c>
      <c r="L1408" s="379"/>
      <c r="M1408" s="379"/>
      <c r="N1408" s="379"/>
      <c r="O1408" s="379"/>
      <c r="P1408" s="379"/>
      <c r="Q1408" s="379"/>
      <c r="R1408" s="379"/>
      <c r="S1408" s="379">
        <v>67592.28</v>
      </c>
      <c r="T1408" s="379">
        <v>5406.1</v>
      </c>
      <c r="U1408" s="379"/>
      <c r="V1408" s="380">
        <v>78957.13</v>
      </c>
      <c r="W1408" s="381">
        <v>8.4</v>
      </c>
      <c r="X1408" s="379"/>
      <c r="Y1408" s="379"/>
      <c r="Z1408" s="379">
        <v>9991001</v>
      </c>
      <c r="AA1408" s="379" t="s">
        <v>2496</v>
      </c>
      <c r="AB1408" s="380">
        <f t="shared" si="20"/>
        <v>0.70000000000000007</v>
      </c>
    </row>
    <row r="1409" spans="1:28" outlineLevel="2" x14ac:dyDescent="0.3">
      <c r="A1409" s="379">
        <v>432</v>
      </c>
      <c r="B1409" s="379">
        <v>990000</v>
      </c>
      <c r="C1409" s="379" t="s">
        <v>1699</v>
      </c>
      <c r="D1409" s="379">
        <v>6833696</v>
      </c>
      <c r="E1409" s="379" t="s">
        <v>2760</v>
      </c>
      <c r="F1409" s="379" t="s">
        <v>3427</v>
      </c>
      <c r="G1409" s="383">
        <v>31107</v>
      </c>
      <c r="H1409" s="379">
        <v>51516.14</v>
      </c>
      <c r="I1409" s="379"/>
      <c r="J1409" s="379"/>
      <c r="K1409" s="379">
        <v>3863.75</v>
      </c>
      <c r="L1409" s="379"/>
      <c r="M1409" s="379"/>
      <c r="N1409" s="379"/>
      <c r="O1409" s="379"/>
      <c r="P1409" s="379"/>
      <c r="Q1409" s="379"/>
      <c r="R1409" s="379"/>
      <c r="S1409" s="379">
        <v>47583.13</v>
      </c>
      <c r="T1409" s="379">
        <v>3483.01</v>
      </c>
      <c r="U1409" s="379"/>
      <c r="V1409" s="380">
        <v>55379.89</v>
      </c>
      <c r="W1409" s="381">
        <v>7.74</v>
      </c>
      <c r="X1409" s="379"/>
      <c r="Y1409" s="379"/>
      <c r="Z1409" s="379">
        <v>9921001</v>
      </c>
      <c r="AA1409" s="379" t="s">
        <v>2464</v>
      </c>
      <c r="AB1409" s="380">
        <f t="shared" si="20"/>
        <v>0.64500000000000002</v>
      </c>
    </row>
    <row r="1410" spans="1:28" outlineLevel="2" x14ac:dyDescent="0.3">
      <c r="A1410" s="379">
        <v>432</v>
      </c>
      <c r="B1410" s="379">
        <v>990000</v>
      </c>
      <c r="C1410" s="379" t="s">
        <v>1699</v>
      </c>
      <c r="D1410" s="379">
        <v>6833697</v>
      </c>
      <c r="E1410" s="379" t="s">
        <v>2760</v>
      </c>
      <c r="F1410" s="379" t="s">
        <v>3428</v>
      </c>
      <c r="G1410" s="383">
        <v>28399</v>
      </c>
      <c r="H1410" s="379">
        <v>31142.48</v>
      </c>
      <c r="I1410" s="379"/>
      <c r="J1410" s="379"/>
      <c r="K1410" s="379">
        <v>2335.75</v>
      </c>
      <c r="L1410" s="379"/>
      <c r="M1410" s="379"/>
      <c r="N1410" s="379"/>
      <c r="O1410" s="379">
        <v>1008</v>
      </c>
      <c r="P1410" s="379"/>
      <c r="Q1410" s="379"/>
      <c r="R1410" s="379"/>
      <c r="S1410" s="379">
        <v>27511.56</v>
      </c>
      <c r="T1410" s="379">
        <v>2172.92</v>
      </c>
      <c r="U1410" s="379"/>
      <c r="V1410" s="380">
        <v>33478.230000000003</v>
      </c>
      <c r="W1410" s="381">
        <v>4.1639999999999997</v>
      </c>
      <c r="X1410" s="379"/>
      <c r="Y1410" s="379"/>
      <c r="Z1410" s="379">
        <v>9991001</v>
      </c>
      <c r="AA1410" s="379" t="s">
        <v>2496</v>
      </c>
      <c r="AB1410" s="380">
        <f t="shared" si="20"/>
        <v>0.34699999999999998</v>
      </c>
    </row>
    <row r="1411" spans="1:28" outlineLevel="2" x14ac:dyDescent="0.3">
      <c r="A1411" s="379">
        <v>432</v>
      </c>
      <c r="B1411" s="379">
        <v>990000</v>
      </c>
      <c r="C1411" s="379" t="s">
        <v>1699</v>
      </c>
      <c r="D1411" s="379">
        <v>6836134</v>
      </c>
      <c r="E1411" s="379" t="s">
        <v>2516</v>
      </c>
      <c r="F1411" s="379" t="s">
        <v>2758</v>
      </c>
      <c r="G1411" s="383">
        <v>35309</v>
      </c>
      <c r="H1411" s="379">
        <v>18620.8</v>
      </c>
      <c r="I1411" s="379"/>
      <c r="J1411" s="379"/>
      <c r="K1411" s="379">
        <v>1396.4</v>
      </c>
      <c r="L1411" s="379"/>
      <c r="M1411" s="379"/>
      <c r="N1411" s="379"/>
      <c r="O1411" s="379"/>
      <c r="P1411" s="379"/>
      <c r="Q1411" s="379"/>
      <c r="R1411" s="379"/>
      <c r="S1411" s="379">
        <v>16674.18</v>
      </c>
      <c r="T1411" s="379">
        <v>1496.62</v>
      </c>
      <c r="U1411" s="379"/>
      <c r="V1411" s="380">
        <v>20017.2</v>
      </c>
      <c r="W1411" s="381">
        <v>4.32</v>
      </c>
      <c r="X1411" s="379"/>
      <c r="Y1411" s="379"/>
      <c r="Z1411" s="379">
        <v>9991001</v>
      </c>
      <c r="AA1411" s="379" t="s">
        <v>2496</v>
      </c>
      <c r="AB1411" s="380">
        <f t="shared" si="20"/>
        <v>0.36000000000000004</v>
      </c>
    </row>
    <row r="1412" spans="1:28" outlineLevel="2" x14ac:dyDescent="0.3">
      <c r="A1412" s="379">
        <v>432</v>
      </c>
      <c r="B1412" s="379">
        <v>990000</v>
      </c>
      <c r="C1412" s="379" t="s">
        <v>1699</v>
      </c>
      <c r="D1412" s="379">
        <v>6847449</v>
      </c>
      <c r="E1412" s="379" t="s">
        <v>2548</v>
      </c>
      <c r="F1412" s="379" t="s">
        <v>2583</v>
      </c>
      <c r="G1412" s="383">
        <v>34121</v>
      </c>
      <c r="H1412" s="379">
        <v>39501.67</v>
      </c>
      <c r="I1412" s="379"/>
      <c r="J1412" s="379"/>
      <c r="K1412" s="379">
        <v>2733.68</v>
      </c>
      <c r="L1412" s="379"/>
      <c r="M1412" s="379"/>
      <c r="N1412" s="379"/>
      <c r="O1412" s="379"/>
      <c r="P1412" s="379"/>
      <c r="Q1412" s="379"/>
      <c r="R1412" s="379"/>
      <c r="S1412" s="379">
        <v>39351.67</v>
      </c>
      <c r="T1412" s="379"/>
      <c r="U1412" s="379"/>
      <c r="V1412" s="380">
        <v>42235.35</v>
      </c>
      <c r="W1412" s="381">
        <v>4.16</v>
      </c>
      <c r="X1412" s="379"/>
      <c r="Y1412" s="379"/>
      <c r="Z1412" s="379">
        <v>9991001</v>
      </c>
      <c r="AA1412" s="379" t="s">
        <v>2496</v>
      </c>
      <c r="AB1412" s="380">
        <f t="shared" si="20"/>
        <v>0.34666666666666668</v>
      </c>
    </row>
    <row r="1413" spans="1:28" outlineLevel="2" x14ac:dyDescent="0.3">
      <c r="A1413" s="379">
        <v>432</v>
      </c>
      <c r="B1413" s="379">
        <v>990000</v>
      </c>
      <c r="C1413" s="379" t="s">
        <v>1699</v>
      </c>
      <c r="D1413" s="379">
        <v>6850531</v>
      </c>
      <c r="E1413" s="379" t="s">
        <v>2695</v>
      </c>
      <c r="F1413" s="379" t="s">
        <v>2758</v>
      </c>
      <c r="G1413" s="383">
        <v>38657</v>
      </c>
      <c r="H1413" s="379">
        <v>31000.44</v>
      </c>
      <c r="I1413" s="379"/>
      <c r="J1413" s="379"/>
      <c r="K1413" s="379">
        <v>33.75</v>
      </c>
      <c r="L1413" s="379"/>
      <c r="M1413" s="379"/>
      <c r="N1413" s="379"/>
      <c r="O1413" s="379"/>
      <c r="P1413" s="379"/>
      <c r="Q1413" s="379"/>
      <c r="R1413" s="379"/>
      <c r="S1413" s="379">
        <v>28296.12</v>
      </c>
      <c r="T1413" s="379">
        <v>2254.3200000000002</v>
      </c>
      <c r="U1413" s="379"/>
      <c r="V1413" s="380">
        <v>31034.19</v>
      </c>
      <c r="W1413" s="381">
        <v>4.32</v>
      </c>
      <c r="X1413" s="379"/>
      <c r="Y1413" s="379"/>
      <c r="Z1413" s="379">
        <v>9991001</v>
      </c>
      <c r="AA1413" s="379" t="s">
        <v>2496</v>
      </c>
      <c r="AB1413" s="380">
        <f t="shared" si="20"/>
        <v>0.36000000000000004</v>
      </c>
    </row>
    <row r="1414" spans="1:28" outlineLevel="2" x14ac:dyDescent="0.3">
      <c r="A1414" s="379">
        <v>432</v>
      </c>
      <c r="B1414" s="379">
        <v>990000</v>
      </c>
      <c r="C1414" s="379" t="s">
        <v>1699</v>
      </c>
      <c r="D1414" s="379">
        <v>6850561</v>
      </c>
      <c r="E1414" s="379" t="s">
        <v>2788</v>
      </c>
      <c r="F1414" s="379" t="s">
        <v>2476</v>
      </c>
      <c r="G1414" s="383">
        <v>42917</v>
      </c>
      <c r="H1414" s="379">
        <v>12111.59</v>
      </c>
      <c r="I1414" s="379"/>
      <c r="J1414" s="379"/>
      <c r="K1414" s="379">
        <v>69.75</v>
      </c>
      <c r="L1414" s="379"/>
      <c r="M1414" s="379"/>
      <c r="N1414" s="379"/>
      <c r="O1414" s="379">
        <v>1054.2</v>
      </c>
      <c r="P1414" s="379"/>
      <c r="Q1414" s="379"/>
      <c r="R1414" s="379"/>
      <c r="S1414" s="379">
        <v>9708.6</v>
      </c>
      <c r="T1414" s="379">
        <v>898.79</v>
      </c>
      <c r="U1414" s="379"/>
      <c r="V1414" s="380">
        <v>12181.34</v>
      </c>
      <c r="W1414" s="381">
        <v>3.1320000000000001</v>
      </c>
      <c r="X1414" s="379"/>
      <c r="Y1414" s="379"/>
      <c r="Z1414" s="379">
        <v>9991001</v>
      </c>
      <c r="AA1414" s="379" t="s">
        <v>2496</v>
      </c>
      <c r="AB1414" s="380">
        <f t="shared" si="20"/>
        <v>0.26100000000000001</v>
      </c>
    </row>
    <row r="1415" spans="1:28" outlineLevel="2" x14ac:dyDescent="0.3">
      <c r="A1415" s="379">
        <v>432</v>
      </c>
      <c r="B1415" s="379">
        <v>990000</v>
      </c>
      <c r="C1415" s="379" t="s">
        <v>1699</v>
      </c>
      <c r="D1415" s="379">
        <v>6851426</v>
      </c>
      <c r="E1415" s="379" t="s">
        <v>2303</v>
      </c>
      <c r="F1415" s="379" t="s">
        <v>2434</v>
      </c>
      <c r="G1415" s="383">
        <v>34912</v>
      </c>
      <c r="H1415" s="379">
        <v>29225.13</v>
      </c>
      <c r="I1415" s="379"/>
      <c r="J1415" s="379"/>
      <c r="K1415" s="379">
        <v>2191.9499999999998</v>
      </c>
      <c r="L1415" s="379"/>
      <c r="M1415" s="379"/>
      <c r="N1415" s="379"/>
      <c r="O1415" s="379">
        <v>1512</v>
      </c>
      <c r="P1415" s="379"/>
      <c r="Q1415" s="379"/>
      <c r="R1415" s="379"/>
      <c r="S1415" s="379">
        <v>25154.83</v>
      </c>
      <c r="T1415" s="379">
        <v>2108.3000000000002</v>
      </c>
      <c r="U1415" s="379"/>
      <c r="V1415" s="380">
        <v>31417.08</v>
      </c>
      <c r="W1415" s="381">
        <v>5.4</v>
      </c>
      <c r="X1415" s="379">
        <v>1</v>
      </c>
      <c r="Y1415" s="379" t="s">
        <v>2353</v>
      </c>
      <c r="Z1415" s="379">
        <v>9991001</v>
      </c>
      <c r="AA1415" s="379" t="s">
        <v>2496</v>
      </c>
      <c r="AB1415" s="380">
        <f t="shared" si="20"/>
        <v>0.45</v>
      </c>
    </row>
    <row r="1416" spans="1:28" outlineLevel="2" x14ac:dyDescent="0.3">
      <c r="A1416" s="379">
        <v>432</v>
      </c>
      <c r="B1416" s="379">
        <v>990000</v>
      </c>
      <c r="C1416" s="379" t="s">
        <v>1699</v>
      </c>
      <c r="D1416" s="379">
        <v>6852195</v>
      </c>
      <c r="E1416" s="379" t="s">
        <v>2340</v>
      </c>
      <c r="F1416" s="379" t="s">
        <v>2738</v>
      </c>
      <c r="G1416" s="383">
        <v>37165</v>
      </c>
      <c r="H1416" s="379">
        <v>27390.12</v>
      </c>
      <c r="I1416" s="379"/>
      <c r="J1416" s="379"/>
      <c r="K1416" s="379">
        <v>33.75</v>
      </c>
      <c r="L1416" s="379"/>
      <c r="M1416" s="379"/>
      <c r="N1416" s="379"/>
      <c r="O1416" s="379"/>
      <c r="P1416" s="379"/>
      <c r="Q1416" s="379"/>
      <c r="R1416" s="379"/>
      <c r="S1416" s="379">
        <v>24780.48</v>
      </c>
      <c r="T1416" s="379">
        <v>2159.64</v>
      </c>
      <c r="U1416" s="379"/>
      <c r="V1416" s="380">
        <v>27423.87</v>
      </c>
      <c r="W1416" s="381">
        <v>4.32</v>
      </c>
      <c r="X1416" s="379"/>
      <c r="Y1416" s="379"/>
      <c r="Z1416" s="379">
        <v>9991001</v>
      </c>
      <c r="AA1416" s="379" t="s">
        <v>2496</v>
      </c>
      <c r="AB1416" s="380">
        <f t="shared" si="20"/>
        <v>0.36000000000000004</v>
      </c>
    </row>
    <row r="1417" spans="1:28" outlineLevel="2" x14ac:dyDescent="0.3">
      <c r="A1417" s="379">
        <v>432</v>
      </c>
      <c r="B1417" s="379">
        <v>990000</v>
      </c>
      <c r="C1417" s="379" t="s">
        <v>1699</v>
      </c>
      <c r="D1417" s="379">
        <v>6853150</v>
      </c>
      <c r="E1417" s="379" t="s">
        <v>2899</v>
      </c>
      <c r="F1417" s="379" t="s">
        <v>2831</v>
      </c>
      <c r="G1417" s="383">
        <v>34486</v>
      </c>
      <c r="H1417" s="379">
        <v>32975.67</v>
      </c>
      <c r="I1417" s="379"/>
      <c r="J1417" s="379"/>
      <c r="K1417" s="379">
        <v>1263.6500000000001</v>
      </c>
      <c r="L1417" s="379"/>
      <c r="M1417" s="379"/>
      <c r="N1417" s="379"/>
      <c r="O1417" s="379"/>
      <c r="P1417" s="379"/>
      <c r="Q1417" s="379"/>
      <c r="R1417" s="379"/>
      <c r="S1417" s="379">
        <v>29753.360000000001</v>
      </c>
      <c r="T1417" s="379">
        <v>2772.31</v>
      </c>
      <c r="U1417" s="379"/>
      <c r="V1417" s="380">
        <v>34239.32</v>
      </c>
      <c r="W1417" s="381">
        <v>7.3559999999999999</v>
      </c>
      <c r="X1417" s="379"/>
      <c r="Y1417" s="379"/>
      <c r="Z1417" s="379">
        <v>9991001</v>
      </c>
      <c r="AA1417" s="379" t="s">
        <v>2496</v>
      </c>
      <c r="AB1417" s="380">
        <f t="shared" si="20"/>
        <v>0.61299999999999999</v>
      </c>
    </row>
    <row r="1418" spans="1:28" outlineLevel="2" x14ac:dyDescent="0.3">
      <c r="A1418" s="379">
        <v>432</v>
      </c>
      <c r="B1418" s="379">
        <v>990000</v>
      </c>
      <c r="C1418" s="379" t="s">
        <v>1699</v>
      </c>
      <c r="D1418" s="379">
        <v>6856337</v>
      </c>
      <c r="E1418" s="379" t="s">
        <v>2519</v>
      </c>
      <c r="F1418" s="379" t="s">
        <v>2903</v>
      </c>
      <c r="G1418" s="383">
        <v>30348</v>
      </c>
      <c r="H1418" s="379">
        <v>15723.37</v>
      </c>
      <c r="I1418" s="379"/>
      <c r="J1418" s="379"/>
      <c r="K1418" s="379">
        <v>1179.5</v>
      </c>
      <c r="L1418" s="379"/>
      <c r="M1418" s="379"/>
      <c r="N1418" s="379"/>
      <c r="O1418" s="379">
        <v>456</v>
      </c>
      <c r="P1418" s="379"/>
      <c r="Q1418" s="379"/>
      <c r="R1418" s="379"/>
      <c r="S1418" s="379">
        <v>13692.12</v>
      </c>
      <c r="T1418" s="379">
        <v>1125.25</v>
      </c>
      <c r="U1418" s="379"/>
      <c r="V1418" s="380">
        <v>16902.87</v>
      </c>
      <c r="W1418" s="381">
        <v>4.2</v>
      </c>
      <c r="X1418" s="379"/>
      <c r="Y1418" s="379"/>
      <c r="Z1418" s="379">
        <v>9991001</v>
      </c>
      <c r="AA1418" s="379" t="s">
        <v>2496</v>
      </c>
      <c r="AB1418" s="380">
        <f t="shared" si="20"/>
        <v>0.35000000000000003</v>
      </c>
    </row>
    <row r="1419" spans="1:28" outlineLevel="2" x14ac:dyDescent="0.3">
      <c r="A1419" s="379">
        <v>432</v>
      </c>
      <c r="B1419" s="379">
        <v>990000</v>
      </c>
      <c r="C1419" s="379" t="s">
        <v>1699</v>
      </c>
      <c r="D1419" s="379">
        <v>6856814</v>
      </c>
      <c r="E1419" s="379" t="s">
        <v>2332</v>
      </c>
      <c r="F1419" s="379" t="s">
        <v>3429</v>
      </c>
      <c r="G1419" s="383">
        <v>29891</v>
      </c>
      <c r="H1419" s="379">
        <v>63231.78</v>
      </c>
      <c r="I1419" s="379"/>
      <c r="J1419" s="379"/>
      <c r="K1419" s="379">
        <v>1936.5</v>
      </c>
      <c r="L1419" s="379"/>
      <c r="M1419" s="379"/>
      <c r="N1419" s="379"/>
      <c r="O1419" s="379"/>
      <c r="P1419" s="379"/>
      <c r="Q1419" s="379"/>
      <c r="R1419" s="379"/>
      <c r="S1419" s="379">
        <v>57275.28</v>
      </c>
      <c r="T1419" s="379">
        <v>5506.5</v>
      </c>
      <c r="U1419" s="379"/>
      <c r="V1419" s="380">
        <v>65168.28</v>
      </c>
      <c r="W1419" s="381">
        <v>12.06</v>
      </c>
      <c r="X1419" s="379"/>
      <c r="Y1419" s="379"/>
      <c r="Z1419" s="379">
        <v>9991001</v>
      </c>
      <c r="AA1419" s="379" t="s">
        <v>2496</v>
      </c>
      <c r="AB1419" s="380">
        <f t="shared" si="20"/>
        <v>1.0050000000000001</v>
      </c>
    </row>
    <row r="1420" spans="1:28" outlineLevel="2" x14ac:dyDescent="0.3">
      <c r="A1420" s="379">
        <v>432</v>
      </c>
      <c r="B1420" s="379">
        <v>990000</v>
      </c>
      <c r="C1420" s="379" t="s">
        <v>1699</v>
      </c>
      <c r="D1420" s="379">
        <v>6857538</v>
      </c>
      <c r="E1420" s="379" t="s">
        <v>3430</v>
      </c>
      <c r="F1420" s="379" t="s">
        <v>3150</v>
      </c>
      <c r="G1420" s="383">
        <v>28522</v>
      </c>
      <c r="H1420" s="379">
        <v>50339.86</v>
      </c>
      <c r="I1420" s="379"/>
      <c r="J1420" s="379"/>
      <c r="K1420" s="379">
        <v>3775.3</v>
      </c>
      <c r="L1420" s="379"/>
      <c r="M1420" s="379"/>
      <c r="N1420" s="379"/>
      <c r="O1420" s="379">
        <v>1596</v>
      </c>
      <c r="P1420" s="379"/>
      <c r="Q1420" s="379"/>
      <c r="R1420" s="379"/>
      <c r="S1420" s="379">
        <v>44633.16</v>
      </c>
      <c r="T1420" s="379">
        <v>3660.7</v>
      </c>
      <c r="U1420" s="379"/>
      <c r="V1420" s="380">
        <v>54115.16</v>
      </c>
      <c r="W1420" s="381">
        <v>7.68</v>
      </c>
      <c r="X1420" s="379"/>
      <c r="Y1420" s="379"/>
      <c r="Z1420" s="379">
        <v>9991001</v>
      </c>
      <c r="AA1420" s="379" t="s">
        <v>2496</v>
      </c>
      <c r="AB1420" s="380">
        <f t="shared" si="20"/>
        <v>0.64</v>
      </c>
    </row>
    <row r="1421" spans="1:28" outlineLevel="2" x14ac:dyDescent="0.3">
      <c r="A1421" s="379">
        <v>432</v>
      </c>
      <c r="B1421" s="379">
        <v>990000</v>
      </c>
      <c r="C1421" s="379" t="s">
        <v>1699</v>
      </c>
      <c r="D1421" s="379">
        <v>6857796</v>
      </c>
      <c r="E1421" s="379" t="s">
        <v>2488</v>
      </c>
      <c r="F1421" s="379" t="s">
        <v>2483</v>
      </c>
      <c r="G1421" s="383">
        <v>27912</v>
      </c>
      <c r="H1421" s="379">
        <v>16387.75</v>
      </c>
      <c r="I1421" s="379"/>
      <c r="J1421" s="379"/>
      <c r="K1421" s="379">
        <v>975.99</v>
      </c>
      <c r="L1421" s="379"/>
      <c r="M1421" s="379"/>
      <c r="N1421" s="379"/>
      <c r="O1421" s="379"/>
      <c r="P1421" s="379">
        <v>3374.7</v>
      </c>
      <c r="Q1421" s="379"/>
      <c r="R1421" s="379"/>
      <c r="S1421" s="379">
        <v>13013.05</v>
      </c>
      <c r="T1421" s="379"/>
      <c r="U1421" s="379"/>
      <c r="V1421" s="380">
        <v>17363.740000000002</v>
      </c>
      <c r="W1421" s="381">
        <v>1.4</v>
      </c>
      <c r="X1421" s="379"/>
      <c r="Y1421" s="379"/>
      <c r="Z1421" s="379">
        <v>9991001</v>
      </c>
      <c r="AA1421" s="379" t="s">
        <v>2496</v>
      </c>
      <c r="AB1421" s="380">
        <f t="shared" si="20"/>
        <v>0.11666666666666665</v>
      </c>
    </row>
    <row r="1422" spans="1:28" outlineLevel="2" x14ac:dyDescent="0.3">
      <c r="A1422" s="379">
        <v>432</v>
      </c>
      <c r="B1422" s="379">
        <v>990000</v>
      </c>
      <c r="C1422" s="379" t="s">
        <v>1699</v>
      </c>
      <c r="D1422" s="379">
        <v>6858066</v>
      </c>
      <c r="E1422" s="379" t="s">
        <v>2323</v>
      </c>
      <c r="F1422" s="379" t="s">
        <v>2554</v>
      </c>
      <c r="G1422" s="383">
        <v>26877</v>
      </c>
      <c r="H1422" s="379">
        <v>69016.11</v>
      </c>
      <c r="I1422" s="379"/>
      <c r="J1422" s="379"/>
      <c r="K1422" s="379">
        <v>5176.2</v>
      </c>
      <c r="L1422" s="379"/>
      <c r="M1422" s="379"/>
      <c r="N1422" s="379"/>
      <c r="O1422" s="379"/>
      <c r="P1422" s="379"/>
      <c r="Q1422" s="379"/>
      <c r="R1422" s="379"/>
      <c r="S1422" s="379">
        <v>63160.01</v>
      </c>
      <c r="T1422" s="379">
        <v>5406.1</v>
      </c>
      <c r="U1422" s="379"/>
      <c r="V1422" s="380">
        <v>74192.31</v>
      </c>
      <c r="W1422" s="381">
        <v>8.4</v>
      </c>
      <c r="X1422" s="379"/>
      <c r="Y1422" s="379"/>
      <c r="Z1422" s="379">
        <v>9991001</v>
      </c>
      <c r="AA1422" s="379" t="s">
        <v>2496</v>
      </c>
      <c r="AB1422" s="380">
        <f t="shared" si="20"/>
        <v>0.70000000000000007</v>
      </c>
    </row>
    <row r="1423" spans="1:28" outlineLevel="2" x14ac:dyDescent="0.3">
      <c r="A1423" s="379">
        <v>432</v>
      </c>
      <c r="B1423" s="379">
        <v>990000</v>
      </c>
      <c r="C1423" s="379" t="s">
        <v>1699</v>
      </c>
      <c r="D1423" s="379">
        <v>6858755</v>
      </c>
      <c r="E1423" s="379" t="s">
        <v>2332</v>
      </c>
      <c r="F1423" s="379" t="s">
        <v>3356</v>
      </c>
      <c r="G1423" s="383">
        <v>31503</v>
      </c>
      <c r="H1423" s="379">
        <v>21767.37</v>
      </c>
      <c r="I1423" s="379"/>
      <c r="J1423" s="379"/>
      <c r="K1423" s="379">
        <v>1632.55</v>
      </c>
      <c r="L1423" s="379"/>
      <c r="M1423" s="379"/>
      <c r="N1423" s="379"/>
      <c r="O1423" s="379">
        <v>720</v>
      </c>
      <c r="P1423" s="379"/>
      <c r="Q1423" s="379"/>
      <c r="R1423" s="379"/>
      <c r="S1423" s="379">
        <v>19039.919999999998</v>
      </c>
      <c r="T1423" s="379">
        <v>1557.45</v>
      </c>
      <c r="U1423" s="379"/>
      <c r="V1423" s="380">
        <v>23399.919999999998</v>
      </c>
      <c r="W1423" s="381">
        <v>5.0999999999999996</v>
      </c>
      <c r="X1423" s="379"/>
      <c r="Y1423" s="379"/>
      <c r="Z1423" s="379">
        <v>9991001</v>
      </c>
      <c r="AA1423" s="379" t="s">
        <v>2496</v>
      </c>
      <c r="AB1423" s="380">
        <f t="shared" si="20"/>
        <v>0.42499999999999999</v>
      </c>
    </row>
    <row r="1424" spans="1:28" outlineLevel="2" x14ac:dyDescent="0.3">
      <c r="A1424" s="379">
        <v>432</v>
      </c>
      <c r="B1424" s="379">
        <v>990000</v>
      </c>
      <c r="C1424" s="379" t="s">
        <v>1699</v>
      </c>
      <c r="D1424" s="379">
        <v>6858800</v>
      </c>
      <c r="E1424" s="379" t="s">
        <v>2332</v>
      </c>
      <c r="F1424" s="379" t="s">
        <v>2366</v>
      </c>
      <c r="G1424" s="383">
        <v>28734</v>
      </c>
      <c r="H1424" s="379">
        <v>27170.09</v>
      </c>
      <c r="I1424" s="379"/>
      <c r="J1424" s="379"/>
      <c r="K1424" s="379">
        <v>2037.75</v>
      </c>
      <c r="L1424" s="379"/>
      <c r="M1424" s="379"/>
      <c r="N1424" s="379"/>
      <c r="O1424" s="379">
        <v>912</v>
      </c>
      <c r="P1424" s="379"/>
      <c r="Q1424" s="379"/>
      <c r="R1424" s="379"/>
      <c r="S1424" s="379">
        <v>23784.09</v>
      </c>
      <c r="T1424" s="379">
        <v>2024</v>
      </c>
      <c r="U1424" s="379"/>
      <c r="V1424" s="380">
        <v>29207.84</v>
      </c>
      <c r="W1424" s="381">
        <v>6.492</v>
      </c>
      <c r="X1424" s="379"/>
      <c r="Y1424" s="379"/>
      <c r="Z1424" s="379">
        <v>9991001</v>
      </c>
      <c r="AA1424" s="379" t="s">
        <v>2496</v>
      </c>
      <c r="AB1424" s="380">
        <f t="shared" si="20"/>
        <v>0.54100000000000004</v>
      </c>
    </row>
    <row r="1425" spans="1:28" outlineLevel="2" x14ac:dyDescent="0.3">
      <c r="A1425" s="379">
        <v>432</v>
      </c>
      <c r="B1425" s="379">
        <v>990000</v>
      </c>
      <c r="C1425" s="379" t="s">
        <v>1699</v>
      </c>
      <c r="D1425" s="379">
        <v>6862821</v>
      </c>
      <c r="E1425" s="379" t="s">
        <v>2436</v>
      </c>
      <c r="F1425" s="379" t="s">
        <v>3431</v>
      </c>
      <c r="G1425" s="383">
        <v>35004</v>
      </c>
      <c r="H1425" s="379">
        <v>26357.86</v>
      </c>
      <c r="I1425" s="379"/>
      <c r="J1425" s="379"/>
      <c r="K1425" s="379">
        <v>33.75</v>
      </c>
      <c r="L1425" s="379"/>
      <c r="M1425" s="379"/>
      <c r="N1425" s="379"/>
      <c r="O1425" s="379"/>
      <c r="P1425" s="379"/>
      <c r="Q1425" s="379"/>
      <c r="R1425" s="379"/>
      <c r="S1425" s="379">
        <v>23935.32</v>
      </c>
      <c r="T1425" s="379">
        <v>1972.54</v>
      </c>
      <c r="U1425" s="379"/>
      <c r="V1425" s="380">
        <v>26391.61</v>
      </c>
      <c r="W1425" s="381">
        <v>3.78</v>
      </c>
      <c r="X1425" s="379"/>
      <c r="Y1425" s="379"/>
      <c r="Z1425" s="379">
        <v>9992001</v>
      </c>
      <c r="AA1425" s="379" t="s">
        <v>2914</v>
      </c>
      <c r="AB1425" s="380">
        <f t="shared" si="20"/>
        <v>0.315</v>
      </c>
    </row>
    <row r="1426" spans="1:28" outlineLevel="2" x14ac:dyDescent="0.3">
      <c r="A1426" s="379">
        <v>432</v>
      </c>
      <c r="B1426" s="379">
        <v>990000</v>
      </c>
      <c r="C1426" s="379" t="s">
        <v>1699</v>
      </c>
      <c r="D1426" s="379">
        <v>6862962</v>
      </c>
      <c r="E1426" s="379" t="s">
        <v>2332</v>
      </c>
      <c r="F1426" s="379" t="s">
        <v>2643</v>
      </c>
      <c r="G1426" s="383">
        <v>26999</v>
      </c>
      <c r="H1426" s="379">
        <v>44914.92</v>
      </c>
      <c r="I1426" s="379"/>
      <c r="J1426" s="379"/>
      <c r="K1426" s="379">
        <v>3368.45</v>
      </c>
      <c r="L1426" s="379"/>
      <c r="M1426" s="379"/>
      <c r="N1426" s="379"/>
      <c r="O1426" s="379">
        <v>1287</v>
      </c>
      <c r="P1426" s="379"/>
      <c r="Q1426" s="379"/>
      <c r="R1426" s="379"/>
      <c r="S1426" s="379">
        <v>38729.800000000003</v>
      </c>
      <c r="T1426" s="379">
        <v>4448.12</v>
      </c>
      <c r="U1426" s="379"/>
      <c r="V1426" s="380">
        <v>48283.37</v>
      </c>
      <c r="W1426" s="381">
        <v>5.49</v>
      </c>
      <c r="X1426" s="379"/>
      <c r="Y1426" s="379"/>
      <c r="Z1426" s="379">
        <v>9991001</v>
      </c>
      <c r="AA1426" s="379" t="s">
        <v>2496</v>
      </c>
      <c r="AB1426" s="380">
        <f t="shared" si="20"/>
        <v>0.45750000000000002</v>
      </c>
    </row>
    <row r="1427" spans="1:28" outlineLevel="2" x14ac:dyDescent="0.3">
      <c r="A1427" s="379">
        <v>432</v>
      </c>
      <c r="B1427" s="379">
        <v>990000</v>
      </c>
      <c r="C1427" s="379" t="s">
        <v>1699</v>
      </c>
      <c r="D1427" s="379">
        <v>6865571</v>
      </c>
      <c r="E1427" s="379" t="s">
        <v>2546</v>
      </c>
      <c r="F1427" s="379" t="s">
        <v>3432</v>
      </c>
      <c r="G1427" s="383">
        <v>27729</v>
      </c>
      <c r="H1427" s="379">
        <v>47965.22</v>
      </c>
      <c r="I1427" s="379"/>
      <c r="J1427" s="379"/>
      <c r="K1427" s="379">
        <v>3597.4</v>
      </c>
      <c r="L1427" s="379"/>
      <c r="M1427" s="379"/>
      <c r="N1427" s="379"/>
      <c r="O1427" s="379">
        <v>1644</v>
      </c>
      <c r="P1427" s="379"/>
      <c r="Q1427" s="379"/>
      <c r="R1427" s="379"/>
      <c r="S1427" s="379">
        <v>42195.07</v>
      </c>
      <c r="T1427" s="379">
        <v>3676.15</v>
      </c>
      <c r="U1427" s="379"/>
      <c r="V1427" s="380">
        <v>51562.62</v>
      </c>
      <c r="W1427" s="381">
        <v>8.4</v>
      </c>
      <c r="X1427" s="379"/>
      <c r="Y1427" s="379"/>
      <c r="Z1427" s="379">
        <v>9991001</v>
      </c>
      <c r="AA1427" s="379" t="s">
        <v>2496</v>
      </c>
      <c r="AB1427" s="380">
        <f t="shared" si="20"/>
        <v>0.70000000000000007</v>
      </c>
    </row>
    <row r="1428" spans="1:28" outlineLevel="2" x14ac:dyDescent="0.3">
      <c r="A1428" s="379">
        <v>432</v>
      </c>
      <c r="B1428" s="379">
        <v>990000</v>
      </c>
      <c r="C1428" s="379" t="s">
        <v>1699</v>
      </c>
      <c r="D1428" s="379">
        <v>6865572</v>
      </c>
      <c r="E1428" s="379" t="s">
        <v>2457</v>
      </c>
      <c r="F1428" s="379" t="s">
        <v>2586</v>
      </c>
      <c r="G1428" s="383">
        <v>28369</v>
      </c>
      <c r="H1428" s="379">
        <v>138251.23000000001</v>
      </c>
      <c r="I1428" s="379"/>
      <c r="J1428" s="379"/>
      <c r="K1428" s="379">
        <v>10368.950000000001</v>
      </c>
      <c r="L1428" s="379"/>
      <c r="M1428" s="379"/>
      <c r="N1428" s="379"/>
      <c r="O1428" s="379"/>
      <c r="P1428" s="379">
        <v>30849</v>
      </c>
      <c r="Q1428" s="379"/>
      <c r="R1428" s="379"/>
      <c r="S1428" s="379">
        <v>101546.13</v>
      </c>
      <c r="T1428" s="379">
        <v>5406.1</v>
      </c>
      <c r="U1428" s="379"/>
      <c r="V1428" s="380">
        <v>148620.18</v>
      </c>
      <c r="W1428" s="381">
        <v>8.4</v>
      </c>
      <c r="X1428" s="379"/>
      <c r="Y1428" s="379"/>
      <c r="Z1428" s="379">
        <v>9991001</v>
      </c>
      <c r="AA1428" s="379" t="s">
        <v>2496</v>
      </c>
      <c r="AB1428" s="380">
        <f t="shared" si="20"/>
        <v>0.70000000000000007</v>
      </c>
    </row>
    <row r="1429" spans="1:28" outlineLevel="2" x14ac:dyDescent="0.3">
      <c r="A1429" s="379">
        <v>432</v>
      </c>
      <c r="B1429" s="379">
        <v>990000</v>
      </c>
      <c r="C1429" s="379" t="s">
        <v>1699</v>
      </c>
      <c r="D1429" s="379">
        <v>6867365</v>
      </c>
      <c r="E1429" s="379" t="s">
        <v>2802</v>
      </c>
      <c r="F1429" s="379" t="s">
        <v>2582</v>
      </c>
      <c r="G1429" s="383">
        <v>41061</v>
      </c>
      <c r="H1429" s="379">
        <v>32868.76</v>
      </c>
      <c r="I1429" s="379"/>
      <c r="J1429" s="379"/>
      <c r="K1429" s="379">
        <v>33.75</v>
      </c>
      <c r="L1429" s="379"/>
      <c r="M1429" s="379"/>
      <c r="N1429" s="379"/>
      <c r="O1429" s="379"/>
      <c r="P1429" s="379"/>
      <c r="Q1429" s="379"/>
      <c r="R1429" s="379"/>
      <c r="S1429" s="379">
        <v>30063.24</v>
      </c>
      <c r="T1429" s="379">
        <v>2355.52</v>
      </c>
      <c r="U1429" s="379"/>
      <c r="V1429" s="380">
        <v>32902.51</v>
      </c>
      <c r="W1429" s="381">
        <v>5.04</v>
      </c>
      <c r="X1429" s="379"/>
      <c r="Y1429" s="379"/>
      <c r="Z1429" s="379">
        <v>9991001</v>
      </c>
      <c r="AA1429" s="379" t="s">
        <v>2496</v>
      </c>
      <c r="AB1429" s="380">
        <f t="shared" si="20"/>
        <v>0.42</v>
      </c>
    </row>
    <row r="1430" spans="1:28" outlineLevel="2" x14ac:dyDescent="0.3">
      <c r="A1430" s="379">
        <v>432</v>
      </c>
      <c r="B1430" s="379">
        <v>990000</v>
      </c>
      <c r="C1430" s="379" t="s">
        <v>1699</v>
      </c>
      <c r="D1430" s="379">
        <v>6895777</v>
      </c>
      <c r="E1430" s="379" t="s">
        <v>3433</v>
      </c>
      <c r="F1430" s="379" t="s">
        <v>2319</v>
      </c>
      <c r="G1430" s="383">
        <v>26238</v>
      </c>
      <c r="H1430" s="379">
        <v>27281.32</v>
      </c>
      <c r="I1430" s="379"/>
      <c r="J1430" s="379"/>
      <c r="K1430" s="379">
        <v>2046.1</v>
      </c>
      <c r="L1430" s="379"/>
      <c r="M1430" s="379"/>
      <c r="N1430" s="379"/>
      <c r="O1430" s="379"/>
      <c r="P1430" s="379"/>
      <c r="Q1430" s="379"/>
      <c r="R1430" s="379"/>
      <c r="S1430" s="379">
        <v>24840</v>
      </c>
      <c r="T1430" s="379">
        <v>1991.32</v>
      </c>
      <c r="U1430" s="379"/>
      <c r="V1430" s="380">
        <v>29327.42</v>
      </c>
      <c r="W1430" s="381">
        <v>3.8159999999999998</v>
      </c>
      <c r="X1430" s="379"/>
      <c r="Y1430" s="379"/>
      <c r="Z1430" s="379">
        <v>5923001</v>
      </c>
      <c r="AA1430" s="379" t="s">
        <v>2354</v>
      </c>
      <c r="AB1430" s="380">
        <f t="shared" si="20"/>
        <v>0.318</v>
      </c>
    </row>
    <row r="1431" spans="1:28" outlineLevel="2" x14ac:dyDescent="0.3">
      <c r="A1431" s="379">
        <v>432</v>
      </c>
      <c r="B1431" s="379">
        <v>990000</v>
      </c>
      <c r="C1431" s="379" t="s">
        <v>1699</v>
      </c>
      <c r="D1431" s="379">
        <v>6907613</v>
      </c>
      <c r="E1431" s="379" t="s">
        <v>3434</v>
      </c>
      <c r="F1431" s="379" t="s">
        <v>3435</v>
      </c>
      <c r="G1431" s="383">
        <v>27303</v>
      </c>
      <c r="H1431" s="379">
        <v>197573.98</v>
      </c>
      <c r="I1431" s="379"/>
      <c r="J1431" s="379"/>
      <c r="K1431" s="379">
        <v>14817.95</v>
      </c>
      <c r="L1431" s="379"/>
      <c r="M1431" s="379"/>
      <c r="N1431" s="379"/>
      <c r="O1431" s="379"/>
      <c r="P1431" s="379">
        <v>44672.28</v>
      </c>
      <c r="Q1431" s="379"/>
      <c r="R1431" s="379"/>
      <c r="S1431" s="379">
        <v>147045.6</v>
      </c>
      <c r="T1431" s="379">
        <v>5406.1</v>
      </c>
      <c r="U1431" s="379"/>
      <c r="V1431" s="380">
        <v>212391.93</v>
      </c>
      <c r="W1431" s="381">
        <v>8.4</v>
      </c>
      <c r="X1431" s="379"/>
      <c r="Y1431" s="379"/>
      <c r="Z1431" s="379">
        <v>9991001</v>
      </c>
      <c r="AA1431" s="379" t="s">
        <v>2496</v>
      </c>
      <c r="AB1431" s="380">
        <f t="shared" si="20"/>
        <v>0.70000000000000007</v>
      </c>
    </row>
    <row r="1432" spans="1:28" outlineLevel="2" x14ac:dyDescent="0.3">
      <c r="A1432" s="379">
        <v>432</v>
      </c>
      <c r="B1432" s="379">
        <v>990000</v>
      </c>
      <c r="C1432" s="379" t="s">
        <v>1699</v>
      </c>
      <c r="D1432" s="379">
        <v>6908523</v>
      </c>
      <c r="E1432" s="379" t="s">
        <v>2340</v>
      </c>
      <c r="F1432" s="379" t="s">
        <v>2707</v>
      </c>
      <c r="G1432" s="383">
        <v>27485</v>
      </c>
      <c r="H1432" s="379">
        <v>24929.87</v>
      </c>
      <c r="I1432" s="379"/>
      <c r="J1432" s="379"/>
      <c r="K1432" s="379">
        <v>1869.7</v>
      </c>
      <c r="L1432" s="379"/>
      <c r="M1432" s="379"/>
      <c r="N1432" s="379"/>
      <c r="O1432" s="379"/>
      <c r="P1432" s="379"/>
      <c r="Q1432" s="379"/>
      <c r="R1432" s="379"/>
      <c r="S1432" s="379">
        <v>22736.400000000001</v>
      </c>
      <c r="T1432" s="379">
        <v>1743.47</v>
      </c>
      <c r="U1432" s="379"/>
      <c r="V1432" s="380">
        <v>26799.57</v>
      </c>
      <c r="W1432" s="381">
        <v>3.5880000000000001</v>
      </c>
      <c r="X1432" s="379"/>
      <c r="Y1432" s="379"/>
      <c r="Z1432" s="379">
        <v>5923001</v>
      </c>
      <c r="AA1432" s="379" t="s">
        <v>2354</v>
      </c>
      <c r="AB1432" s="380">
        <f t="shared" si="20"/>
        <v>0.29899999999999999</v>
      </c>
    </row>
    <row r="1433" spans="1:28" outlineLevel="2" x14ac:dyDescent="0.3">
      <c r="A1433" s="379">
        <v>432</v>
      </c>
      <c r="B1433" s="379">
        <v>990000</v>
      </c>
      <c r="C1433" s="379" t="s">
        <v>1699</v>
      </c>
      <c r="D1433" s="379">
        <v>6909407</v>
      </c>
      <c r="E1433" s="379" t="s">
        <v>2653</v>
      </c>
      <c r="F1433" s="379" t="s">
        <v>2654</v>
      </c>
      <c r="G1433" s="383">
        <v>29830</v>
      </c>
      <c r="H1433" s="379">
        <v>24070.01</v>
      </c>
      <c r="I1433" s="379"/>
      <c r="J1433" s="379"/>
      <c r="K1433" s="379">
        <v>1805.27</v>
      </c>
      <c r="L1433" s="379"/>
      <c r="M1433" s="379"/>
      <c r="N1433" s="379"/>
      <c r="O1433" s="379"/>
      <c r="P1433" s="379"/>
      <c r="Q1433" s="379"/>
      <c r="R1433" s="379"/>
      <c r="S1433" s="379">
        <v>24070.01</v>
      </c>
      <c r="T1433" s="379"/>
      <c r="U1433" s="379"/>
      <c r="V1433" s="380">
        <v>25875.279999999999</v>
      </c>
      <c r="W1433" s="381">
        <v>2.8</v>
      </c>
      <c r="X1433" s="379"/>
      <c r="Y1433" s="379"/>
      <c r="Z1433" s="379">
        <v>5821001</v>
      </c>
      <c r="AA1433" s="379" t="s">
        <v>2427</v>
      </c>
      <c r="AB1433" s="380">
        <f t="shared" si="20"/>
        <v>0.23333333333333331</v>
      </c>
    </row>
    <row r="1434" spans="1:28" outlineLevel="2" x14ac:dyDescent="0.3">
      <c r="A1434" s="379">
        <v>432</v>
      </c>
      <c r="B1434" s="379">
        <v>990000</v>
      </c>
      <c r="C1434" s="379" t="s">
        <v>1699</v>
      </c>
      <c r="D1434" s="379">
        <v>6934684</v>
      </c>
      <c r="E1434" s="379" t="s">
        <v>3436</v>
      </c>
      <c r="F1434" s="379" t="s">
        <v>3437</v>
      </c>
      <c r="G1434" s="383">
        <v>35977</v>
      </c>
      <c r="H1434" s="379">
        <v>29990.41</v>
      </c>
      <c r="I1434" s="379"/>
      <c r="J1434" s="379"/>
      <c r="K1434" s="379">
        <v>33.75</v>
      </c>
      <c r="L1434" s="379"/>
      <c r="M1434" s="379"/>
      <c r="N1434" s="379"/>
      <c r="O1434" s="379"/>
      <c r="P1434" s="379">
        <v>3423.6</v>
      </c>
      <c r="Q1434" s="379"/>
      <c r="R1434" s="379"/>
      <c r="S1434" s="379">
        <v>23799.91</v>
      </c>
      <c r="T1434" s="379">
        <v>2316.9</v>
      </c>
      <c r="U1434" s="379"/>
      <c r="V1434" s="380">
        <v>30024.16</v>
      </c>
      <c r="W1434" s="381">
        <v>3.6</v>
      </c>
      <c r="X1434" s="379"/>
      <c r="Y1434" s="379"/>
      <c r="Z1434" s="379">
        <v>9992001</v>
      </c>
      <c r="AA1434" s="379" t="s">
        <v>2914</v>
      </c>
      <c r="AB1434" s="380">
        <f t="shared" si="20"/>
        <v>0.3</v>
      </c>
    </row>
    <row r="1435" spans="1:28" outlineLevel="2" x14ac:dyDescent="0.3">
      <c r="A1435" s="379">
        <v>432</v>
      </c>
      <c r="B1435" s="379">
        <v>990000</v>
      </c>
      <c r="C1435" s="379" t="s">
        <v>1699</v>
      </c>
      <c r="D1435" s="379">
        <v>6943153</v>
      </c>
      <c r="E1435" s="379" t="s">
        <v>3438</v>
      </c>
      <c r="F1435" s="379" t="s">
        <v>2885</v>
      </c>
      <c r="G1435" s="383">
        <v>27273</v>
      </c>
      <c r="H1435" s="379">
        <v>33536.620000000003</v>
      </c>
      <c r="I1435" s="379"/>
      <c r="J1435" s="379"/>
      <c r="K1435" s="379">
        <v>2515.4499999999998</v>
      </c>
      <c r="L1435" s="379"/>
      <c r="M1435" s="379"/>
      <c r="N1435" s="379"/>
      <c r="O1435" s="379"/>
      <c r="P1435" s="379"/>
      <c r="Q1435" s="379"/>
      <c r="R1435" s="379"/>
      <c r="S1435" s="379">
        <v>30700.799999999999</v>
      </c>
      <c r="T1435" s="379">
        <v>2385.8200000000002</v>
      </c>
      <c r="U1435" s="379"/>
      <c r="V1435" s="380">
        <v>36052.07</v>
      </c>
      <c r="W1435" s="381">
        <v>4.5720000000000001</v>
      </c>
      <c r="X1435" s="379"/>
      <c r="Y1435" s="379"/>
      <c r="Z1435" s="379">
        <v>5921001</v>
      </c>
      <c r="AA1435" s="379" t="s">
        <v>2374</v>
      </c>
      <c r="AB1435" s="380">
        <f t="shared" si="20"/>
        <v>0.38100000000000001</v>
      </c>
    </row>
    <row r="1436" spans="1:28" outlineLevel="2" x14ac:dyDescent="0.3">
      <c r="A1436" s="379">
        <v>432</v>
      </c>
      <c r="B1436" s="379">
        <v>990000</v>
      </c>
      <c r="C1436" s="379" t="s">
        <v>1699</v>
      </c>
      <c r="D1436" s="379">
        <v>6953659</v>
      </c>
      <c r="E1436" s="379" t="s">
        <v>2457</v>
      </c>
      <c r="F1436" s="379" t="s">
        <v>2285</v>
      </c>
      <c r="G1436" s="383">
        <v>31717</v>
      </c>
      <c r="H1436" s="379">
        <v>47378.37</v>
      </c>
      <c r="I1436" s="379"/>
      <c r="J1436" s="379"/>
      <c r="K1436" s="379">
        <v>3553.45</v>
      </c>
      <c r="L1436" s="379"/>
      <c r="M1436" s="379"/>
      <c r="N1436" s="379"/>
      <c r="O1436" s="379"/>
      <c r="P1436" s="379"/>
      <c r="Q1436" s="379"/>
      <c r="R1436" s="379"/>
      <c r="S1436" s="379">
        <v>42989.64</v>
      </c>
      <c r="T1436" s="379">
        <v>3938.73</v>
      </c>
      <c r="U1436" s="379"/>
      <c r="V1436" s="380">
        <v>50931.82</v>
      </c>
      <c r="W1436" s="381">
        <v>6.12</v>
      </c>
      <c r="X1436" s="379"/>
      <c r="Y1436" s="379"/>
      <c r="Z1436" s="379">
        <v>9991001</v>
      </c>
      <c r="AA1436" s="379" t="s">
        <v>2496</v>
      </c>
      <c r="AB1436" s="380">
        <f t="shared" si="20"/>
        <v>0.51</v>
      </c>
    </row>
    <row r="1437" spans="1:28" outlineLevel="2" x14ac:dyDescent="0.3">
      <c r="A1437" s="379">
        <v>432</v>
      </c>
      <c r="B1437" s="379">
        <v>990000</v>
      </c>
      <c r="C1437" s="379" t="s">
        <v>1699</v>
      </c>
      <c r="D1437" s="379">
        <v>6971233</v>
      </c>
      <c r="E1437" s="379" t="s">
        <v>3439</v>
      </c>
      <c r="F1437" s="379" t="s">
        <v>3355</v>
      </c>
      <c r="G1437" s="383">
        <v>30286</v>
      </c>
      <c r="H1437" s="379">
        <v>21109.68</v>
      </c>
      <c r="I1437" s="379"/>
      <c r="J1437" s="379"/>
      <c r="K1437" s="379">
        <v>1583.3</v>
      </c>
      <c r="L1437" s="379"/>
      <c r="M1437" s="379"/>
      <c r="N1437" s="379"/>
      <c r="O1437" s="379"/>
      <c r="P1437" s="379"/>
      <c r="Q1437" s="379"/>
      <c r="R1437" s="379"/>
      <c r="S1437" s="379">
        <v>19670.28</v>
      </c>
      <c r="T1437" s="379">
        <v>989.4</v>
      </c>
      <c r="U1437" s="379"/>
      <c r="V1437" s="380">
        <v>22692.98</v>
      </c>
      <c r="W1437" s="381">
        <v>4.1399999999999997</v>
      </c>
      <c r="X1437" s="379"/>
      <c r="Y1437" s="379"/>
      <c r="Z1437" s="379">
        <v>9991001</v>
      </c>
      <c r="AA1437" s="379" t="s">
        <v>2496</v>
      </c>
      <c r="AB1437" s="380">
        <f t="shared" si="20"/>
        <v>0.34499999999999997</v>
      </c>
    </row>
    <row r="1438" spans="1:28" outlineLevel="2" x14ac:dyDescent="0.3">
      <c r="A1438" s="379">
        <v>432</v>
      </c>
      <c r="B1438" s="379">
        <v>990000</v>
      </c>
      <c r="C1438" s="379" t="s">
        <v>1699</v>
      </c>
      <c r="D1438" s="379">
        <v>6981880</v>
      </c>
      <c r="E1438" s="379" t="s">
        <v>3440</v>
      </c>
      <c r="F1438" s="379" t="s">
        <v>3441</v>
      </c>
      <c r="G1438" s="383">
        <v>32874</v>
      </c>
      <c r="H1438" s="379">
        <v>11733.35</v>
      </c>
      <c r="I1438" s="379"/>
      <c r="J1438" s="379"/>
      <c r="K1438" s="379">
        <v>880</v>
      </c>
      <c r="L1438" s="379"/>
      <c r="M1438" s="379"/>
      <c r="N1438" s="379"/>
      <c r="O1438" s="379"/>
      <c r="P1438" s="379"/>
      <c r="Q1438" s="379"/>
      <c r="R1438" s="379"/>
      <c r="S1438" s="379">
        <v>10496.16</v>
      </c>
      <c r="T1438" s="379">
        <v>787.19</v>
      </c>
      <c r="U1438" s="379"/>
      <c r="V1438" s="380">
        <v>12613.35</v>
      </c>
      <c r="W1438" s="381">
        <v>3.24</v>
      </c>
      <c r="X1438" s="379"/>
      <c r="Y1438" s="379"/>
      <c r="Z1438" s="379">
        <v>9991001</v>
      </c>
      <c r="AA1438" s="379" t="s">
        <v>2496</v>
      </c>
      <c r="AB1438" s="380">
        <f t="shared" si="20"/>
        <v>0.27</v>
      </c>
    </row>
    <row r="1439" spans="1:28" outlineLevel="2" x14ac:dyDescent="0.3">
      <c r="A1439" s="379">
        <v>432</v>
      </c>
      <c r="B1439" s="379">
        <v>990000</v>
      </c>
      <c r="C1439" s="379" t="s">
        <v>1699</v>
      </c>
      <c r="D1439" s="379">
        <v>6994008</v>
      </c>
      <c r="E1439" s="379" t="s">
        <v>2332</v>
      </c>
      <c r="F1439" s="379" t="s">
        <v>2478</v>
      </c>
      <c r="G1439" s="383">
        <v>35916</v>
      </c>
      <c r="H1439" s="379">
        <v>345191.4</v>
      </c>
      <c r="I1439" s="379"/>
      <c r="J1439" s="379"/>
      <c r="K1439" s="379">
        <v>25889.3</v>
      </c>
      <c r="L1439" s="379"/>
      <c r="M1439" s="379"/>
      <c r="N1439" s="379"/>
      <c r="O1439" s="379"/>
      <c r="P1439" s="379"/>
      <c r="Q1439" s="379"/>
      <c r="R1439" s="379"/>
      <c r="S1439" s="379">
        <v>344741.4</v>
      </c>
      <c r="T1439" s="379"/>
      <c r="U1439" s="379"/>
      <c r="V1439" s="380">
        <v>371080.7</v>
      </c>
      <c r="W1439" s="381">
        <v>8.4</v>
      </c>
      <c r="X1439" s="379"/>
      <c r="Y1439" s="379"/>
      <c r="Z1439" s="379">
        <v>9991001</v>
      </c>
      <c r="AA1439" s="379" t="s">
        <v>2496</v>
      </c>
      <c r="AB1439" s="380">
        <f t="shared" si="20"/>
        <v>0.70000000000000007</v>
      </c>
    </row>
    <row r="1440" spans="1:28" outlineLevel="2" x14ac:dyDescent="0.3">
      <c r="A1440" s="379">
        <v>432</v>
      </c>
      <c r="B1440" s="379">
        <v>990000</v>
      </c>
      <c r="C1440" s="379" t="s">
        <v>1699</v>
      </c>
      <c r="D1440" s="379">
        <v>7104534</v>
      </c>
      <c r="E1440" s="379" t="s">
        <v>2345</v>
      </c>
      <c r="F1440" s="379" t="s">
        <v>3319</v>
      </c>
      <c r="G1440" s="383">
        <v>26604</v>
      </c>
      <c r="H1440" s="379">
        <v>130835.73</v>
      </c>
      <c r="I1440" s="379"/>
      <c r="J1440" s="379"/>
      <c r="K1440" s="379">
        <v>9812.65</v>
      </c>
      <c r="L1440" s="379"/>
      <c r="M1440" s="379"/>
      <c r="N1440" s="379"/>
      <c r="O1440" s="379"/>
      <c r="P1440" s="379">
        <v>23998.799999999999</v>
      </c>
      <c r="Q1440" s="379"/>
      <c r="R1440" s="379"/>
      <c r="S1440" s="379">
        <v>100980.83</v>
      </c>
      <c r="T1440" s="379">
        <v>5406.1</v>
      </c>
      <c r="U1440" s="379"/>
      <c r="V1440" s="380">
        <v>140648.38</v>
      </c>
      <c r="W1440" s="381">
        <v>8.4</v>
      </c>
      <c r="X1440" s="379"/>
      <c r="Y1440" s="379"/>
      <c r="Z1440" s="379">
        <v>9991001</v>
      </c>
      <c r="AA1440" s="379" t="s">
        <v>2496</v>
      </c>
      <c r="AB1440" s="380">
        <f t="shared" si="20"/>
        <v>0.70000000000000007</v>
      </c>
    </row>
    <row r="1441" spans="1:28" outlineLevel="2" x14ac:dyDescent="0.3">
      <c r="A1441" s="379">
        <v>432</v>
      </c>
      <c r="B1441" s="379">
        <v>990000</v>
      </c>
      <c r="C1441" s="379" t="s">
        <v>1699</v>
      </c>
      <c r="D1441" s="379">
        <v>7143643</v>
      </c>
      <c r="E1441" s="379" t="s">
        <v>3442</v>
      </c>
      <c r="F1441" s="379" t="s">
        <v>2376</v>
      </c>
      <c r="G1441" s="383">
        <v>25659</v>
      </c>
      <c r="H1441" s="379">
        <v>66750.899999999994</v>
      </c>
      <c r="I1441" s="379"/>
      <c r="J1441" s="379"/>
      <c r="K1441" s="379">
        <v>5006.3999999999996</v>
      </c>
      <c r="L1441" s="379"/>
      <c r="M1441" s="379"/>
      <c r="N1441" s="379"/>
      <c r="O1441" s="379"/>
      <c r="P1441" s="379"/>
      <c r="Q1441" s="379"/>
      <c r="R1441" s="379"/>
      <c r="S1441" s="379">
        <v>60894.8</v>
      </c>
      <c r="T1441" s="379">
        <v>5406.1</v>
      </c>
      <c r="U1441" s="379"/>
      <c r="V1441" s="380">
        <v>71757.3</v>
      </c>
      <c r="W1441" s="381">
        <v>8.4</v>
      </c>
      <c r="X1441" s="379"/>
      <c r="Y1441" s="379"/>
      <c r="Z1441" s="379">
        <v>9991001</v>
      </c>
      <c r="AA1441" s="379" t="s">
        <v>2496</v>
      </c>
      <c r="AB1441" s="380">
        <f t="shared" si="20"/>
        <v>0.70000000000000007</v>
      </c>
    </row>
    <row r="1442" spans="1:28" outlineLevel="2" x14ac:dyDescent="0.3">
      <c r="A1442" s="379">
        <v>432</v>
      </c>
      <c r="B1442" s="379">
        <v>990000</v>
      </c>
      <c r="C1442" s="379" t="s">
        <v>1699</v>
      </c>
      <c r="D1442" s="379">
        <v>7155434</v>
      </c>
      <c r="E1442" s="379" t="s">
        <v>3349</v>
      </c>
      <c r="F1442" s="379" t="s">
        <v>3226</v>
      </c>
      <c r="G1442" s="383">
        <v>29099</v>
      </c>
      <c r="H1442" s="379">
        <v>58154.66</v>
      </c>
      <c r="I1442" s="379"/>
      <c r="J1442" s="379"/>
      <c r="K1442" s="379">
        <v>4361.3999999999996</v>
      </c>
      <c r="L1442" s="379"/>
      <c r="M1442" s="379"/>
      <c r="N1442" s="379"/>
      <c r="O1442" s="379">
        <v>1860</v>
      </c>
      <c r="P1442" s="379"/>
      <c r="Q1442" s="379"/>
      <c r="R1442" s="379"/>
      <c r="S1442" s="379">
        <v>51666.52</v>
      </c>
      <c r="T1442" s="379">
        <v>4178.1400000000003</v>
      </c>
      <c r="U1442" s="379"/>
      <c r="V1442" s="380">
        <v>62516.06</v>
      </c>
      <c r="W1442" s="381">
        <v>7.3559999999999999</v>
      </c>
      <c r="X1442" s="379"/>
      <c r="Y1442" s="379"/>
      <c r="Z1442" s="379">
        <v>9991001</v>
      </c>
      <c r="AA1442" s="379" t="s">
        <v>2496</v>
      </c>
      <c r="AB1442" s="380">
        <f t="shared" ref="AB1442:AB1505" si="21">W1442/12</f>
        <v>0.61299999999999999</v>
      </c>
    </row>
    <row r="1443" spans="1:28" outlineLevel="2" x14ac:dyDescent="0.3">
      <c r="A1443" s="379">
        <v>432</v>
      </c>
      <c r="B1443" s="379">
        <v>990000</v>
      </c>
      <c r="C1443" s="379" t="s">
        <v>1699</v>
      </c>
      <c r="D1443" s="379">
        <v>7170816</v>
      </c>
      <c r="E1443" s="379" t="s">
        <v>3443</v>
      </c>
      <c r="F1443" s="379" t="s">
        <v>3444</v>
      </c>
      <c r="G1443" s="383">
        <v>28795</v>
      </c>
      <c r="H1443" s="379">
        <v>110493.15</v>
      </c>
      <c r="I1443" s="379"/>
      <c r="J1443" s="379"/>
      <c r="K1443" s="379">
        <v>8287.0499999999993</v>
      </c>
      <c r="L1443" s="379"/>
      <c r="M1443" s="379"/>
      <c r="N1443" s="379"/>
      <c r="O1443" s="379"/>
      <c r="P1443" s="379">
        <v>20088</v>
      </c>
      <c r="Q1443" s="379"/>
      <c r="R1443" s="379"/>
      <c r="S1443" s="379">
        <v>84703.51</v>
      </c>
      <c r="T1443" s="379">
        <v>5251.64</v>
      </c>
      <c r="U1443" s="379"/>
      <c r="V1443" s="380">
        <v>118780.2</v>
      </c>
      <c r="W1443" s="381">
        <v>8.16</v>
      </c>
      <c r="X1443" s="379"/>
      <c r="Y1443" s="379"/>
      <c r="Z1443" s="379">
        <v>9991001</v>
      </c>
      <c r="AA1443" s="379" t="s">
        <v>2496</v>
      </c>
      <c r="AB1443" s="380">
        <f t="shared" si="21"/>
        <v>0.68</v>
      </c>
    </row>
    <row r="1444" spans="1:28" outlineLevel="2" x14ac:dyDescent="0.3">
      <c r="A1444" s="379">
        <v>432</v>
      </c>
      <c r="B1444" s="379">
        <v>990000</v>
      </c>
      <c r="C1444" s="379" t="s">
        <v>1699</v>
      </c>
      <c r="D1444" s="379">
        <v>7183084</v>
      </c>
      <c r="E1444" s="379" t="s">
        <v>3445</v>
      </c>
      <c r="F1444" s="379" t="s">
        <v>2895</v>
      </c>
      <c r="G1444" s="383">
        <v>27760</v>
      </c>
      <c r="H1444" s="379">
        <v>23177.94</v>
      </c>
      <c r="I1444" s="379"/>
      <c r="J1444" s="379"/>
      <c r="K1444" s="379">
        <v>1738.2</v>
      </c>
      <c r="L1444" s="379"/>
      <c r="M1444" s="379"/>
      <c r="N1444" s="379"/>
      <c r="O1444" s="379"/>
      <c r="P1444" s="379"/>
      <c r="Q1444" s="379"/>
      <c r="R1444" s="379"/>
      <c r="S1444" s="379">
        <v>21106.92</v>
      </c>
      <c r="T1444" s="379">
        <v>1621.02</v>
      </c>
      <c r="U1444" s="379"/>
      <c r="V1444" s="380">
        <v>24916.14</v>
      </c>
      <c r="W1444" s="381">
        <v>3.3359999999999999</v>
      </c>
      <c r="X1444" s="379"/>
      <c r="Y1444" s="379"/>
      <c r="Z1444" s="379">
        <v>9991001</v>
      </c>
      <c r="AA1444" s="379" t="s">
        <v>2496</v>
      </c>
      <c r="AB1444" s="380">
        <f t="shared" si="21"/>
        <v>0.27799999999999997</v>
      </c>
    </row>
    <row r="1445" spans="1:28" outlineLevel="2" x14ac:dyDescent="0.3">
      <c r="A1445" s="379">
        <v>432</v>
      </c>
      <c r="B1445" s="379">
        <v>990000</v>
      </c>
      <c r="C1445" s="379" t="s">
        <v>1699</v>
      </c>
      <c r="D1445" s="379">
        <v>7183734</v>
      </c>
      <c r="E1445" s="379" t="s">
        <v>3446</v>
      </c>
      <c r="F1445" s="379" t="s">
        <v>3447</v>
      </c>
      <c r="G1445" s="383">
        <v>35521</v>
      </c>
      <c r="H1445" s="379">
        <v>29474.34</v>
      </c>
      <c r="I1445" s="379"/>
      <c r="J1445" s="379"/>
      <c r="K1445" s="379">
        <v>2210.4499999999998</v>
      </c>
      <c r="L1445" s="379"/>
      <c r="M1445" s="379"/>
      <c r="N1445" s="379"/>
      <c r="O1445" s="379"/>
      <c r="P1445" s="379"/>
      <c r="Q1445" s="379"/>
      <c r="R1445" s="379"/>
      <c r="S1445" s="379">
        <v>26554.38</v>
      </c>
      <c r="T1445" s="379">
        <v>2469.96</v>
      </c>
      <c r="U1445" s="379"/>
      <c r="V1445" s="380">
        <v>31684.79</v>
      </c>
      <c r="W1445" s="381">
        <v>4.32</v>
      </c>
      <c r="X1445" s="379"/>
      <c r="Y1445" s="379"/>
      <c r="Z1445" s="379">
        <v>9991001</v>
      </c>
      <c r="AA1445" s="379" t="s">
        <v>2496</v>
      </c>
      <c r="AB1445" s="380">
        <f t="shared" si="21"/>
        <v>0.36000000000000004</v>
      </c>
    </row>
    <row r="1446" spans="1:28" outlineLevel="2" x14ac:dyDescent="0.3">
      <c r="A1446" s="379">
        <v>432</v>
      </c>
      <c r="B1446" s="379">
        <v>990000</v>
      </c>
      <c r="C1446" s="379" t="s">
        <v>1699</v>
      </c>
      <c r="D1446" s="379">
        <v>7185006</v>
      </c>
      <c r="E1446" s="379" t="s">
        <v>2674</v>
      </c>
      <c r="F1446" s="379" t="s">
        <v>2376</v>
      </c>
      <c r="G1446" s="383">
        <v>31656</v>
      </c>
      <c r="H1446" s="379">
        <v>47420.33</v>
      </c>
      <c r="I1446" s="379"/>
      <c r="J1446" s="379"/>
      <c r="K1446" s="379">
        <v>1369.5</v>
      </c>
      <c r="L1446" s="379"/>
      <c r="M1446" s="379"/>
      <c r="N1446" s="379"/>
      <c r="O1446" s="379"/>
      <c r="P1446" s="379"/>
      <c r="Q1446" s="379"/>
      <c r="R1446" s="379"/>
      <c r="S1446" s="379">
        <v>42997.23</v>
      </c>
      <c r="T1446" s="379">
        <v>3973.1</v>
      </c>
      <c r="U1446" s="379"/>
      <c r="V1446" s="380">
        <v>48789.83</v>
      </c>
      <c r="W1446" s="381">
        <v>10.199999999999999</v>
      </c>
      <c r="X1446" s="379"/>
      <c r="Y1446" s="379"/>
      <c r="Z1446" s="379">
        <v>9991001</v>
      </c>
      <c r="AA1446" s="379" t="s">
        <v>2496</v>
      </c>
      <c r="AB1446" s="380">
        <f t="shared" si="21"/>
        <v>0.85</v>
      </c>
    </row>
    <row r="1447" spans="1:28" outlineLevel="2" x14ac:dyDescent="0.3">
      <c r="A1447" s="379">
        <v>432</v>
      </c>
      <c r="B1447" s="379">
        <v>990000</v>
      </c>
      <c r="C1447" s="379" t="s">
        <v>1699</v>
      </c>
      <c r="D1447" s="379">
        <v>7186414</v>
      </c>
      <c r="E1447" s="379" t="s">
        <v>2323</v>
      </c>
      <c r="F1447" s="379" t="s">
        <v>2434</v>
      </c>
      <c r="G1447" s="383">
        <v>32295</v>
      </c>
      <c r="H1447" s="379">
        <v>27166.14</v>
      </c>
      <c r="I1447" s="379"/>
      <c r="J1447" s="379"/>
      <c r="K1447" s="379">
        <v>2037.55</v>
      </c>
      <c r="L1447" s="379"/>
      <c r="M1447" s="379"/>
      <c r="N1447" s="379"/>
      <c r="O1447" s="379"/>
      <c r="P1447" s="379"/>
      <c r="Q1447" s="379"/>
      <c r="R1447" s="379"/>
      <c r="S1447" s="379">
        <v>24251.439999999999</v>
      </c>
      <c r="T1447" s="379">
        <v>2464.6999999999998</v>
      </c>
      <c r="U1447" s="379"/>
      <c r="V1447" s="380">
        <v>29203.69</v>
      </c>
      <c r="W1447" s="381">
        <v>5.76</v>
      </c>
      <c r="X1447" s="379"/>
      <c r="Y1447" s="379"/>
      <c r="Z1447" s="379">
        <v>9991001</v>
      </c>
      <c r="AA1447" s="379" t="s">
        <v>2496</v>
      </c>
      <c r="AB1447" s="380">
        <f t="shared" si="21"/>
        <v>0.48</v>
      </c>
    </row>
    <row r="1448" spans="1:28" outlineLevel="2" x14ac:dyDescent="0.3">
      <c r="A1448" s="379">
        <v>432</v>
      </c>
      <c r="B1448" s="379">
        <v>990000</v>
      </c>
      <c r="C1448" s="379" t="s">
        <v>1699</v>
      </c>
      <c r="D1448" s="379">
        <v>7210893</v>
      </c>
      <c r="E1448" s="379" t="s">
        <v>2580</v>
      </c>
      <c r="F1448" s="379" t="s">
        <v>2363</v>
      </c>
      <c r="G1448" s="383">
        <v>28185</v>
      </c>
      <c r="H1448" s="379">
        <v>75006.98</v>
      </c>
      <c r="I1448" s="379"/>
      <c r="J1448" s="379"/>
      <c r="K1448" s="379">
        <v>5625.4</v>
      </c>
      <c r="L1448" s="379"/>
      <c r="M1448" s="379"/>
      <c r="N1448" s="379"/>
      <c r="O1448" s="379"/>
      <c r="P1448" s="379"/>
      <c r="Q1448" s="379"/>
      <c r="R1448" s="379"/>
      <c r="S1448" s="379">
        <v>69744.259999999995</v>
      </c>
      <c r="T1448" s="379">
        <v>4812.72</v>
      </c>
      <c r="U1448" s="379"/>
      <c r="V1448" s="380">
        <v>80632.38</v>
      </c>
      <c r="W1448" s="381">
        <v>7.92</v>
      </c>
      <c r="X1448" s="379"/>
      <c r="Y1448" s="379"/>
      <c r="Z1448" s="379">
        <v>9991001</v>
      </c>
      <c r="AA1448" s="379" t="s">
        <v>2496</v>
      </c>
      <c r="AB1448" s="380">
        <f t="shared" si="21"/>
        <v>0.66</v>
      </c>
    </row>
    <row r="1449" spans="1:28" outlineLevel="2" x14ac:dyDescent="0.3">
      <c r="A1449" s="379">
        <v>432</v>
      </c>
      <c r="B1449" s="379">
        <v>990000</v>
      </c>
      <c r="C1449" s="379" t="s">
        <v>1699</v>
      </c>
      <c r="D1449" s="379">
        <v>7225863</v>
      </c>
      <c r="E1449" s="379" t="s">
        <v>2521</v>
      </c>
      <c r="F1449" s="379" t="s">
        <v>3332</v>
      </c>
      <c r="G1449" s="383">
        <v>27546</v>
      </c>
      <c r="H1449" s="379">
        <v>61545.9</v>
      </c>
      <c r="I1449" s="379"/>
      <c r="J1449" s="379"/>
      <c r="K1449" s="379">
        <v>4615.75</v>
      </c>
      <c r="L1449" s="379"/>
      <c r="M1449" s="379"/>
      <c r="N1449" s="379"/>
      <c r="O1449" s="379">
        <v>1980</v>
      </c>
      <c r="P1449" s="379"/>
      <c r="Q1449" s="379"/>
      <c r="R1449" s="379"/>
      <c r="S1449" s="379">
        <v>54470.9</v>
      </c>
      <c r="T1449" s="379">
        <v>4645</v>
      </c>
      <c r="U1449" s="379"/>
      <c r="V1449" s="380">
        <v>66161.649999999994</v>
      </c>
      <c r="W1449" s="381">
        <v>8.2200000000000006</v>
      </c>
      <c r="X1449" s="379"/>
      <c r="Y1449" s="379"/>
      <c r="Z1449" s="379">
        <v>9991001</v>
      </c>
      <c r="AA1449" s="379" t="s">
        <v>2496</v>
      </c>
      <c r="AB1449" s="380">
        <f t="shared" si="21"/>
        <v>0.68500000000000005</v>
      </c>
    </row>
    <row r="1450" spans="1:28" outlineLevel="2" x14ac:dyDescent="0.3">
      <c r="A1450" s="379">
        <v>432</v>
      </c>
      <c r="B1450" s="379">
        <v>990000</v>
      </c>
      <c r="C1450" s="379" t="s">
        <v>1699</v>
      </c>
      <c r="D1450" s="379">
        <v>7270994</v>
      </c>
      <c r="E1450" s="379" t="s">
        <v>3448</v>
      </c>
      <c r="F1450" s="379" t="s">
        <v>2958</v>
      </c>
      <c r="G1450" s="383">
        <v>25477</v>
      </c>
      <c r="H1450" s="379">
        <v>130545.06</v>
      </c>
      <c r="I1450" s="379"/>
      <c r="J1450" s="379"/>
      <c r="K1450" s="379">
        <v>9791</v>
      </c>
      <c r="L1450" s="379"/>
      <c r="M1450" s="379"/>
      <c r="N1450" s="379"/>
      <c r="O1450" s="379"/>
      <c r="P1450" s="379">
        <v>13605.36</v>
      </c>
      <c r="Q1450" s="379"/>
      <c r="R1450" s="379"/>
      <c r="S1450" s="379">
        <v>111687</v>
      </c>
      <c r="T1450" s="379">
        <v>4802.7</v>
      </c>
      <c r="U1450" s="379"/>
      <c r="V1450" s="380">
        <v>140336.06</v>
      </c>
      <c r="W1450" s="381">
        <v>8.4</v>
      </c>
      <c r="X1450" s="379"/>
      <c r="Y1450" s="379"/>
      <c r="Z1450" s="379">
        <v>9991001</v>
      </c>
      <c r="AA1450" s="379" t="s">
        <v>2496</v>
      </c>
      <c r="AB1450" s="380">
        <f t="shared" si="21"/>
        <v>0.70000000000000007</v>
      </c>
    </row>
    <row r="1451" spans="1:28" outlineLevel="2" x14ac:dyDescent="0.3">
      <c r="A1451" s="379">
        <v>432</v>
      </c>
      <c r="B1451" s="379">
        <v>990000</v>
      </c>
      <c r="C1451" s="379" t="s">
        <v>1699</v>
      </c>
      <c r="D1451" s="379">
        <v>7290673</v>
      </c>
      <c r="E1451" s="379" t="s">
        <v>3045</v>
      </c>
      <c r="F1451" s="379" t="s">
        <v>3449</v>
      </c>
      <c r="G1451" s="383">
        <v>34578</v>
      </c>
      <c r="H1451" s="379">
        <v>32382.7</v>
      </c>
      <c r="I1451" s="379"/>
      <c r="J1451" s="379"/>
      <c r="K1451" s="379">
        <v>2428.5</v>
      </c>
      <c r="L1451" s="379"/>
      <c r="M1451" s="379"/>
      <c r="N1451" s="379"/>
      <c r="O1451" s="379"/>
      <c r="P1451" s="379"/>
      <c r="Q1451" s="379"/>
      <c r="R1451" s="379"/>
      <c r="S1451" s="379">
        <v>29482.59</v>
      </c>
      <c r="T1451" s="379">
        <v>2450.11</v>
      </c>
      <c r="U1451" s="379"/>
      <c r="V1451" s="380">
        <v>34811.199999999997</v>
      </c>
      <c r="W1451" s="381">
        <v>5.04</v>
      </c>
      <c r="X1451" s="379"/>
      <c r="Y1451" s="379"/>
      <c r="Z1451" s="379">
        <v>9991001</v>
      </c>
      <c r="AA1451" s="379" t="s">
        <v>2496</v>
      </c>
      <c r="AB1451" s="380">
        <f t="shared" si="21"/>
        <v>0.42</v>
      </c>
    </row>
    <row r="1452" spans="1:28" outlineLevel="2" x14ac:dyDescent="0.3">
      <c r="A1452" s="379">
        <v>432</v>
      </c>
      <c r="B1452" s="379">
        <v>990000</v>
      </c>
      <c r="C1452" s="379" t="s">
        <v>1699</v>
      </c>
      <c r="D1452" s="379">
        <v>7369281</v>
      </c>
      <c r="E1452" s="379" t="s">
        <v>2491</v>
      </c>
      <c r="F1452" s="379" t="s">
        <v>2319</v>
      </c>
      <c r="G1452" s="383">
        <v>27485</v>
      </c>
      <c r="H1452" s="379">
        <v>62818.52</v>
      </c>
      <c r="I1452" s="379"/>
      <c r="J1452" s="379"/>
      <c r="K1452" s="379">
        <v>1528.55</v>
      </c>
      <c r="L1452" s="379"/>
      <c r="M1452" s="379"/>
      <c r="N1452" s="379"/>
      <c r="O1452" s="379"/>
      <c r="P1452" s="379"/>
      <c r="Q1452" s="379"/>
      <c r="R1452" s="379"/>
      <c r="S1452" s="379">
        <v>57690.43</v>
      </c>
      <c r="T1452" s="379">
        <v>4678.09</v>
      </c>
      <c r="U1452" s="379"/>
      <c r="V1452" s="380">
        <v>64347.07</v>
      </c>
      <c r="W1452" s="381">
        <v>7.992</v>
      </c>
      <c r="X1452" s="379"/>
      <c r="Y1452" s="379"/>
      <c r="Z1452" s="379">
        <v>9991001</v>
      </c>
      <c r="AA1452" s="379" t="s">
        <v>2496</v>
      </c>
      <c r="AB1452" s="380">
        <f t="shared" si="21"/>
        <v>0.66600000000000004</v>
      </c>
    </row>
    <row r="1453" spans="1:28" outlineLevel="2" x14ac:dyDescent="0.3">
      <c r="A1453" s="379">
        <v>432</v>
      </c>
      <c r="B1453" s="379">
        <v>990000</v>
      </c>
      <c r="C1453" s="379" t="s">
        <v>1699</v>
      </c>
      <c r="D1453" s="379">
        <v>7369487</v>
      </c>
      <c r="E1453" s="379" t="s">
        <v>3331</v>
      </c>
      <c r="F1453" s="379" t="s">
        <v>2363</v>
      </c>
      <c r="G1453" s="383">
        <v>27607</v>
      </c>
      <c r="H1453" s="379">
        <v>128401.2</v>
      </c>
      <c r="I1453" s="379"/>
      <c r="J1453" s="379"/>
      <c r="K1453" s="379">
        <v>9630.15</v>
      </c>
      <c r="L1453" s="379"/>
      <c r="M1453" s="379"/>
      <c r="N1453" s="379"/>
      <c r="O1453" s="379"/>
      <c r="P1453" s="379">
        <v>24040.799999999999</v>
      </c>
      <c r="Q1453" s="379"/>
      <c r="R1453" s="379"/>
      <c r="S1453" s="379">
        <v>98504.3</v>
      </c>
      <c r="T1453" s="379">
        <v>5406.1</v>
      </c>
      <c r="U1453" s="379"/>
      <c r="V1453" s="380">
        <v>138031.35</v>
      </c>
      <c r="W1453" s="381">
        <v>8.4</v>
      </c>
      <c r="X1453" s="379"/>
      <c r="Y1453" s="379"/>
      <c r="Z1453" s="379">
        <v>9991001</v>
      </c>
      <c r="AA1453" s="379" t="s">
        <v>2496</v>
      </c>
      <c r="AB1453" s="380">
        <f t="shared" si="21"/>
        <v>0.70000000000000007</v>
      </c>
    </row>
    <row r="1454" spans="1:28" outlineLevel="2" x14ac:dyDescent="0.3">
      <c r="A1454" s="379">
        <v>432</v>
      </c>
      <c r="B1454" s="379">
        <v>990000</v>
      </c>
      <c r="C1454" s="379" t="s">
        <v>1699</v>
      </c>
      <c r="D1454" s="379">
        <v>7379092</v>
      </c>
      <c r="E1454" s="379" t="s">
        <v>2465</v>
      </c>
      <c r="F1454" s="379" t="s">
        <v>3450</v>
      </c>
      <c r="G1454" s="383">
        <v>25538</v>
      </c>
      <c r="H1454" s="379">
        <v>14221.69</v>
      </c>
      <c r="I1454" s="379"/>
      <c r="J1454" s="379"/>
      <c r="K1454" s="379">
        <v>1066.5999999999999</v>
      </c>
      <c r="L1454" s="379"/>
      <c r="M1454" s="379"/>
      <c r="N1454" s="379"/>
      <c r="O1454" s="379"/>
      <c r="P1454" s="379"/>
      <c r="Q1454" s="379"/>
      <c r="R1454" s="379"/>
      <c r="S1454" s="379">
        <v>11694.25</v>
      </c>
      <c r="T1454" s="379">
        <v>2227.44</v>
      </c>
      <c r="U1454" s="379"/>
      <c r="V1454" s="380">
        <v>15288.29</v>
      </c>
      <c r="W1454" s="381">
        <v>1.91</v>
      </c>
      <c r="X1454" s="379"/>
      <c r="Y1454" s="379"/>
      <c r="Z1454" s="379">
        <v>9991001</v>
      </c>
      <c r="AA1454" s="379" t="s">
        <v>2496</v>
      </c>
      <c r="AB1454" s="380">
        <f t="shared" si="21"/>
        <v>0.15916666666666665</v>
      </c>
    </row>
    <row r="1455" spans="1:28" outlineLevel="2" x14ac:dyDescent="0.3">
      <c r="A1455" s="379">
        <v>432</v>
      </c>
      <c r="B1455" s="379">
        <v>990000</v>
      </c>
      <c r="C1455" s="379" t="s">
        <v>1699</v>
      </c>
      <c r="D1455" s="379">
        <v>7383015</v>
      </c>
      <c r="E1455" s="379" t="s">
        <v>2384</v>
      </c>
      <c r="F1455" s="379" t="s">
        <v>3254</v>
      </c>
      <c r="G1455" s="383">
        <v>34001</v>
      </c>
      <c r="H1455" s="379">
        <v>13648.33</v>
      </c>
      <c r="I1455" s="379"/>
      <c r="J1455" s="379"/>
      <c r="K1455" s="379">
        <v>1023.7</v>
      </c>
      <c r="L1455" s="379"/>
      <c r="M1455" s="379"/>
      <c r="N1455" s="379"/>
      <c r="O1455" s="379"/>
      <c r="P1455" s="379"/>
      <c r="Q1455" s="379"/>
      <c r="R1455" s="379"/>
      <c r="S1455" s="379">
        <v>12102.47</v>
      </c>
      <c r="T1455" s="379">
        <v>1095.8599999999999</v>
      </c>
      <c r="U1455" s="379"/>
      <c r="V1455" s="380">
        <v>14672.03</v>
      </c>
      <c r="W1455" s="381">
        <v>4.2</v>
      </c>
      <c r="X1455" s="379"/>
      <c r="Y1455" s="379"/>
      <c r="Z1455" s="379">
        <v>9991001</v>
      </c>
      <c r="AA1455" s="379" t="s">
        <v>2496</v>
      </c>
      <c r="AB1455" s="380">
        <f t="shared" si="21"/>
        <v>0.35000000000000003</v>
      </c>
    </row>
    <row r="1456" spans="1:28" outlineLevel="2" x14ac:dyDescent="0.3">
      <c r="A1456" s="379">
        <v>432</v>
      </c>
      <c r="B1456" s="379">
        <v>990000</v>
      </c>
      <c r="C1456" s="379" t="s">
        <v>1699</v>
      </c>
      <c r="D1456" s="379">
        <v>7388022</v>
      </c>
      <c r="E1456" s="379" t="s">
        <v>2838</v>
      </c>
      <c r="F1456" s="379" t="s">
        <v>3451</v>
      </c>
      <c r="G1456" s="383">
        <v>38169</v>
      </c>
      <c r="H1456" s="379">
        <v>21626.01</v>
      </c>
      <c r="I1456" s="379"/>
      <c r="J1456" s="379"/>
      <c r="K1456" s="379">
        <v>33.75</v>
      </c>
      <c r="L1456" s="379"/>
      <c r="M1456" s="379"/>
      <c r="N1456" s="379"/>
      <c r="O1456" s="379"/>
      <c r="P1456" s="379"/>
      <c r="Q1456" s="379"/>
      <c r="R1456" s="379"/>
      <c r="S1456" s="379">
        <v>19601.64</v>
      </c>
      <c r="T1456" s="379">
        <v>1574.37</v>
      </c>
      <c r="U1456" s="379"/>
      <c r="V1456" s="380">
        <v>21659.759999999998</v>
      </c>
      <c r="W1456" s="381">
        <v>3.24</v>
      </c>
      <c r="X1456" s="379"/>
      <c r="Y1456" s="379"/>
      <c r="Z1456" s="379">
        <v>9991001</v>
      </c>
      <c r="AA1456" s="379" t="s">
        <v>2496</v>
      </c>
      <c r="AB1456" s="380">
        <f t="shared" si="21"/>
        <v>0.27</v>
      </c>
    </row>
    <row r="1457" spans="1:28" outlineLevel="2" x14ac:dyDescent="0.3">
      <c r="A1457" s="379">
        <v>432</v>
      </c>
      <c r="B1457" s="379">
        <v>990000</v>
      </c>
      <c r="C1457" s="379" t="s">
        <v>1699</v>
      </c>
      <c r="D1457" s="379">
        <v>7443164</v>
      </c>
      <c r="E1457" s="379" t="s">
        <v>2457</v>
      </c>
      <c r="F1457" s="379" t="s">
        <v>3452</v>
      </c>
      <c r="G1457" s="383">
        <v>26268</v>
      </c>
      <c r="H1457" s="379">
        <v>40590.67</v>
      </c>
      <c r="I1457" s="379"/>
      <c r="J1457" s="379"/>
      <c r="K1457" s="379">
        <v>3044.15</v>
      </c>
      <c r="L1457" s="379"/>
      <c r="M1457" s="379"/>
      <c r="N1457" s="379"/>
      <c r="O1457" s="379">
        <v>1176</v>
      </c>
      <c r="P1457" s="379"/>
      <c r="Q1457" s="379"/>
      <c r="R1457" s="379"/>
      <c r="S1457" s="379">
        <v>35836.85</v>
      </c>
      <c r="T1457" s="379">
        <v>3127.82</v>
      </c>
      <c r="U1457" s="379"/>
      <c r="V1457" s="380">
        <v>43634.82</v>
      </c>
      <c r="W1457" s="381">
        <v>8.4</v>
      </c>
      <c r="X1457" s="379"/>
      <c r="Y1457" s="379"/>
      <c r="Z1457" s="379">
        <v>9991001</v>
      </c>
      <c r="AA1457" s="379" t="s">
        <v>2496</v>
      </c>
      <c r="AB1457" s="380">
        <f t="shared" si="21"/>
        <v>0.70000000000000007</v>
      </c>
    </row>
    <row r="1458" spans="1:28" outlineLevel="2" x14ac:dyDescent="0.3">
      <c r="A1458" s="379">
        <v>432</v>
      </c>
      <c r="B1458" s="379">
        <v>990000</v>
      </c>
      <c r="C1458" s="379" t="s">
        <v>1699</v>
      </c>
      <c r="D1458" s="379">
        <v>7443283</v>
      </c>
      <c r="E1458" s="379" t="s">
        <v>2580</v>
      </c>
      <c r="F1458" s="379" t="s">
        <v>2669</v>
      </c>
      <c r="G1458" s="383">
        <v>27515</v>
      </c>
      <c r="H1458" s="379">
        <v>54119.81</v>
      </c>
      <c r="I1458" s="379"/>
      <c r="J1458" s="379"/>
      <c r="K1458" s="379">
        <v>4059.1</v>
      </c>
      <c r="L1458" s="379"/>
      <c r="M1458" s="379"/>
      <c r="N1458" s="379"/>
      <c r="O1458" s="379">
        <v>2208</v>
      </c>
      <c r="P1458" s="379"/>
      <c r="Q1458" s="379"/>
      <c r="R1458" s="379"/>
      <c r="S1458" s="379">
        <v>47173.68</v>
      </c>
      <c r="T1458" s="379">
        <v>4288.13</v>
      </c>
      <c r="U1458" s="379"/>
      <c r="V1458" s="380">
        <v>58178.91</v>
      </c>
      <c r="W1458" s="381">
        <v>7.5</v>
      </c>
      <c r="X1458" s="379"/>
      <c r="Y1458" s="379"/>
      <c r="Z1458" s="379">
        <v>5821002</v>
      </c>
      <c r="AA1458" s="379" t="s">
        <v>3303</v>
      </c>
      <c r="AB1458" s="380">
        <f t="shared" si="21"/>
        <v>0.625</v>
      </c>
    </row>
    <row r="1459" spans="1:28" outlineLevel="2" x14ac:dyDescent="0.3">
      <c r="A1459" s="379">
        <v>432</v>
      </c>
      <c r="B1459" s="379">
        <v>990000</v>
      </c>
      <c r="C1459" s="379" t="s">
        <v>1699</v>
      </c>
      <c r="D1459" s="379">
        <v>7447463</v>
      </c>
      <c r="E1459" s="379" t="s">
        <v>3453</v>
      </c>
      <c r="F1459" s="379" t="s">
        <v>3254</v>
      </c>
      <c r="G1459" s="383">
        <v>36404</v>
      </c>
      <c r="H1459" s="379">
        <v>22710.28</v>
      </c>
      <c r="I1459" s="379"/>
      <c r="J1459" s="379"/>
      <c r="K1459" s="379">
        <v>1703.05</v>
      </c>
      <c r="L1459" s="379"/>
      <c r="M1459" s="379"/>
      <c r="N1459" s="379"/>
      <c r="O1459" s="379"/>
      <c r="P1459" s="379"/>
      <c r="Q1459" s="379"/>
      <c r="R1459" s="379"/>
      <c r="S1459" s="379">
        <v>20459.88</v>
      </c>
      <c r="T1459" s="379">
        <v>1800.4</v>
      </c>
      <c r="U1459" s="379"/>
      <c r="V1459" s="380">
        <v>24413.33</v>
      </c>
      <c r="W1459" s="381">
        <v>3.36</v>
      </c>
      <c r="X1459" s="379"/>
      <c r="Y1459" s="379"/>
      <c r="Z1459" s="379">
        <v>9991001</v>
      </c>
      <c r="AA1459" s="379" t="s">
        <v>2496</v>
      </c>
      <c r="AB1459" s="380">
        <f t="shared" si="21"/>
        <v>0.27999999999999997</v>
      </c>
    </row>
    <row r="1460" spans="1:28" outlineLevel="2" x14ac:dyDescent="0.3">
      <c r="A1460" s="379">
        <v>432</v>
      </c>
      <c r="B1460" s="379">
        <v>990000</v>
      </c>
      <c r="C1460" s="379" t="s">
        <v>1699</v>
      </c>
      <c r="D1460" s="379">
        <v>7449127</v>
      </c>
      <c r="E1460" s="379" t="s">
        <v>2674</v>
      </c>
      <c r="F1460" s="379" t="s">
        <v>2452</v>
      </c>
      <c r="G1460" s="383">
        <v>29129</v>
      </c>
      <c r="H1460" s="379">
        <v>74468.55</v>
      </c>
      <c r="I1460" s="379"/>
      <c r="J1460" s="379"/>
      <c r="K1460" s="379">
        <v>5585.1</v>
      </c>
      <c r="L1460" s="379"/>
      <c r="M1460" s="379"/>
      <c r="N1460" s="379"/>
      <c r="O1460" s="379"/>
      <c r="P1460" s="379">
        <v>4073.88</v>
      </c>
      <c r="Q1460" s="379"/>
      <c r="R1460" s="379"/>
      <c r="S1460" s="379">
        <v>65117.79</v>
      </c>
      <c r="T1460" s="379">
        <v>4826.88</v>
      </c>
      <c r="U1460" s="379"/>
      <c r="V1460" s="380">
        <v>80053.649999999994</v>
      </c>
      <c r="W1460" s="381">
        <v>7.5</v>
      </c>
      <c r="X1460" s="379"/>
      <c r="Y1460" s="379"/>
      <c r="Z1460" s="379">
        <v>9991001</v>
      </c>
      <c r="AA1460" s="379" t="s">
        <v>2496</v>
      </c>
      <c r="AB1460" s="380">
        <f t="shared" si="21"/>
        <v>0.625</v>
      </c>
    </row>
    <row r="1461" spans="1:28" outlineLevel="2" x14ac:dyDescent="0.3">
      <c r="A1461" s="379">
        <v>432</v>
      </c>
      <c r="B1461" s="379">
        <v>990000</v>
      </c>
      <c r="C1461" s="379" t="s">
        <v>1699</v>
      </c>
      <c r="D1461" s="379">
        <v>7468051</v>
      </c>
      <c r="E1461" s="379" t="s">
        <v>3454</v>
      </c>
      <c r="F1461" s="379" t="s">
        <v>2413</v>
      </c>
      <c r="G1461" s="383">
        <v>28915</v>
      </c>
      <c r="H1461" s="379">
        <v>67690.45</v>
      </c>
      <c r="I1461" s="379"/>
      <c r="J1461" s="379"/>
      <c r="K1461" s="379">
        <v>5076.6499999999996</v>
      </c>
      <c r="L1461" s="379"/>
      <c r="M1461" s="379"/>
      <c r="N1461" s="379"/>
      <c r="O1461" s="379"/>
      <c r="P1461" s="379">
        <v>7126.92</v>
      </c>
      <c r="Q1461" s="379"/>
      <c r="R1461" s="379"/>
      <c r="S1461" s="379">
        <v>55592.49</v>
      </c>
      <c r="T1461" s="379">
        <v>4521.04</v>
      </c>
      <c r="U1461" s="379"/>
      <c r="V1461" s="380">
        <v>72767.100000000006</v>
      </c>
      <c r="W1461" s="381">
        <v>7.44</v>
      </c>
      <c r="X1461" s="379"/>
      <c r="Y1461" s="379"/>
      <c r="Z1461" s="379">
        <v>9991001</v>
      </c>
      <c r="AA1461" s="379" t="s">
        <v>2496</v>
      </c>
      <c r="AB1461" s="380">
        <f t="shared" si="21"/>
        <v>0.62</v>
      </c>
    </row>
    <row r="1462" spans="1:28" outlineLevel="2" x14ac:dyDescent="0.3">
      <c r="A1462" s="379">
        <v>432</v>
      </c>
      <c r="B1462" s="379">
        <v>990000</v>
      </c>
      <c r="C1462" s="379" t="s">
        <v>1699</v>
      </c>
      <c r="D1462" s="379">
        <v>7468543</v>
      </c>
      <c r="E1462" s="379" t="s">
        <v>2549</v>
      </c>
      <c r="F1462" s="379" t="s">
        <v>2586</v>
      </c>
      <c r="G1462" s="383">
        <v>29799</v>
      </c>
      <c r="H1462" s="379">
        <v>41526.839999999997</v>
      </c>
      <c r="I1462" s="379"/>
      <c r="J1462" s="379"/>
      <c r="K1462" s="379">
        <v>3114.3</v>
      </c>
      <c r="L1462" s="379"/>
      <c r="M1462" s="379"/>
      <c r="N1462" s="379"/>
      <c r="O1462" s="379"/>
      <c r="P1462" s="379"/>
      <c r="Q1462" s="379"/>
      <c r="R1462" s="379"/>
      <c r="S1462" s="379">
        <v>38067.599999999999</v>
      </c>
      <c r="T1462" s="379">
        <v>3009.24</v>
      </c>
      <c r="U1462" s="379"/>
      <c r="V1462" s="380">
        <v>44641.14</v>
      </c>
      <c r="W1462" s="381">
        <v>5.6159999999999997</v>
      </c>
      <c r="X1462" s="379"/>
      <c r="Y1462" s="379"/>
      <c r="Z1462" s="379">
        <v>6631001</v>
      </c>
      <c r="AA1462" s="379" t="s">
        <v>2459</v>
      </c>
      <c r="AB1462" s="380">
        <f t="shared" si="21"/>
        <v>0.46799999999999997</v>
      </c>
    </row>
    <row r="1463" spans="1:28" outlineLevel="2" x14ac:dyDescent="0.3">
      <c r="A1463" s="379">
        <v>432</v>
      </c>
      <c r="B1463" s="379">
        <v>990000</v>
      </c>
      <c r="C1463" s="379" t="s">
        <v>1699</v>
      </c>
      <c r="D1463" s="379">
        <v>7468563</v>
      </c>
      <c r="E1463" s="379" t="s">
        <v>3455</v>
      </c>
      <c r="F1463" s="379" t="s">
        <v>2303</v>
      </c>
      <c r="G1463" s="383">
        <v>35096</v>
      </c>
      <c r="H1463" s="379">
        <v>75973.09</v>
      </c>
      <c r="I1463" s="379"/>
      <c r="J1463" s="379"/>
      <c r="K1463" s="379">
        <v>891.6</v>
      </c>
      <c r="L1463" s="379"/>
      <c r="M1463" s="379"/>
      <c r="N1463" s="379"/>
      <c r="O1463" s="379"/>
      <c r="P1463" s="379">
        <v>7257.6</v>
      </c>
      <c r="Q1463" s="379"/>
      <c r="R1463" s="379"/>
      <c r="S1463" s="379">
        <v>64232.23</v>
      </c>
      <c r="T1463" s="379">
        <v>4033.26</v>
      </c>
      <c r="U1463" s="379"/>
      <c r="V1463" s="380">
        <v>76864.69</v>
      </c>
      <c r="W1463" s="381">
        <v>8.76</v>
      </c>
      <c r="X1463" s="379"/>
      <c r="Y1463" s="379"/>
      <c r="Z1463" s="379">
        <v>9991001</v>
      </c>
      <c r="AA1463" s="379" t="s">
        <v>2496</v>
      </c>
      <c r="AB1463" s="380">
        <f t="shared" si="21"/>
        <v>0.73</v>
      </c>
    </row>
    <row r="1464" spans="1:28" outlineLevel="2" x14ac:dyDescent="0.3">
      <c r="A1464" s="379">
        <v>432</v>
      </c>
      <c r="B1464" s="379">
        <v>990000</v>
      </c>
      <c r="C1464" s="379" t="s">
        <v>1699</v>
      </c>
      <c r="D1464" s="379">
        <v>7527592</v>
      </c>
      <c r="E1464" s="379" t="s">
        <v>3456</v>
      </c>
      <c r="F1464" s="379" t="s">
        <v>3457</v>
      </c>
      <c r="G1464" s="383">
        <v>24807</v>
      </c>
      <c r="H1464" s="379">
        <v>48698.05</v>
      </c>
      <c r="I1464" s="379"/>
      <c r="J1464" s="379"/>
      <c r="K1464" s="379">
        <v>3652.4</v>
      </c>
      <c r="L1464" s="379"/>
      <c r="M1464" s="379"/>
      <c r="N1464" s="379"/>
      <c r="O1464" s="379"/>
      <c r="P1464" s="379"/>
      <c r="Q1464" s="379"/>
      <c r="R1464" s="379"/>
      <c r="S1464" s="379">
        <v>44557.82</v>
      </c>
      <c r="T1464" s="379">
        <v>3690.23</v>
      </c>
      <c r="U1464" s="379"/>
      <c r="V1464" s="380">
        <v>52350.45</v>
      </c>
      <c r="W1464" s="381">
        <v>6.2160000000000002</v>
      </c>
      <c r="X1464" s="379"/>
      <c r="Y1464" s="379"/>
      <c r="Z1464" s="379">
        <v>5923001</v>
      </c>
      <c r="AA1464" s="379" t="s">
        <v>2354</v>
      </c>
      <c r="AB1464" s="380">
        <f t="shared" si="21"/>
        <v>0.51800000000000002</v>
      </c>
    </row>
    <row r="1465" spans="1:28" outlineLevel="2" x14ac:dyDescent="0.3">
      <c r="A1465" s="379">
        <v>432</v>
      </c>
      <c r="B1465" s="379">
        <v>990000</v>
      </c>
      <c r="C1465" s="379" t="s">
        <v>1699</v>
      </c>
      <c r="D1465" s="379">
        <v>7529341</v>
      </c>
      <c r="E1465" s="379" t="s">
        <v>3080</v>
      </c>
      <c r="F1465" s="379" t="s">
        <v>3458</v>
      </c>
      <c r="G1465" s="383">
        <v>31503</v>
      </c>
      <c r="H1465" s="379">
        <v>78032.08</v>
      </c>
      <c r="I1465" s="379"/>
      <c r="J1465" s="379"/>
      <c r="K1465" s="379">
        <v>5852.45</v>
      </c>
      <c r="L1465" s="379"/>
      <c r="M1465" s="379"/>
      <c r="N1465" s="379"/>
      <c r="O1465" s="379"/>
      <c r="P1465" s="379"/>
      <c r="Q1465" s="379"/>
      <c r="R1465" s="379"/>
      <c r="S1465" s="379">
        <v>73975.44</v>
      </c>
      <c r="T1465" s="379">
        <v>3606.64</v>
      </c>
      <c r="U1465" s="379"/>
      <c r="V1465" s="380">
        <v>83884.53</v>
      </c>
      <c r="W1465" s="381">
        <v>7.008</v>
      </c>
      <c r="X1465" s="379"/>
      <c r="Y1465" s="379"/>
      <c r="Z1465" s="379">
        <v>9991001</v>
      </c>
      <c r="AA1465" s="379" t="s">
        <v>2496</v>
      </c>
      <c r="AB1465" s="380">
        <f t="shared" si="21"/>
        <v>0.58399999999999996</v>
      </c>
    </row>
    <row r="1466" spans="1:28" outlineLevel="2" x14ac:dyDescent="0.3">
      <c r="A1466" s="379">
        <v>432</v>
      </c>
      <c r="B1466" s="379">
        <v>990000</v>
      </c>
      <c r="C1466" s="379" t="s">
        <v>1699</v>
      </c>
      <c r="D1466" s="379">
        <v>7535762</v>
      </c>
      <c r="E1466" s="379" t="s">
        <v>3459</v>
      </c>
      <c r="F1466" s="379" t="s">
        <v>2366</v>
      </c>
      <c r="G1466" s="383">
        <v>33178</v>
      </c>
      <c r="H1466" s="379">
        <v>31590.86</v>
      </c>
      <c r="I1466" s="379"/>
      <c r="J1466" s="379"/>
      <c r="K1466" s="379">
        <v>33.75</v>
      </c>
      <c r="L1466" s="379"/>
      <c r="M1466" s="379"/>
      <c r="N1466" s="379"/>
      <c r="O1466" s="379"/>
      <c r="P1466" s="379"/>
      <c r="Q1466" s="379"/>
      <c r="R1466" s="379"/>
      <c r="S1466" s="379">
        <v>28764.84</v>
      </c>
      <c r="T1466" s="379">
        <v>2376.02</v>
      </c>
      <c r="U1466" s="379"/>
      <c r="V1466" s="380">
        <v>31624.61</v>
      </c>
      <c r="W1466" s="381">
        <v>4.26</v>
      </c>
      <c r="X1466" s="379"/>
      <c r="Y1466" s="379"/>
      <c r="Z1466" s="379">
        <v>9991001</v>
      </c>
      <c r="AA1466" s="379" t="s">
        <v>2496</v>
      </c>
      <c r="AB1466" s="380">
        <f t="shared" si="21"/>
        <v>0.35499999999999998</v>
      </c>
    </row>
    <row r="1467" spans="1:28" outlineLevel="2" x14ac:dyDescent="0.3">
      <c r="A1467" s="379">
        <v>432</v>
      </c>
      <c r="B1467" s="379">
        <v>990000</v>
      </c>
      <c r="C1467" s="379" t="s">
        <v>1699</v>
      </c>
      <c r="D1467" s="379">
        <v>7553657</v>
      </c>
      <c r="E1467" s="379" t="s">
        <v>3057</v>
      </c>
      <c r="F1467" s="379" t="s">
        <v>2644</v>
      </c>
      <c r="G1467" s="383">
        <v>26390</v>
      </c>
      <c r="H1467" s="379">
        <v>59219.71</v>
      </c>
      <c r="I1467" s="379"/>
      <c r="J1467" s="379"/>
      <c r="K1467" s="379">
        <v>4441.3</v>
      </c>
      <c r="L1467" s="379"/>
      <c r="M1467" s="379"/>
      <c r="N1467" s="379"/>
      <c r="O1467" s="379"/>
      <c r="P1467" s="379"/>
      <c r="Q1467" s="379"/>
      <c r="R1467" s="379"/>
      <c r="S1467" s="379">
        <v>54444.83</v>
      </c>
      <c r="T1467" s="379">
        <v>4324.88</v>
      </c>
      <c r="U1467" s="379"/>
      <c r="V1467" s="380">
        <v>63661.01</v>
      </c>
      <c r="W1467" s="381">
        <v>8.4</v>
      </c>
      <c r="X1467" s="379"/>
      <c r="Y1467" s="379"/>
      <c r="Z1467" s="379">
        <v>9991001</v>
      </c>
      <c r="AA1467" s="379" t="s">
        <v>2496</v>
      </c>
      <c r="AB1467" s="380">
        <f t="shared" si="21"/>
        <v>0.70000000000000007</v>
      </c>
    </row>
    <row r="1468" spans="1:28" outlineLevel="2" x14ac:dyDescent="0.3">
      <c r="A1468" s="379">
        <v>432</v>
      </c>
      <c r="B1468" s="379">
        <v>990000</v>
      </c>
      <c r="C1468" s="379" t="s">
        <v>1699</v>
      </c>
      <c r="D1468" s="379">
        <v>7555902</v>
      </c>
      <c r="E1468" s="379" t="s">
        <v>2989</v>
      </c>
      <c r="F1468" s="379" t="s">
        <v>2944</v>
      </c>
      <c r="G1468" s="383">
        <v>27120</v>
      </c>
      <c r="H1468" s="379">
        <v>30338.6</v>
      </c>
      <c r="I1468" s="379"/>
      <c r="J1468" s="379"/>
      <c r="K1468" s="379">
        <v>2275.5</v>
      </c>
      <c r="L1468" s="379"/>
      <c r="M1468" s="379"/>
      <c r="N1468" s="379"/>
      <c r="O1468" s="379"/>
      <c r="P1468" s="379"/>
      <c r="Q1468" s="379"/>
      <c r="R1468" s="379"/>
      <c r="S1468" s="379">
        <v>27678.12</v>
      </c>
      <c r="T1468" s="379">
        <v>2210.48</v>
      </c>
      <c r="U1468" s="379"/>
      <c r="V1468" s="380">
        <v>32614.1</v>
      </c>
      <c r="W1468" s="381">
        <v>4.2359999999999998</v>
      </c>
      <c r="X1468" s="379"/>
      <c r="Y1468" s="379"/>
      <c r="Z1468" s="379">
        <v>5923001</v>
      </c>
      <c r="AA1468" s="379" t="s">
        <v>2354</v>
      </c>
      <c r="AB1468" s="380">
        <f t="shared" si="21"/>
        <v>0.35299999999999998</v>
      </c>
    </row>
    <row r="1469" spans="1:28" outlineLevel="2" x14ac:dyDescent="0.3">
      <c r="A1469" s="379">
        <v>432</v>
      </c>
      <c r="B1469" s="379">
        <v>990000</v>
      </c>
      <c r="C1469" s="379" t="s">
        <v>1699</v>
      </c>
      <c r="D1469" s="379">
        <v>7574343</v>
      </c>
      <c r="E1469" s="379" t="s">
        <v>2870</v>
      </c>
      <c r="F1469" s="379" t="s">
        <v>2368</v>
      </c>
      <c r="G1469" s="383">
        <v>43252</v>
      </c>
      <c r="H1469" s="379">
        <v>95721.05</v>
      </c>
      <c r="I1469" s="379"/>
      <c r="J1469" s="379"/>
      <c r="K1469" s="379">
        <v>1540.6</v>
      </c>
      <c r="L1469" s="379"/>
      <c r="M1469" s="379"/>
      <c r="N1469" s="379"/>
      <c r="O1469" s="379"/>
      <c r="P1469" s="379">
        <v>19714.2</v>
      </c>
      <c r="Q1469" s="379"/>
      <c r="R1469" s="379"/>
      <c r="S1469" s="379">
        <v>72824.33</v>
      </c>
      <c r="T1469" s="379">
        <v>2732.52</v>
      </c>
      <c r="U1469" s="379"/>
      <c r="V1469" s="380">
        <v>97261.65</v>
      </c>
      <c r="W1469" s="381">
        <v>5.04</v>
      </c>
      <c r="X1469" s="379"/>
      <c r="Y1469" s="379"/>
      <c r="Z1469" s="379">
        <v>9991001</v>
      </c>
      <c r="AA1469" s="379" t="s">
        <v>2496</v>
      </c>
      <c r="AB1469" s="380">
        <f t="shared" si="21"/>
        <v>0.42</v>
      </c>
    </row>
    <row r="1470" spans="1:28" outlineLevel="2" x14ac:dyDescent="0.3">
      <c r="A1470" s="379">
        <v>432</v>
      </c>
      <c r="B1470" s="379">
        <v>990000</v>
      </c>
      <c r="C1470" s="379" t="s">
        <v>1699</v>
      </c>
      <c r="D1470" s="379">
        <v>7574361</v>
      </c>
      <c r="E1470" s="379" t="s">
        <v>3454</v>
      </c>
      <c r="F1470" s="379" t="s">
        <v>2303</v>
      </c>
      <c r="G1470" s="383">
        <v>25204</v>
      </c>
      <c r="H1470" s="379">
        <v>29609.759999999998</v>
      </c>
      <c r="I1470" s="379"/>
      <c r="J1470" s="379"/>
      <c r="K1470" s="379">
        <v>2220.9</v>
      </c>
      <c r="L1470" s="379"/>
      <c r="M1470" s="379"/>
      <c r="N1470" s="379"/>
      <c r="O1470" s="379"/>
      <c r="P1470" s="379"/>
      <c r="Q1470" s="379"/>
      <c r="R1470" s="379"/>
      <c r="S1470" s="379">
        <v>27005.64</v>
      </c>
      <c r="T1470" s="379">
        <v>2154.12</v>
      </c>
      <c r="U1470" s="379"/>
      <c r="V1470" s="380">
        <v>31830.66</v>
      </c>
      <c r="W1470" s="381">
        <v>4.1280000000000001</v>
      </c>
      <c r="X1470" s="379"/>
      <c r="Y1470" s="379"/>
      <c r="Z1470" s="379">
        <v>9991001</v>
      </c>
      <c r="AA1470" s="379" t="s">
        <v>2496</v>
      </c>
      <c r="AB1470" s="380">
        <f t="shared" si="21"/>
        <v>0.34400000000000003</v>
      </c>
    </row>
    <row r="1471" spans="1:28" outlineLevel="2" x14ac:dyDescent="0.3">
      <c r="A1471" s="379">
        <v>432</v>
      </c>
      <c r="B1471" s="379">
        <v>990000</v>
      </c>
      <c r="C1471" s="379" t="s">
        <v>1699</v>
      </c>
      <c r="D1471" s="379">
        <v>7595841</v>
      </c>
      <c r="E1471" s="379" t="s">
        <v>3460</v>
      </c>
      <c r="F1471" s="379" t="s">
        <v>2668</v>
      </c>
      <c r="G1471" s="383">
        <v>40878</v>
      </c>
      <c r="H1471" s="379">
        <v>33004.080000000002</v>
      </c>
      <c r="I1471" s="379"/>
      <c r="J1471" s="379"/>
      <c r="K1471" s="379">
        <v>139.35</v>
      </c>
      <c r="L1471" s="379"/>
      <c r="M1471" s="379"/>
      <c r="N1471" s="379"/>
      <c r="O1471" s="379">
        <v>1404</v>
      </c>
      <c r="P1471" s="379"/>
      <c r="Q1471" s="379"/>
      <c r="R1471" s="379"/>
      <c r="S1471" s="379">
        <v>28087.439999999999</v>
      </c>
      <c r="T1471" s="379">
        <v>3062.64</v>
      </c>
      <c r="U1471" s="379"/>
      <c r="V1471" s="380">
        <v>33143.43</v>
      </c>
      <c r="W1471" s="381">
        <v>5.04</v>
      </c>
      <c r="X1471" s="379"/>
      <c r="Y1471" s="379"/>
      <c r="Z1471" s="379">
        <v>9991001</v>
      </c>
      <c r="AA1471" s="379" t="s">
        <v>2496</v>
      </c>
      <c r="AB1471" s="380">
        <f t="shared" si="21"/>
        <v>0.42</v>
      </c>
    </row>
    <row r="1472" spans="1:28" outlineLevel="2" x14ac:dyDescent="0.3">
      <c r="A1472" s="379">
        <v>432</v>
      </c>
      <c r="B1472" s="379">
        <v>990000</v>
      </c>
      <c r="C1472" s="379" t="s">
        <v>1699</v>
      </c>
      <c r="D1472" s="379">
        <v>7728591</v>
      </c>
      <c r="E1472" s="379" t="s">
        <v>2345</v>
      </c>
      <c r="F1472" s="379" t="s">
        <v>3461</v>
      </c>
      <c r="G1472" s="383">
        <v>26634</v>
      </c>
      <c r="H1472" s="379">
        <v>25439.919999999998</v>
      </c>
      <c r="I1472" s="379"/>
      <c r="J1472" s="379"/>
      <c r="K1472" s="379">
        <v>1907.8</v>
      </c>
      <c r="L1472" s="379"/>
      <c r="M1472" s="379"/>
      <c r="N1472" s="379"/>
      <c r="O1472" s="379"/>
      <c r="P1472" s="379"/>
      <c r="Q1472" s="379"/>
      <c r="R1472" s="379"/>
      <c r="S1472" s="379">
        <v>23098.799999999999</v>
      </c>
      <c r="T1472" s="379">
        <v>1891.12</v>
      </c>
      <c r="U1472" s="379"/>
      <c r="V1472" s="380">
        <v>27347.72</v>
      </c>
      <c r="W1472" s="381">
        <v>3.6240000000000001</v>
      </c>
      <c r="X1472" s="379"/>
      <c r="Y1472" s="379"/>
      <c r="Z1472" s="379">
        <v>9991001</v>
      </c>
      <c r="AA1472" s="379" t="s">
        <v>2496</v>
      </c>
      <c r="AB1472" s="380">
        <f t="shared" si="21"/>
        <v>0.30199999999999999</v>
      </c>
    </row>
    <row r="1473" spans="1:28" outlineLevel="2" x14ac:dyDescent="0.3">
      <c r="A1473" s="379">
        <v>432</v>
      </c>
      <c r="B1473" s="379">
        <v>990000</v>
      </c>
      <c r="C1473" s="379" t="s">
        <v>1699</v>
      </c>
      <c r="D1473" s="379">
        <v>7733633</v>
      </c>
      <c r="E1473" s="379" t="s">
        <v>3305</v>
      </c>
      <c r="F1473" s="379" t="s">
        <v>2376</v>
      </c>
      <c r="G1473" s="383">
        <v>22190</v>
      </c>
      <c r="H1473" s="379">
        <v>69777.25</v>
      </c>
      <c r="I1473" s="379"/>
      <c r="J1473" s="379"/>
      <c r="K1473" s="379">
        <v>5233.3999999999996</v>
      </c>
      <c r="L1473" s="379"/>
      <c r="M1473" s="379"/>
      <c r="N1473" s="379"/>
      <c r="O1473" s="379">
        <v>2478</v>
      </c>
      <c r="P1473" s="379"/>
      <c r="Q1473" s="379"/>
      <c r="R1473" s="379"/>
      <c r="S1473" s="379">
        <v>61443.15</v>
      </c>
      <c r="T1473" s="379">
        <v>5406.1</v>
      </c>
      <c r="U1473" s="379"/>
      <c r="V1473" s="380">
        <v>75010.649999999994</v>
      </c>
      <c r="W1473" s="381">
        <v>8.4</v>
      </c>
      <c r="X1473" s="379"/>
      <c r="Y1473" s="379"/>
      <c r="Z1473" s="379">
        <v>9991001</v>
      </c>
      <c r="AA1473" s="379" t="s">
        <v>2496</v>
      </c>
      <c r="AB1473" s="380">
        <f t="shared" si="21"/>
        <v>0.70000000000000007</v>
      </c>
    </row>
    <row r="1474" spans="1:28" outlineLevel="2" x14ac:dyDescent="0.3">
      <c r="A1474" s="379">
        <v>432</v>
      </c>
      <c r="B1474" s="379">
        <v>990000</v>
      </c>
      <c r="C1474" s="379" t="s">
        <v>1699</v>
      </c>
      <c r="D1474" s="379">
        <v>7846283</v>
      </c>
      <c r="E1474" s="379" t="s">
        <v>3462</v>
      </c>
      <c r="F1474" s="379" t="s">
        <v>2580</v>
      </c>
      <c r="G1474" s="383">
        <v>21459</v>
      </c>
      <c r="H1474" s="379">
        <v>100016.61</v>
      </c>
      <c r="I1474" s="379"/>
      <c r="J1474" s="379"/>
      <c r="K1474" s="379">
        <v>7501.35</v>
      </c>
      <c r="L1474" s="379"/>
      <c r="M1474" s="379"/>
      <c r="N1474" s="379"/>
      <c r="O1474" s="379"/>
      <c r="P1474" s="379">
        <v>21305.759999999998</v>
      </c>
      <c r="Q1474" s="379"/>
      <c r="R1474" s="379"/>
      <c r="S1474" s="379">
        <v>74013.2</v>
      </c>
      <c r="T1474" s="379">
        <v>4247.6499999999996</v>
      </c>
      <c r="U1474" s="379"/>
      <c r="V1474" s="380">
        <v>107517.96</v>
      </c>
      <c r="W1474" s="381">
        <v>6.6</v>
      </c>
      <c r="X1474" s="379"/>
      <c r="Y1474" s="379"/>
      <c r="Z1474" s="379">
        <v>9991001</v>
      </c>
      <c r="AA1474" s="379" t="s">
        <v>2496</v>
      </c>
      <c r="AB1474" s="380">
        <f t="shared" si="21"/>
        <v>0.54999999999999993</v>
      </c>
    </row>
    <row r="1475" spans="1:28" outlineLevel="2" x14ac:dyDescent="0.3">
      <c r="A1475" s="379">
        <v>432</v>
      </c>
      <c r="B1475" s="379">
        <v>990000</v>
      </c>
      <c r="C1475" s="379" t="s">
        <v>1699</v>
      </c>
      <c r="D1475" s="379">
        <v>7846284</v>
      </c>
      <c r="E1475" s="379" t="s">
        <v>3364</v>
      </c>
      <c r="F1475" s="379" t="s">
        <v>2717</v>
      </c>
      <c r="G1475" s="383">
        <v>26877</v>
      </c>
      <c r="H1475" s="379">
        <v>59686.01</v>
      </c>
      <c r="I1475" s="379"/>
      <c r="J1475" s="379"/>
      <c r="K1475" s="379">
        <v>4476.3</v>
      </c>
      <c r="L1475" s="379"/>
      <c r="M1475" s="379"/>
      <c r="N1475" s="379"/>
      <c r="O1475" s="379"/>
      <c r="P1475" s="379"/>
      <c r="Q1475" s="379"/>
      <c r="R1475" s="379"/>
      <c r="S1475" s="379">
        <v>55042.42</v>
      </c>
      <c r="T1475" s="379">
        <v>4193.59</v>
      </c>
      <c r="U1475" s="379"/>
      <c r="V1475" s="380">
        <v>64162.31</v>
      </c>
      <c r="W1475" s="381">
        <v>8.4</v>
      </c>
      <c r="X1475" s="379"/>
      <c r="Y1475" s="379"/>
      <c r="Z1475" s="379">
        <v>9991001</v>
      </c>
      <c r="AA1475" s="379" t="s">
        <v>2496</v>
      </c>
      <c r="AB1475" s="380">
        <f t="shared" si="21"/>
        <v>0.70000000000000007</v>
      </c>
    </row>
    <row r="1476" spans="1:28" outlineLevel="2" x14ac:dyDescent="0.3">
      <c r="A1476" s="379">
        <v>432</v>
      </c>
      <c r="B1476" s="379">
        <v>990000</v>
      </c>
      <c r="C1476" s="379" t="s">
        <v>1699</v>
      </c>
      <c r="D1476" s="379">
        <v>7887285</v>
      </c>
      <c r="E1476" s="379" t="s">
        <v>2280</v>
      </c>
      <c r="F1476" s="379" t="s">
        <v>2319</v>
      </c>
      <c r="G1476" s="383">
        <v>33390</v>
      </c>
      <c r="H1476" s="379">
        <v>29961.39</v>
      </c>
      <c r="I1476" s="379"/>
      <c r="J1476" s="379"/>
      <c r="K1476" s="379">
        <v>2246.9499999999998</v>
      </c>
      <c r="L1476" s="379"/>
      <c r="M1476" s="379"/>
      <c r="N1476" s="379"/>
      <c r="O1476" s="379"/>
      <c r="P1476" s="379"/>
      <c r="Q1476" s="379"/>
      <c r="R1476" s="379"/>
      <c r="S1476" s="379">
        <v>26700.22</v>
      </c>
      <c r="T1476" s="379">
        <v>2811.17</v>
      </c>
      <c r="U1476" s="379"/>
      <c r="V1476" s="380">
        <v>32208.34</v>
      </c>
      <c r="W1476" s="381">
        <v>5.1959999999999997</v>
      </c>
      <c r="X1476" s="379"/>
      <c r="Y1476" s="379"/>
      <c r="Z1476" s="379">
        <v>9991001</v>
      </c>
      <c r="AA1476" s="379" t="s">
        <v>2496</v>
      </c>
      <c r="AB1476" s="380">
        <f t="shared" si="21"/>
        <v>0.433</v>
      </c>
    </row>
    <row r="1477" spans="1:28" outlineLevel="2" x14ac:dyDescent="0.3">
      <c r="A1477" s="379">
        <v>432</v>
      </c>
      <c r="B1477" s="379">
        <v>990000</v>
      </c>
      <c r="C1477" s="379" t="s">
        <v>1699</v>
      </c>
      <c r="D1477" s="379">
        <v>7890384</v>
      </c>
      <c r="E1477" s="379" t="s">
        <v>2645</v>
      </c>
      <c r="F1477" s="379" t="s">
        <v>2582</v>
      </c>
      <c r="G1477" s="383">
        <v>27273</v>
      </c>
      <c r="H1477" s="379">
        <v>147173.21</v>
      </c>
      <c r="I1477" s="379"/>
      <c r="J1477" s="379"/>
      <c r="K1477" s="379">
        <v>11037.85</v>
      </c>
      <c r="L1477" s="379"/>
      <c r="M1477" s="379"/>
      <c r="N1477" s="379"/>
      <c r="O1477" s="379">
        <v>1716</v>
      </c>
      <c r="P1477" s="379">
        <v>32492.28</v>
      </c>
      <c r="Q1477" s="379"/>
      <c r="R1477" s="379"/>
      <c r="S1477" s="379">
        <v>107108.83</v>
      </c>
      <c r="T1477" s="379">
        <v>5406.1</v>
      </c>
      <c r="U1477" s="379"/>
      <c r="V1477" s="380">
        <v>158211.06</v>
      </c>
      <c r="W1477" s="381">
        <v>8.4</v>
      </c>
      <c r="X1477" s="379"/>
      <c r="Y1477" s="379"/>
      <c r="Z1477" s="379">
        <v>9991001</v>
      </c>
      <c r="AA1477" s="379" t="s">
        <v>2496</v>
      </c>
      <c r="AB1477" s="380">
        <f t="shared" si="21"/>
        <v>0.70000000000000007</v>
      </c>
    </row>
    <row r="1478" spans="1:28" outlineLevel="2" x14ac:dyDescent="0.3">
      <c r="A1478" s="379">
        <v>432</v>
      </c>
      <c r="B1478" s="379">
        <v>990000</v>
      </c>
      <c r="C1478" s="379" t="s">
        <v>1699</v>
      </c>
      <c r="D1478" s="379">
        <v>7927694</v>
      </c>
      <c r="E1478" s="379" t="s">
        <v>2442</v>
      </c>
      <c r="F1478" s="379" t="s">
        <v>2913</v>
      </c>
      <c r="G1478" s="383">
        <v>38018</v>
      </c>
      <c r="H1478" s="379">
        <v>11621.64</v>
      </c>
      <c r="I1478" s="379"/>
      <c r="J1478" s="379"/>
      <c r="K1478" s="379"/>
      <c r="L1478" s="379"/>
      <c r="M1478" s="379"/>
      <c r="N1478" s="379"/>
      <c r="O1478" s="379"/>
      <c r="P1478" s="379">
        <v>2080.12</v>
      </c>
      <c r="Q1478" s="379"/>
      <c r="R1478" s="379"/>
      <c r="S1478" s="379">
        <v>9541.52</v>
      </c>
      <c r="T1478" s="379"/>
      <c r="U1478" s="379"/>
      <c r="V1478" s="380">
        <v>11621.64</v>
      </c>
      <c r="W1478" s="381">
        <v>1.3120000000000001</v>
      </c>
      <c r="X1478" s="379"/>
      <c r="Y1478" s="379"/>
      <c r="Z1478" s="379">
        <v>9992001</v>
      </c>
      <c r="AA1478" s="379" t="s">
        <v>2914</v>
      </c>
      <c r="AB1478" s="380">
        <f t="shared" si="21"/>
        <v>0.10933333333333334</v>
      </c>
    </row>
    <row r="1479" spans="1:28" outlineLevel="2" x14ac:dyDescent="0.3">
      <c r="A1479" s="379">
        <v>432</v>
      </c>
      <c r="B1479" s="379">
        <v>990000</v>
      </c>
      <c r="C1479" s="379" t="s">
        <v>1699</v>
      </c>
      <c r="D1479" s="379">
        <v>7928885</v>
      </c>
      <c r="E1479" s="379" t="s">
        <v>2602</v>
      </c>
      <c r="F1479" s="379" t="s">
        <v>2585</v>
      </c>
      <c r="G1479" s="383">
        <v>30376</v>
      </c>
      <c r="H1479" s="379">
        <v>44282.12</v>
      </c>
      <c r="I1479" s="379"/>
      <c r="J1479" s="379"/>
      <c r="K1479" s="379">
        <v>3321.1</v>
      </c>
      <c r="L1479" s="379"/>
      <c r="M1479" s="379"/>
      <c r="N1479" s="379"/>
      <c r="O1479" s="379"/>
      <c r="P1479" s="379"/>
      <c r="Q1479" s="379"/>
      <c r="R1479" s="379"/>
      <c r="S1479" s="379">
        <v>40617.120000000003</v>
      </c>
      <c r="T1479" s="379">
        <v>3215</v>
      </c>
      <c r="U1479" s="379"/>
      <c r="V1479" s="380">
        <v>47603.22</v>
      </c>
      <c r="W1479" s="381">
        <v>6</v>
      </c>
      <c r="X1479" s="379"/>
      <c r="Y1479" s="379"/>
      <c r="Z1479" s="379">
        <v>5911003</v>
      </c>
      <c r="AA1479" s="379" t="s">
        <v>3382</v>
      </c>
      <c r="AB1479" s="380">
        <f t="shared" si="21"/>
        <v>0.5</v>
      </c>
    </row>
    <row r="1480" spans="1:28" outlineLevel="2" x14ac:dyDescent="0.3">
      <c r="A1480" s="379">
        <v>432</v>
      </c>
      <c r="B1480" s="379">
        <v>990000</v>
      </c>
      <c r="C1480" s="379" t="s">
        <v>1699</v>
      </c>
      <c r="D1480" s="379">
        <v>7930046</v>
      </c>
      <c r="E1480" s="379" t="s">
        <v>3463</v>
      </c>
      <c r="F1480" s="379" t="s">
        <v>2322</v>
      </c>
      <c r="G1480" s="383">
        <v>28795</v>
      </c>
      <c r="H1480" s="379">
        <v>43140.29</v>
      </c>
      <c r="I1480" s="379"/>
      <c r="J1480" s="379"/>
      <c r="K1480" s="379">
        <v>3235.45</v>
      </c>
      <c r="L1480" s="379"/>
      <c r="M1480" s="379"/>
      <c r="N1480" s="379"/>
      <c r="O1480" s="379">
        <v>1920</v>
      </c>
      <c r="P1480" s="379"/>
      <c r="Q1480" s="379"/>
      <c r="R1480" s="379"/>
      <c r="S1480" s="379">
        <v>37305.480000000003</v>
      </c>
      <c r="T1480" s="379">
        <v>3464.81</v>
      </c>
      <c r="U1480" s="379"/>
      <c r="V1480" s="380">
        <v>46375.74</v>
      </c>
      <c r="W1480" s="381">
        <v>6.06</v>
      </c>
      <c r="X1480" s="379"/>
      <c r="Y1480" s="379"/>
      <c r="Z1480" s="379">
        <v>5821002</v>
      </c>
      <c r="AA1480" s="379" t="s">
        <v>3303</v>
      </c>
      <c r="AB1480" s="380">
        <f t="shared" si="21"/>
        <v>0.505</v>
      </c>
    </row>
    <row r="1481" spans="1:28" outlineLevel="2" x14ac:dyDescent="0.3">
      <c r="A1481" s="379">
        <v>432</v>
      </c>
      <c r="B1481" s="379">
        <v>990000</v>
      </c>
      <c r="C1481" s="379" t="s">
        <v>1699</v>
      </c>
      <c r="D1481" s="379">
        <v>7934445</v>
      </c>
      <c r="E1481" s="379" t="s">
        <v>2307</v>
      </c>
      <c r="F1481" s="379" t="s">
        <v>2738</v>
      </c>
      <c r="G1481" s="383">
        <v>29495</v>
      </c>
      <c r="H1481" s="379">
        <v>43034.26</v>
      </c>
      <c r="I1481" s="379"/>
      <c r="J1481" s="379"/>
      <c r="K1481" s="379">
        <v>3227.45</v>
      </c>
      <c r="L1481" s="379"/>
      <c r="M1481" s="379"/>
      <c r="N1481" s="379"/>
      <c r="O1481" s="379"/>
      <c r="P1481" s="379"/>
      <c r="Q1481" s="379"/>
      <c r="R1481" s="379"/>
      <c r="S1481" s="379">
        <v>41308.019999999997</v>
      </c>
      <c r="T1481" s="379">
        <v>1276.24</v>
      </c>
      <c r="U1481" s="379"/>
      <c r="V1481" s="380">
        <v>46261.71</v>
      </c>
      <c r="W1481" s="381">
        <v>8.4</v>
      </c>
      <c r="X1481" s="379"/>
      <c r="Y1481" s="379"/>
      <c r="Z1481" s="379">
        <v>9991001</v>
      </c>
      <c r="AA1481" s="379" t="s">
        <v>2496</v>
      </c>
      <c r="AB1481" s="380">
        <f t="shared" si="21"/>
        <v>0.70000000000000007</v>
      </c>
    </row>
    <row r="1482" spans="1:28" outlineLevel="2" x14ac:dyDescent="0.3">
      <c r="A1482" s="379">
        <v>432</v>
      </c>
      <c r="B1482" s="379">
        <v>990000</v>
      </c>
      <c r="C1482" s="379" t="s">
        <v>1699</v>
      </c>
      <c r="D1482" s="379">
        <v>7935114</v>
      </c>
      <c r="E1482" s="379" t="s">
        <v>2841</v>
      </c>
      <c r="F1482" s="379" t="s">
        <v>2366</v>
      </c>
      <c r="G1482" s="383">
        <v>40391</v>
      </c>
      <c r="H1482" s="379">
        <v>18025.45</v>
      </c>
      <c r="I1482" s="379"/>
      <c r="J1482" s="379"/>
      <c r="K1482" s="379">
        <v>33.75</v>
      </c>
      <c r="L1482" s="379"/>
      <c r="M1482" s="379"/>
      <c r="N1482" s="379"/>
      <c r="O1482" s="379"/>
      <c r="P1482" s="379"/>
      <c r="Q1482" s="379"/>
      <c r="R1482" s="379"/>
      <c r="S1482" s="379">
        <v>16162.08</v>
      </c>
      <c r="T1482" s="379">
        <v>1413.37</v>
      </c>
      <c r="U1482" s="379"/>
      <c r="V1482" s="380">
        <v>18059.2</v>
      </c>
      <c r="W1482" s="381">
        <v>2.472</v>
      </c>
      <c r="X1482" s="379"/>
      <c r="Y1482" s="379"/>
      <c r="Z1482" s="379">
        <v>9991001</v>
      </c>
      <c r="AA1482" s="379" t="s">
        <v>2496</v>
      </c>
      <c r="AB1482" s="380">
        <f t="shared" si="21"/>
        <v>0.20599999999999999</v>
      </c>
    </row>
    <row r="1483" spans="1:28" outlineLevel="2" x14ac:dyDescent="0.3">
      <c r="A1483" s="379">
        <v>432</v>
      </c>
      <c r="B1483" s="379">
        <v>990000</v>
      </c>
      <c r="C1483" s="379" t="s">
        <v>1699</v>
      </c>
      <c r="D1483" s="379">
        <v>7941436</v>
      </c>
      <c r="E1483" s="379" t="s">
        <v>2360</v>
      </c>
      <c r="F1483" s="379" t="s">
        <v>2366</v>
      </c>
      <c r="G1483" s="383">
        <v>29830</v>
      </c>
      <c r="H1483" s="379">
        <v>60931.57</v>
      </c>
      <c r="I1483" s="379"/>
      <c r="J1483" s="379"/>
      <c r="K1483" s="379">
        <v>4569.75</v>
      </c>
      <c r="L1483" s="379"/>
      <c r="M1483" s="379"/>
      <c r="N1483" s="379"/>
      <c r="O1483" s="379"/>
      <c r="P1483" s="379"/>
      <c r="Q1483" s="379"/>
      <c r="R1483" s="379"/>
      <c r="S1483" s="379">
        <v>55384.39</v>
      </c>
      <c r="T1483" s="379">
        <v>5097.18</v>
      </c>
      <c r="U1483" s="379"/>
      <c r="V1483" s="380">
        <v>65501.32</v>
      </c>
      <c r="W1483" s="381">
        <v>7.92</v>
      </c>
      <c r="X1483" s="379"/>
      <c r="Y1483" s="379"/>
      <c r="Z1483" s="379">
        <v>9991001</v>
      </c>
      <c r="AA1483" s="379" t="s">
        <v>2496</v>
      </c>
      <c r="AB1483" s="380">
        <f t="shared" si="21"/>
        <v>0.66</v>
      </c>
    </row>
    <row r="1484" spans="1:28" outlineLevel="2" x14ac:dyDescent="0.3">
      <c r="A1484" s="379">
        <v>432</v>
      </c>
      <c r="B1484" s="379">
        <v>990000</v>
      </c>
      <c r="C1484" s="379" t="s">
        <v>1699</v>
      </c>
      <c r="D1484" s="379">
        <v>7951385</v>
      </c>
      <c r="E1484" s="379" t="s">
        <v>3464</v>
      </c>
      <c r="F1484" s="379" t="s">
        <v>2366</v>
      </c>
      <c r="G1484" s="383">
        <v>32325</v>
      </c>
      <c r="H1484" s="379">
        <v>33609.370000000003</v>
      </c>
      <c r="I1484" s="379"/>
      <c r="J1484" s="379"/>
      <c r="K1484" s="379">
        <v>2520.65</v>
      </c>
      <c r="L1484" s="379"/>
      <c r="M1484" s="379"/>
      <c r="N1484" s="379"/>
      <c r="O1484" s="379"/>
      <c r="P1484" s="379"/>
      <c r="Q1484" s="379"/>
      <c r="R1484" s="379"/>
      <c r="S1484" s="379">
        <v>30140.48</v>
      </c>
      <c r="T1484" s="379">
        <v>3018.89</v>
      </c>
      <c r="U1484" s="379"/>
      <c r="V1484" s="380">
        <v>36130.019999999997</v>
      </c>
      <c r="W1484" s="381">
        <v>5.64</v>
      </c>
      <c r="X1484" s="379"/>
      <c r="Y1484" s="379"/>
      <c r="Z1484" s="379">
        <v>9991001</v>
      </c>
      <c r="AA1484" s="379" t="s">
        <v>2496</v>
      </c>
      <c r="AB1484" s="380">
        <f t="shared" si="21"/>
        <v>0.47</v>
      </c>
    </row>
    <row r="1485" spans="1:28" outlineLevel="2" x14ac:dyDescent="0.3">
      <c r="A1485" s="379">
        <v>432</v>
      </c>
      <c r="B1485" s="379">
        <v>990000</v>
      </c>
      <c r="C1485" s="379" t="s">
        <v>1699</v>
      </c>
      <c r="D1485" s="379">
        <v>7951387</v>
      </c>
      <c r="E1485" s="379" t="s">
        <v>3465</v>
      </c>
      <c r="F1485" s="379" t="s">
        <v>2707</v>
      </c>
      <c r="G1485" s="383">
        <v>31503</v>
      </c>
      <c r="H1485" s="379">
        <v>22687.41</v>
      </c>
      <c r="I1485" s="379"/>
      <c r="J1485" s="379"/>
      <c r="K1485" s="379">
        <v>1701.55</v>
      </c>
      <c r="L1485" s="379"/>
      <c r="M1485" s="379"/>
      <c r="N1485" s="379"/>
      <c r="O1485" s="379">
        <v>1620</v>
      </c>
      <c r="P1485" s="379"/>
      <c r="Q1485" s="379"/>
      <c r="R1485" s="379"/>
      <c r="S1485" s="379">
        <v>18860.04</v>
      </c>
      <c r="T1485" s="379">
        <v>1757.37</v>
      </c>
      <c r="U1485" s="379"/>
      <c r="V1485" s="380">
        <v>24388.959999999999</v>
      </c>
      <c r="W1485" s="381">
        <v>5.7839999999999998</v>
      </c>
      <c r="X1485" s="379"/>
      <c r="Y1485" s="379"/>
      <c r="Z1485" s="379">
        <v>9991001</v>
      </c>
      <c r="AA1485" s="379" t="s">
        <v>2496</v>
      </c>
      <c r="AB1485" s="380">
        <f t="shared" si="21"/>
        <v>0.48199999999999998</v>
      </c>
    </row>
    <row r="1486" spans="1:28" outlineLevel="2" x14ac:dyDescent="0.3">
      <c r="A1486" s="379">
        <v>432</v>
      </c>
      <c r="B1486" s="379">
        <v>990000</v>
      </c>
      <c r="C1486" s="379" t="s">
        <v>1699</v>
      </c>
      <c r="D1486" s="379">
        <v>7951551</v>
      </c>
      <c r="E1486" s="379" t="s">
        <v>2524</v>
      </c>
      <c r="F1486" s="379" t="s">
        <v>3045</v>
      </c>
      <c r="G1486" s="383">
        <v>31959</v>
      </c>
      <c r="H1486" s="379">
        <v>32973.379999999997</v>
      </c>
      <c r="I1486" s="379"/>
      <c r="J1486" s="379"/>
      <c r="K1486" s="379">
        <v>2472.9499999999998</v>
      </c>
      <c r="L1486" s="379"/>
      <c r="M1486" s="379"/>
      <c r="N1486" s="379"/>
      <c r="O1486" s="379"/>
      <c r="P1486" s="379"/>
      <c r="Q1486" s="379"/>
      <c r="R1486" s="379"/>
      <c r="S1486" s="379">
        <v>30272.880000000001</v>
      </c>
      <c r="T1486" s="379">
        <v>2250.5</v>
      </c>
      <c r="U1486" s="379"/>
      <c r="V1486" s="380">
        <v>35446.33</v>
      </c>
      <c r="W1486" s="381">
        <v>4.2</v>
      </c>
      <c r="X1486" s="379"/>
      <c r="Y1486" s="379"/>
      <c r="Z1486" s="379">
        <v>9991001</v>
      </c>
      <c r="AA1486" s="379" t="s">
        <v>2496</v>
      </c>
      <c r="AB1486" s="380">
        <f t="shared" si="21"/>
        <v>0.35000000000000003</v>
      </c>
    </row>
    <row r="1487" spans="1:28" outlineLevel="2" x14ac:dyDescent="0.3">
      <c r="A1487" s="379">
        <v>432</v>
      </c>
      <c r="B1487" s="379">
        <v>990000</v>
      </c>
      <c r="C1487" s="379" t="s">
        <v>1699</v>
      </c>
      <c r="D1487" s="379">
        <v>7951552</v>
      </c>
      <c r="E1487" s="379" t="s">
        <v>2524</v>
      </c>
      <c r="F1487" s="379" t="s">
        <v>3466</v>
      </c>
      <c r="G1487" s="383">
        <v>25447</v>
      </c>
      <c r="H1487" s="379">
        <v>34576.61</v>
      </c>
      <c r="I1487" s="379"/>
      <c r="J1487" s="379"/>
      <c r="K1487" s="379">
        <v>2593.5</v>
      </c>
      <c r="L1487" s="379"/>
      <c r="M1487" s="379"/>
      <c r="N1487" s="379"/>
      <c r="O1487" s="379">
        <v>744</v>
      </c>
      <c r="P1487" s="379"/>
      <c r="Q1487" s="379"/>
      <c r="R1487" s="379"/>
      <c r="S1487" s="379">
        <v>30718.17</v>
      </c>
      <c r="T1487" s="379">
        <v>2664.44</v>
      </c>
      <c r="U1487" s="379"/>
      <c r="V1487" s="380">
        <v>37170.11</v>
      </c>
      <c r="W1487" s="381">
        <v>8.2799999999999994</v>
      </c>
      <c r="X1487" s="379"/>
      <c r="Y1487" s="379"/>
      <c r="Z1487" s="379">
        <v>5923001</v>
      </c>
      <c r="AA1487" s="379" t="s">
        <v>2354</v>
      </c>
      <c r="AB1487" s="380">
        <f t="shared" si="21"/>
        <v>0.69</v>
      </c>
    </row>
    <row r="1488" spans="1:28" outlineLevel="2" x14ac:dyDescent="0.3">
      <c r="A1488" s="379">
        <v>432</v>
      </c>
      <c r="B1488" s="379">
        <v>990000</v>
      </c>
      <c r="C1488" s="379" t="s">
        <v>1699</v>
      </c>
      <c r="D1488" s="379">
        <v>7967156</v>
      </c>
      <c r="E1488" s="379" t="s">
        <v>2318</v>
      </c>
      <c r="F1488" s="379" t="s">
        <v>2738</v>
      </c>
      <c r="G1488" s="383">
        <v>29495</v>
      </c>
      <c r="H1488" s="379">
        <v>53079.06</v>
      </c>
      <c r="I1488" s="379"/>
      <c r="J1488" s="379"/>
      <c r="K1488" s="379">
        <v>3980.9</v>
      </c>
      <c r="L1488" s="379"/>
      <c r="M1488" s="379"/>
      <c r="N1488" s="379"/>
      <c r="O1488" s="379"/>
      <c r="P1488" s="379"/>
      <c r="Q1488" s="379"/>
      <c r="R1488" s="379"/>
      <c r="S1488" s="379">
        <v>48111.1</v>
      </c>
      <c r="T1488" s="379">
        <v>4517.96</v>
      </c>
      <c r="U1488" s="379"/>
      <c r="V1488" s="380">
        <v>57059.96</v>
      </c>
      <c r="W1488" s="381">
        <v>7.02</v>
      </c>
      <c r="X1488" s="379"/>
      <c r="Y1488" s="379"/>
      <c r="Z1488" s="379">
        <v>9991001</v>
      </c>
      <c r="AA1488" s="379" t="s">
        <v>2496</v>
      </c>
      <c r="AB1488" s="380">
        <f t="shared" si="21"/>
        <v>0.58499999999999996</v>
      </c>
    </row>
    <row r="1489" spans="1:28" outlineLevel="2" x14ac:dyDescent="0.3">
      <c r="A1489" s="379">
        <v>432</v>
      </c>
      <c r="B1489" s="379">
        <v>990000</v>
      </c>
      <c r="C1489" s="379" t="s">
        <v>1699</v>
      </c>
      <c r="D1489" s="379">
        <v>7972346</v>
      </c>
      <c r="E1489" s="379" t="s">
        <v>2674</v>
      </c>
      <c r="F1489" s="379" t="s">
        <v>3043</v>
      </c>
      <c r="G1489" s="383">
        <v>38961</v>
      </c>
      <c r="H1489" s="379">
        <v>45511.89</v>
      </c>
      <c r="I1489" s="379"/>
      <c r="J1489" s="379"/>
      <c r="K1489" s="379">
        <v>33.75</v>
      </c>
      <c r="L1489" s="379"/>
      <c r="M1489" s="379"/>
      <c r="N1489" s="379"/>
      <c r="O1489" s="379"/>
      <c r="P1489" s="379">
        <v>4716</v>
      </c>
      <c r="Q1489" s="379"/>
      <c r="R1489" s="379"/>
      <c r="S1489" s="379">
        <v>37333.919999999998</v>
      </c>
      <c r="T1489" s="379">
        <v>3011.97</v>
      </c>
      <c r="U1489" s="379"/>
      <c r="V1489" s="380">
        <v>45545.64</v>
      </c>
      <c r="W1489" s="381">
        <v>4.68</v>
      </c>
      <c r="X1489" s="379"/>
      <c r="Y1489" s="379"/>
      <c r="Z1489" s="379">
        <v>9992001</v>
      </c>
      <c r="AA1489" s="379" t="s">
        <v>2914</v>
      </c>
      <c r="AB1489" s="380">
        <f t="shared" si="21"/>
        <v>0.38999999999999996</v>
      </c>
    </row>
    <row r="1490" spans="1:28" outlineLevel="2" x14ac:dyDescent="0.3">
      <c r="A1490" s="379">
        <v>432</v>
      </c>
      <c r="B1490" s="379">
        <v>990000</v>
      </c>
      <c r="C1490" s="379" t="s">
        <v>1699</v>
      </c>
      <c r="D1490" s="379">
        <v>7985331</v>
      </c>
      <c r="E1490" s="379" t="s">
        <v>2457</v>
      </c>
      <c r="F1490" s="379" t="s">
        <v>3467</v>
      </c>
      <c r="G1490" s="383">
        <v>38504</v>
      </c>
      <c r="H1490" s="379">
        <v>98218.03</v>
      </c>
      <c r="I1490" s="379"/>
      <c r="J1490" s="379"/>
      <c r="K1490" s="379">
        <v>33.75</v>
      </c>
      <c r="L1490" s="379"/>
      <c r="M1490" s="379"/>
      <c r="N1490" s="379"/>
      <c r="O1490" s="379">
        <v>1058.4000000000001</v>
      </c>
      <c r="P1490" s="379">
        <v>16791.72</v>
      </c>
      <c r="Q1490" s="379"/>
      <c r="R1490" s="379"/>
      <c r="S1490" s="379">
        <v>76674.25</v>
      </c>
      <c r="T1490" s="379">
        <v>3243.66</v>
      </c>
      <c r="U1490" s="379"/>
      <c r="V1490" s="380">
        <v>98251.78</v>
      </c>
      <c r="W1490" s="381">
        <v>5.04</v>
      </c>
      <c r="X1490" s="379"/>
      <c r="Y1490" s="379"/>
      <c r="Z1490" s="379">
        <v>9991001</v>
      </c>
      <c r="AA1490" s="379" t="s">
        <v>2496</v>
      </c>
      <c r="AB1490" s="380">
        <f t="shared" si="21"/>
        <v>0.42</v>
      </c>
    </row>
    <row r="1491" spans="1:28" outlineLevel="2" x14ac:dyDescent="0.3">
      <c r="A1491" s="379">
        <v>432</v>
      </c>
      <c r="B1491" s="379">
        <v>990000</v>
      </c>
      <c r="C1491" s="379" t="s">
        <v>1699</v>
      </c>
      <c r="D1491" s="379">
        <v>7994542</v>
      </c>
      <c r="E1491" s="379" t="s">
        <v>2323</v>
      </c>
      <c r="F1491" s="379" t="s">
        <v>3121</v>
      </c>
      <c r="G1491" s="383">
        <v>26390</v>
      </c>
      <c r="H1491" s="379">
        <v>26546.52</v>
      </c>
      <c r="I1491" s="379"/>
      <c r="J1491" s="379"/>
      <c r="K1491" s="379">
        <v>1991.15</v>
      </c>
      <c r="L1491" s="379"/>
      <c r="M1491" s="379"/>
      <c r="N1491" s="379"/>
      <c r="O1491" s="379"/>
      <c r="P1491" s="379"/>
      <c r="Q1491" s="379"/>
      <c r="R1491" s="379"/>
      <c r="S1491" s="379">
        <v>24117.72</v>
      </c>
      <c r="T1491" s="379">
        <v>1978.8</v>
      </c>
      <c r="U1491" s="379"/>
      <c r="V1491" s="380">
        <v>28537.67</v>
      </c>
      <c r="W1491" s="381">
        <v>3.7919999999999998</v>
      </c>
      <c r="X1491" s="379"/>
      <c r="Y1491" s="379"/>
      <c r="Z1491" s="379">
        <v>9991001</v>
      </c>
      <c r="AA1491" s="379" t="s">
        <v>2496</v>
      </c>
      <c r="AB1491" s="380">
        <f t="shared" si="21"/>
        <v>0.316</v>
      </c>
    </row>
    <row r="1492" spans="1:28" outlineLevel="2" x14ac:dyDescent="0.3">
      <c r="A1492" s="379">
        <v>432</v>
      </c>
      <c r="B1492" s="379">
        <v>990000</v>
      </c>
      <c r="C1492" s="379" t="s">
        <v>1699</v>
      </c>
      <c r="D1492" s="379">
        <v>30346301</v>
      </c>
      <c r="E1492" s="379" t="s">
        <v>3468</v>
      </c>
      <c r="F1492" s="379" t="s">
        <v>3469</v>
      </c>
      <c r="G1492" s="383">
        <v>34608</v>
      </c>
      <c r="H1492" s="379">
        <v>24377.88</v>
      </c>
      <c r="I1492" s="379"/>
      <c r="J1492" s="379"/>
      <c r="K1492" s="379">
        <v>1828.55</v>
      </c>
      <c r="L1492" s="379"/>
      <c r="M1492" s="379"/>
      <c r="N1492" s="379"/>
      <c r="O1492" s="379"/>
      <c r="P1492" s="379"/>
      <c r="Q1492" s="379"/>
      <c r="R1492" s="379"/>
      <c r="S1492" s="379">
        <v>21945.05</v>
      </c>
      <c r="T1492" s="379">
        <v>1982.83</v>
      </c>
      <c r="U1492" s="379"/>
      <c r="V1492" s="380">
        <v>26206.43</v>
      </c>
      <c r="W1492" s="381">
        <v>4.4400000000000004</v>
      </c>
      <c r="X1492" s="379"/>
      <c r="Y1492" s="379"/>
      <c r="Z1492" s="379">
        <v>9991001</v>
      </c>
      <c r="AA1492" s="379" t="s">
        <v>2496</v>
      </c>
      <c r="AB1492" s="380">
        <f t="shared" si="21"/>
        <v>0.37000000000000005</v>
      </c>
    </row>
    <row r="1493" spans="1:28" outlineLevel="2" x14ac:dyDescent="0.3">
      <c r="A1493" s="379">
        <v>432</v>
      </c>
      <c r="B1493" s="379">
        <v>990000</v>
      </c>
      <c r="C1493" s="379" t="s">
        <v>1699</v>
      </c>
      <c r="D1493" s="379">
        <v>30422475</v>
      </c>
      <c r="E1493" s="379" t="s">
        <v>3470</v>
      </c>
      <c r="F1493" s="379" t="s">
        <v>3471</v>
      </c>
      <c r="G1493" s="383">
        <v>43405</v>
      </c>
      <c r="H1493" s="379">
        <v>8896.77</v>
      </c>
      <c r="I1493" s="379"/>
      <c r="J1493" s="379"/>
      <c r="K1493" s="379">
        <v>33.75</v>
      </c>
      <c r="L1493" s="379"/>
      <c r="M1493" s="379"/>
      <c r="N1493" s="379"/>
      <c r="O1493" s="379"/>
      <c r="P1493" s="379"/>
      <c r="Q1493" s="379"/>
      <c r="R1493" s="379"/>
      <c r="S1493" s="379">
        <v>7981.29</v>
      </c>
      <c r="T1493" s="379">
        <v>465.48</v>
      </c>
      <c r="U1493" s="379"/>
      <c r="V1493" s="380">
        <v>8930.52</v>
      </c>
      <c r="W1493" s="381">
        <v>1.44</v>
      </c>
      <c r="X1493" s="379"/>
      <c r="Y1493" s="379"/>
      <c r="Z1493" s="379">
        <v>9991001</v>
      </c>
      <c r="AA1493" s="379" t="s">
        <v>2496</v>
      </c>
      <c r="AB1493" s="380">
        <f t="shared" si="21"/>
        <v>0.12</v>
      </c>
    </row>
    <row r="1494" spans="1:28" outlineLevel="2" x14ac:dyDescent="0.3">
      <c r="A1494" s="379">
        <v>432</v>
      </c>
      <c r="B1494" s="379">
        <v>990000</v>
      </c>
      <c r="C1494" s="379" t="s">
        <v>1699</v>
      </c>
      <c r="D1494" s="379">
        <v>30433890</v>
      </c>
      <c r="E1494" s="379" t="s">
        <v>3472</v>
      </c>
      <c r="F1494" s="379" t="s">
        <v>3473</v>
      </c>
      <c r="G1494" s="383">
        <v>34486</v>
      </c>
      <c r="H1494" s="379">
        <v>12669.79</v>
      </c>
      <c r="I1494" s="379"/>
      <c r="J1494" s="379"/>
      <c r="K1494" s="379">
        <v>950.3</v>
      </c>
      <c r="L1494" s="379"/>
      <c r="M1494" s="379"/>
      <c r="N1494" s="379"/>
      <c r="O1494" s="379"/>
      <c r="P1494" s="379"/>
      <c r="Q1494" s="379"/>
      <c r="R1494" s="379"/>
      <c r="S1494" s="379">
        <v>11199.09</v>
      </c>
      <c r="T1494" s="379">
        <v>1020.7</v>
      </c>
      <c r="U1494" s="379"/>
      <c r="V1494" s="380">
        <v>13620.09</v>
      </c>
      <c r="W1494" s="381">
        <v>3.9</v>
      </c>
      <c r="X1494" s="379"/>
      <c r="Y1494" s="379"/>
      <c r="Z1494" s="379">
        <v>9991001</v>
      </c>
      <c r="AA1494" s="379" t="s">
        <v>2496</v>
      </c>
      <c r="AB1494" s="380">
        <f t="shared" si="21"/>
        <v>0.32500000000000001</v>
      </c>
    </row>
    <row r="1495" spans="1:28" outlineLevel="2" x14ac:dyDescent="0.3">
      <c r="A1495" s="379">
        <v>432</v>
      </c>
      <c r="B1495" s="379">
        <v>990000</v>
      </c>
      <c r="C1495" s="379" t="s">
        <v>1699</v>
      </c>
      <c r="D1495" s="379">
        <v>30453242</v>
      </c>
      <c r="E1495" s="379" t="s">
        <v>3474</v>
      </c>
      <c r="F1495" s="379" t="s">
        <v>3475</v>
      </c>
      <c r="G1495" s="383">
        <v>33270</v>
      </c>
      <c r="H1495" s="379">
        <v>40876.06</v>
      </c>
      <c r="I1495" s="379"/>
      <c r="J1495" s="379"/>
      <c r="K1495" s="379">
        <v>3065.65</v>
      </c>
      <c r="L1495" s="379"/>
      <c r="M1495" s="379"/>
      <c r="N1495" s="379"/>
      <c r="O1495" s="379"/>
      <c r="P1495" s="379"/>
      <c r="Q1495" s="379"/>
      <c r="R1495" s="379"/>
      <c r="S1495" s="379">
        <v>36997.050000000003</v>
      </c>
      <c r="T1495" s="379">
        <v>3429.01</v>
      </c>
      <c r="U1495" s="379"/>
      <c r="V1495" s="380">
        <v>43941.71</v>
      </c>
      <c r="W1495" s="381">
        <v>6.12</v>
      </c>
      <c r="X1495" s="379"/>
      <c r="Y1495" s="379"/>
      <c r="Z1495" s="379">
        <v>9991001</v>
      </c>
      <c r="AA1495" s="379" t="s">
        <v>2496</v>
      </c>
      <c r="AB1495" s="380">
        <f t="shared" si="21"/>
        <v>0.51</v>
      </c>
    </row>
    <row r="1496" spans="1:28" outlineLevel="2" x14ac:dyDescent="0.3">
      <c r="A1496" s="379">
        <v>432</v>
      </c>
      <c r="B1496" s="379">
        <v>990000</v>
      </c>
      <c r="C1496" s="379" t="s">
        <v>1699</v>
      </c>
      <c r="D1496" s="379">
        <v>30592464</v>
      </c>
      <c r="E1496" s="379" t="s">
        <v>3476</v>
      </c>
      <c r="F1496" s="379" t="s">
        <v>3477</v>
      </c>
      <c r="G1496" s="383">
        <v>34578</v>
      </c>
      <c r="H1496" s="379">
        <v>20172.169999999998</v>
      </c>
      <c r="I1496" s="379"/>
      <c r="J1496" s="379"/>
      <c r="K1496" s="379">
        <v>1512.8</v>
      </c>
      <c r="L1496" s="379"/>
      <c r="M1496" s="379"/>
      <c r="N1496" s="379"/>
      <c r="O1496" s="379"/>
      <c r="P1496" s="379"/>
      <c r="Q1496" s="379"/>
      <c r="R1496" s="379"/>
      <c r="S1496" s="379">
        <v>18106.57</v>
      </c>
      <c r="T1496" s="379">
        <v>1615.6</v>
      </c>
      <c r="U1496" s="379"/>
      <c r="V1496" s="380">
        <v>21684.97</v>
      </c>
      <c r="W1496" s="381">
        <v>4.5599999999999996</v>
      </c>
      <c r="X1496" s="379"/>
      <c r="Y1496" s="379"/>
      <c r="Z1496" s="379">
        <v>9991001</v>
      </c>
      <c r="AA1496" s="379" t="s">
        <v>2496</v>
      </c>
      <c r="AB1496" s="380">
        <f t="shared" si="21"/>
        <v>0.37999999999999995</v>
      </c>
    </row>
    <row r="1497" spans="1:28" outlineLevel="2" x14ac:dyDescent="0.3">
      <c r="A1497" s="379">
        <v>432</v>
      </c>
      <c r="B1497" s="379">
        <v>990000</v>
      </c>
      <c r="C1497" s="379" t="s">
        <v>1699</v>
      </c>
      <c r="D1497" s="379">
        <v>30619971</v>
      </c>
      <c r="E1497" s="379" t="s">
        <v>3478</v>
      </c>
      <c r="F1497" s="379" t="s">
        <v>2458</v>
      </c>
      <c r="G1497" s="383">
        <v>33786</v>
      </c>
      <c r="H1497" s="379">
        <v>19426.509999999998</v>
      </c>
      <c r="I1497" s="379"/>
      <c r="J1497" s="379"/>
      <c r="K1497" s="379">
        <v>1456.75</v>
      </c>
      <c r="L1497" s="379"/>
      <c r="M1497" s="379"/>
      <c r="N1497" s="379"/>
      <c r="O1497" s="379"/>
      <c r="P1497" s="379"/>
      <c r="Q1497" s="379"/>
      <c r="R1497" s="379"/>
      <c r="S1497" s="379">
        <v>17571.240000000002</v>
      </c>
      <c r="T1497" s="379">
        <v>1405.27</v>
      </c>
      <c r="U1497" s="379"/>
      <c r="V1497" s="380">
        <v>20883.259999999998</v>
      </c>
      <c r="W1497" s="381">
        <v>4.4400000000000004</v>
      </c>
      <c r="X1497" s="379"/>
      <c r="Y1497" s="379"/>
      <c r="Z1497" s="379">
        <v>9991001</v>
      </c>
      <c r="AA1497" s="379" t="s">
        <v>2496</v>
      </c>
      <c r="AB1497" s="380">
        <f t="shared" si="21"/>
        <v>0.37000000000000005</v>
      </c>
    </row>
    <row r="1498" spans="1:28" outlineLevel="2" x14ac:dyDescent="0.3">
      <c r="A1498" s="379">
        <v>432</v>
      </c>
      <c r="B1498" s="379">
        <v>990000</v>
      </c>
      <c r="C1498" s="379" t="s">
        <v>1699</v>
      </c>
      <c r="D1498" s="379">
        <v>30677407</v>
      </c>
      <c r="E1498" s="379" t="s">
        <v>3479</v>
      </c>
      <c r="F1498" s="379" t="s">
        <v>3473</v>
      </c>
      <c r="G1498" s="383">
        <v>34243</v>
      </c>
      <c r="H1498" s="379">
        <v>13972.27</v>
      </c>
      <c r="I1498" s="379"/>
      <c r="J1498" s="379"/>
      <c r="K1498" s="379">
        <v>1047.9000000000001</v>
      </c>
      <c r="L1498" s="379"/>
      <c r="M1498" s="379"/>
      <c r="N1498" s="379"/>
      <c r="O1498" s="379"/>
      <c r="P1498" s="379"/>
      <c r="Q1498" s="379"/>
      <c r="R1498" s="379"/>
      <c r="S1498" s="379">
        <v>12520.44</v>
      </c>
      <c r="T1498" s="379">
        <v>1001.83</v>
      </c>
      <c r="U1498" s="379"/>
      <c r="V1498" s="380">
        <v>15020.17</v>
      </c>
      <c r="W1498" s="381">
        <v>3.012</v>
      </c>
      <c r="X1498" s="379"/>
      <c r="Y1498" s="379"/>
      <c r="Z1498" s="379">
        <v>9991001</v>
      </c>
      <c r="AA1498" s="379" t="s">
        <v>2496</v>
      </c>
      <c r="AB1498" s="380">
        <f t="shared" si="21"/>
        <v>0.251</v>
      </c>
    </row>
    <row r="1499" spans="1:28" outlineLevel="2" x14ac:dyDescent="0.3">
      <c r="A1499" s="379">
        <v>432</v>
      </c>
      <c r="B1499" s="379">
        <v>990000</v>
      </c>
      <c r="C1499" s="379" t="s">
        <v>1699</v>
      </c>
      <c r="D1499" s="379">
        <v>30697637</v>
      </c>
      <c r="E1499" s="379" t="s">
        <v>3480</v>
      </c>
      <c r="F1499" s="379" t="s">
        <v>2376</v>
      </c>
      <c r="G1499" s="383">
        <v>33390</v>
      </c>
      <c r="H1499" s="379">
        <v>23071.16</v>
      </c>
      <c r="I1499" s="379"/>
      <c r="J1499" s="379"/>
      <c r="K1499" s="379">
        <v>1730.2</v>
      </c>
      <c r="L1499" s="379"/>
      <c r="M1499" s="379"/>
      <c r="N1499" s="379"/>
      <c r="O1499" s="379"/>
      <c r="P1499" s="379"/>
      <c r="Q1499" s="379"/>
      <c r="R1499" s="379"/>
      <c r="S1499" s="379">
        <v>20833.62</v>
      </c>
      <c r="T1499" s="379">
        <v>1787.54</v>
      </c>
      <c r="U1499" s="379"/>
      <c r="V1499" s="380">
        <v>24801.360000000001</v>
      </c>
      <c r="W1499" s="381">
        <v>4.4400000000000004</v>
      </c>
      <c r="X1499" s="379"/>
      <c r="Y1499" s="379"/>
      <c r="Z1499" s="379">
        <v>9991001</v>
      </c>
      <c r="AA1499" s="379" t="s">
        <v>2496</v>
      </c>
      <c r="AB1499" s="380">
        <f t="shared" si="21"/>
        <v>0.37000000000000005</v>
      </c>
    </row>
    <row r="1500" spans="1:28" outlineLevel="2" x14ac:dyDescent="0.3">
      <c r="A1500" s="379">
        <v>432</v>
      </c>
      <c r="B1500" s="379">
        <v>990000</v>
      </c>
      <c r="C1500" s="379" t="s">
        <v>1699</v>
      </c>
      <c r="D1500" s="379">
        <v>30710485</v>
      </c>
      <c r="E1500" s="379" t="s">
        <v>3481</v>
      </c>
      <c r="F1500" s="379" t="s">
        <v>3482</v>
      </c>
      <c r="G1500" s="383">
        <v>34486</v>
      </c>
      <c r="H1500" s="379">
        <v>11314.6</v>
      </c>
      <c r="I1500" s="379"/>
      <c r="J1500" s="379"/>
      <c r="K1500" s="379">
        <v>848.5</v>
      </c>
      <c r="L1500" s="379"/>
      <c r="M1500" s="379"/>
      <c r="N1500" s="379"/>
      <c r="O1500" s="379"/>
      <c r="P1500" s="379"/>
      <c r="Q1500" s="379"/>
      <c r="R1500" s="379"/>
      <c r="S1500" s="379">
        <v>10019.1</v>
      </c>
      <c r="T1500" s="379">
        <v>845.5</v>
      </c>
      <c r="U1500" s="379"/>
      <c r="V1500" s="380">
        <v>12163.1</v>
      </c>
      <c r="W1500" s="381">
        <v>3.48</v>
      </c>
      <c r="X1500" s="379"/>
      <c r="Y1500" s="379"/>
      <c r="Z1500" s="379">
        <v>9991001</v>
      </c>
      <c r="AA1500" s="379" t="s">
        <v>2496</v>
      </c>
      <c r="AB1500" s="380">
        <f t="shared" si="21"/>
        <v>0.28999999999999998</v>
      </c>
    </row>
    <row r="1501" spans="1:28" outlineLevel="2" x14ac:dyDescent="0.3">
      <c r="A1501" s="379">
        <v>432</v>
      </c>
      <c r="B1501" s="379">
        <v>990000</v>
      </c>
      <c r="C1501" s="379" t="s">
        <v>1699</v>
      </c>
      <c r="D1501" s="379">
        <v>30995515</v>
      </c>
      <c r="E1501" s="379" t="s">
        <v>2494</v>
      </c>
      <c r="F1501" s="379" t="s">
        <v>2495</v>
      </c>
      <c r="G1501" s="383">
        <v>36161</v>
      </c>
      <c r="H1501" s="379">
        <v>26098.28</v>
      </c>
      <c r="I1501" s="379">
        <v>69.069999999999993</v>
      </c>
      <c r="J1501" s="379"/>
      <c r="K1501" s="379">
        <v>1957.1</v>
      </c>
      <c r="L1501" s="379"/>
      <c r="M1501" s="379"/>
      <c r="N1501" s="379"/>
      <c r="O1501" s="379">
        <v>1945.86</v>
      </c>
      <c r="P1501" s="379"/>
      <c r="Q1501" s="379"/>
      <c r="R1501" s="379"/>
      <c r="S1501" s="379">
        <v>23510.42</v>
      </c>
      <c r="T1501" s="379">
        <v>492</v>
      </c>
      <c r="U1501" s="379"/>
      <c r="V1501" s="380">
        <v>28124.45</v>
      </c>
      <c r="W1501" s="381">
        <v>3.4729999999999999</v>
      </c>
      <c r="X1501" s="379"/>
      <c r="Y1501" s="379"/>
      <c r="Z1501" s="379">
        <v>9991001</v>
      </c>
      <c r="AA1501" s="379" t="s">
        <v>2496</v>
      </c>
      <c r="AB1501" s="380">
        <f t="shared" si="21"/>
        <v>0.28941666666666666</v>
      </c>
    </row>
    <row r="1502" spans="1:28" outlineLevel="2" x14ac:dyDescent="0.3">
      <c r="A1502" s="379">
        <v>432</v>
      </c>
      <c r="B1502" s="379">
        <v>990000</v>
      </c>
      <c r="C1502" s="379" t="s">
        <v>1699</v>
      </c>
      <c r="D1502" s="379">
        <v>31049977</v>
      </c>
      <c r="E1502" s="379" t="s">
        <v>3483</v>
      </c>
      <c r="F1502" s="379" t="s">
        <v>3484</v>
      </c>
      <c r="G1502" s="383">
        <v>34151</v>
      </c>
      <c r="H1502" s="379">
        <v>30396.57</v>
      </c>
      <c r="I1502" s="379"/>
      <c r="J1502" s="379"/>
      <c r="K1502" s="379">
        <v>2279.6</v>
      </c>
      <c r="L1502" s="379"/>
      <c r="M1502" s="379"/>
      <c r="N1502" s="379"/>
      <c r="O1502" s="379"/>
      <c r="P1502" s="379"/>
      <c r="Q1502" s="379"/>
      <c r="R1502" s="379"/>
      <c r="S1502" s="379">
        <v>27458.16</v>
      </c>
      <c r="T1502" s="379">
        <v>2488.41</v>
      </c>
      <c r="U1502" s="379"/>
      <c r="V1502" s="380">
        <v>32676.17</v>
      </c>
      <c r="W1502" s="381">
        <v>5.4</v>
      </c>
      <c r="X1502" s="379"/>
      <c r="Y1502" s="379"/>
      <c r="Z1502" s="379">
        <v>9991001</v>
      </c>
      <c r="AA1502" s="379" t="s">
        <v>2496</v>
      </c>
      <c r="AB1502" s="380">
        <f t="shared" si="21"/>
        <v>0.45</v>
      </c>
    </row>
    <row r="1503" spans="1:28" outlineLevel="2" x14ac:dyDescent="0.3">
      <c r="A1503" s="379">
        <v>432</v>
      </c>
      <c r="B1503" s="379">
        <v>990000</v>
      </c>
      <c r="C1503" s="379" t="s">
        <v>1699</v>
      </c>
      <c r="D1503" s="379">
        <v>31264922</v>
      </c>
      <c r="E1503" s="379" t="s">
        <v>3485</v>
      </c>
      <c r="F1503" s="379" t="s">
        <v>3172</v>
      </c>
      <c r="G1503" s="383">
        <v>34639</v>
      </c>
      <c r="H1503" s="379">
        <v>18364.32</v>
      </c>
      <c r="I1503" s="379"/>
      <c r="J1503" s="379"/>
      <c r="K1503" s="379">
        <v>1377.3</v>
      </c>
      <c r="L1503" s="379"/>
      <c r="M1503" s="379"/>
      <c r="N1503" s="379"/>
      <c r="O1503" s="379"/>
      <c r="P1503" s="379"/>
      <c r="Q1503" s="379"/>
      <c r="R1503" s="379"/>
      <c r="S1503" s="379">
        <v>16448.28</v>
      </c>
      <c r="T1503" s="379">
        <v>1466.04</v>
      </c>
      <c r="U1503" s="379"/>
      <c r="V1503" s="380">
        <v>19741.62</v>
      </c>
      <c r="W1503" s="381">
        <v>4.2</v>
      </c>
      <c r="X1503" s="379"/>
      <c r="Y1503" s="379"/>
      <c r="Z1503" s="379">
        <v>9991001</v>
      </c>
      <c r="AA1503" s="379" t="s">
        <v>2496</v>
      </c>
      <c r="AB1503" s="380">
        <f t="shared" si="21"/>
        <v>0.35000000000000003</v>
      </c>
    </row>
    <row r="1504" spans="1:28" outlineLevel="2" x14ac:dyDescent="0.3">
      <c r="A1504" s="379">
        <v>432</v>
      </c>
      <c r="B1504" s="379">
        <v>990000</v>
      </c>
      <c r="C1504" s="379" t="s">
        <v>1699</v>
      </c>
      <c r="D1504" s="379">
        <v>31437797</v>
      </c>
      <c r="E1504" s="379" t="s">
        <v>3486</v>
      </c>
      <c r="F1504" s="379" t="s">
        <v>3487</v>
      </c>
      <c r="G1504" s="383">
        <v>35125</v>
      </c>
      <c r="H1504" s="379">
        <v>20928.330000000002</v>
      </c>
      <c r="I1504" s="379"/>
      <c r="J1504" s="379"/>
      <c r="K1504" s="379">
        <v>1569.65</v>
      </c>
      <c r="L1504" s="379"/>
      <c r="M1504" s="379"/>
      <c r="N1504" s="379"/>
      <c r="O1504" s="379"/>
      <c r="P1504" s="379"/>
      <c r="Q1504" s="379"/>
      <c r="R1504" s="379"/>
      <c r="S1504" s="379">
        <v>18806.37</v>
      </c>
      <c r="T1504" s="379">
        <v>1671.96</v>
      </c>
      <c r="U1504" s="379"/>
      <c r="V1504" s="380">
        <v>22497.98</v>
      </c>
      <c r="W1504" s="381">
        <v>4.08</v>
      </c>
      <c r="X1504" s="379"/>
      <c r="Y1504" s="379"/>
      <c r="Z1504" s="379">
        <v>9991001</v>
      </c>
      <c r="AA1504" s="379" t="s">
        <v>2496</v>
      </c>
      <c r="AB1504" s="380">
        <f t="shared" si="21"/>
        <v>0.34</v>
      </c>
    </row>
    <row r="1505" spans="1:28" outlineLevel="2" x14ac:dyDescent="0.3">
      <c r="A1505" s="379">
        <v>432</v>
      </c>
      <c r="B1505" s="379">
        <v>990000</v>
      </c>
      <c r="C1505" s="379" t="s">
        <v>1699</v>
      </c>
      <c r="D1505" s="379">
        <v>31748217</v>
      </c>
      <c r="E1505" s="379" t="s">
        <v>3488</v>
      </c>
      <c r="F1505" s="379" t="s">
        <v>3489</v>
      </c>
      <c r="G1505" s="383">
        <v>35827</v>
      </c>
      <c r="H1505" s="379">
        <v>19122.3</v>
      </c>
      <c r="I1505" s="379"/>
      <c r="J1505" s="379"/>
      <c r="K1505" s="379">
        <v>1434.35</v>
      </c>
      <c r="L1505" s="379"/>
      <c r="M1505" s="379"/>
      <c r="N1505" s="379"/>
      <c r="O1505" s="379"/>
      <c r="P1505" s="379"/>
      <c r="Q1505" s="379"/>
      <c r="R1505" s="379"/>
      <c r="S1505" s="379">
        <v>17191.23</v>
      </c>
      <c r="T1505" s="379">
        <v>1481.07</v>
      </c>
      <c r="U1505" s="379"/>
      <c r="V1505" s="380">
        <v>20556.650000000001</v>
      </c>
      <c r="W1505" s="381">
        <v>4.68</v>
      </c>
      <c r="X1505" s="379"/>
      <c r="Y1505" s="379"/>
      <c r="Z1505" s="379">
        <v>9991001</v>
      </c>
      <c r="AA1505" s="379" t="s">
        <v>2496</v>
      </c>
      <c r="AB1505" s="380">
        <f t="shared" si="21"/>
        <v>0.38999999999999996</v>
      </c>
    </row>
    <row r="1506" spans="1:28" outlineLevel="2" x14ac:dyDescent="0.3">
      <c r="A1506" s="379">
        <v>432</v>
      </c>
      <c r="B1506" s="379">
        <v>990000</v>
      </c>
      <c r="C1506" s="379" t="s">
        <v>1699</v>
      </c>
      <c r="D1506" s="379">
        <v>67280248</v>
      </c>
      <c r="E1506" s="379" t="s">
        <v>2323</v>
      </c>
      <c r="F1506" s="379" t="s">
        <v>3045</v>
      </c>
      <c r="G1506" s="383">
        <v>43435</v>
      </c>
      <c r="H1506" s="379">
        <v>9258.66</v>
      </c>
      <c r="I1506" s="379">
        <v>40.24</v>
      </c>
      <c r="J1506" s="379"/>
      <c r="K1506" s="379">
        <v>694.55</v>
      </c>
      <c r="L1506" s="379"/>
      <c r="M1506" s="379"/>
      <c r="N1506" s="379"/>
      <c r="O1506" s="379">
        <v>8377.16</v>
      </c>
      <c r="P1506" s="379"/>
      <c r="Q1506" s="379"/>
      <c r="R1506" s="379"/>
      <c r="S1506" s="379">
        <v>431.5</v>
      </c>
      <c r="T1506" s="379"/>
      <c r="U1506" s="379"/>
      <c r="V1506" s="380">
        <v>9993.4500000000007</v>
      </c>
      <c r="W1506" s="381">
        <v>2.4</v>
      </c>
      <c r="X1506" s="379"/>
      <c r="Y1506" s="379"/>
      <c r="Z1506" s="379">
        <v>9991001</v>
      </c>
      <c r="AA1506" s="379" t="s">
        <v>2496</v>
      </c>
      <c r="AB1506" s="380">
        <f t="shared" ref="AB1506:AB1550" si="22">W1506/12</f>
        <v>0.19999999999999998</v>
      </c>
    </row>
    <row r="1507" spans="1:28" outlineLevel="1" x14ac:dyDescent="0.3">
      <c r="A1507" s="379"/>
      <c r="B1507" s="384" t="s">
        <v>3490</v>
      </c>
      <c r="C1507" s="379"/>
      <c r="D1507" s="379"/>
      <c r="E1507" s="379"/>
      <c r="F1507" s="379"/>
      <c r="G1507" s="383"/>
      <c r="H1507" s="379"/>
      <c r="I1507" s="379"/>
      <c r="J1507" s="379"/>
      <c r="K1507" s="379"/>
      <c r="L1507" s="379"/>
      <c r="M1507" s="379"/>
      <c r="N1507" s="379"/>
      <c r="O1507" s="379"/>
      <c r="P1507" s="379"/>
      <c r="Q1507" s="379"/>
      <c r="R1507" s="379"/>
      <c r="S1507" s="379"/>
      <c r="T1507" s="379"/>
      <c r="U1507" s="379"/>
      <c r="V1507" s="380">
        <f>SUBTOTAL(9,V1112:V1506)</f>
        <v>22752895.330000013</v>
      </c>
      <c r="W1507" s="381">
        <f>SUBTOTAL(9,W1112:W1506)</f>
        <v>2299.4110000000014</v>
      </c>
      <c r="X1507" s="379"/>
      <c r="Y1507" s="379"/>
      <c r="Z1507" s="379"/>
      <c r="AA1507" s="379"/>
      <c r="AB1507" s="380">
        <f>SUBTOTAL(9,AB1112:AB1506)</f>
        <v>191.61758333333313</v>
      </c>
    </row>
    <row r="1508" spans="1:28" outlineLevel="2" x14ac:dyDescent="0.3">
      <c r="A1508" s="379">
        <v>431</v>
      </c>
      <c r="B1508" s="379">
        <v>991000</v>
      </c>
      <c r="C1508" s="379" t="s">
        <v>3491</v>
      </c>
      <c r="D1508" s="379">
        <v>2295789</v>
      </c>
      <c r="E1508" s="379" t="s">
        <v>2412</v>
      </c>
      <c r="F1508" s="379" t="s">
        <v>2413</v>
      </c>
      <c r="G1508" s="383">
        <v>40848</v>
      </c>
      <c r="H1508" s="379">
        <v>58208.83</v>
      </c>
      <c r="I1508" s="379">
        <v>94.43</v>
      </c>
      <c r="J1508" s="379"/>
      <c r="K1508" s="379">
        <v>4365.66</v>
      </c>
      <c r="L1508" s="379"/>
      <c r="M1508" s="379"/>
      <c r="N1508" s="379"/>
      <c r="O1508" s="379">
        <v>54864.83</v>
      </c>
      <c r="P1508" s="379"/>
      <c r="Q1508" s="379"/>
      <c r="R1508" s="379"/>
      <c r="S1508" s="379">
        <v>1944</v>
      </c>
      <c r="T1508" s="379">
        <v>1400</v>
      </c>
      <c r="U1508" s="379"/>
      <c r="V1508" s="380">
        <v>62668.92</v>
      </c>
      <c r="W1508" s="381"/>
      <c r="X1508" s="379"/>
      <c r="Y1508" s="379"/>
      <c r="Z1508" s="379">
        <v>1102001</v>
      </c>
      <c r="AA1508" s="379" t="s">
        <v>2414</v>
      </c>
      <c r="AB1508" s="380">
        <f t="shared" si="22"/>
        <v>0</v>
      </c>
    </row>
    <row r="1509" spans="1:28" outlineLevel="2" x14ac:dyDescent="0.3">
      <c r="A1509" s="379">
        <v>431</v>
      </c>
      <c r="B1509" s="379">
        <v>991000</v>
      </c>
      <c r="C1509" s="379" t="s">
        <v>3491</v>
      </c>
      <c r="D1509" s="379">
        <v>2459772</v>
      </c>
      <c r="E1509" s="379" t="s">
        <v>2295</v>
      </c>
      <c r="F1509" s="379" t="s">
        <v>2296</v>
      </c>
      <c r="G1509" s="383">
        <v>41609</v>
      </c>
      <c r="H1509" s="379">
        <v>86698.75</v>
      </c>
      <c r="I1509" s="379"/>
      <c r="J1509" s="379"/>
      <c r="K1509" s="379">
        <v>2616.4499999999998</v>
      </c>
      <c r="L1509" s="379"/>
      <c r="M1509" s="379"/>
      <c r="N1509" s="379"/>
      <c r="O1509" s="379">
        <v>34886.870000000003</v>
      </c>
      <c r="P1509" s="379"/>
      <c r="Q1509" s="379"/>
      <c r="R1509" s="379"/>
      <c r="S1509" s="379">
        <v>51811.88</v>
      </c>
      <c r="T1509" s="379"/>
      <c r="U1509" s="379"/>
      <c r="V1509" s="380">
        <v>89315.199999999997</v>
      </c>
      <c r="W1509" s="381"/>
      <c r="X1509" s="379"/>
      <c r="Y1509" s="379"/>
      <c r="Z1509" s="379">
        <v>2012001</v>
      </c>
      <c r="AA1509" s="379" t="s">
        <v>2297</v>
      </c>
      <c r="AB1509" s="380">
        <f t="shared" si="22"/>
        <v>0</v>
      </c>
    </row>
    <row r="1510" spans="1:28" outlineLevel="2" x14ac:dyDescent="0.3">
      <c r="A1510" s="379">
        <v>431</v>
      </c>
      <c r="B1510" s="379">
        <v>991000</v>
      </c>
      <c r="C1510" s="379" t="s">
        <v>3491</v>
      </c>
      <c r="D1510" s="379">
        <v>2887561</v>
      </c>
      <c r="E1510" s="379" t="s">
        <v>2323</v>
      </c>
      <c r="F1510" s="379" t="s">
        <v>2324</v>
      </c>
      <c r="G1510" s="383">
        <v>42522</v>
      </c>
      <c r="H1510" s="379">
        <v>19780.66</v>
      </c>
      <c r="I1510" s="379">
        <v>500.51</v>
      </c>
      <c r="J1510" s="379"/>
      <c r="K1510" s="379">
        <v>726.44</v>
      </c>
      <c r="L1510" s="379"/>
      <c r="M1510" s="379"/>
      <c r="N1510" s="379"/>
      <c r="O1510" s="379">
        <v>4330</v>
      </c>
      <c r="P1510" s="379"/>
      <c r="Q1510" s="379"/>
      <c r="R1510" s="379"/>
      <c r="S1510" s="379">
        <v>8646.66</v>
      </c>
      <c r="T1510" s="379">
        <v>6804</v>
      </c>
      <c r="U1510" s="379"/>
      <c r="V1510" s="380">
        <v>21007.61</v>
      </c>
      <c r="W1510" s="381"/>
      <c r="X1510" s="379"/>
      <c r="Y1510" s="379"/>
      <c r="Z1510" s="379">
        <v>3202006</v>
      </c>
      <c r="AA1510" s="379" t="s">
        <v>2325</v>
      </c>
      <c r="AB1510" s="380">
        <f t="shared" si="22"/>
        <v>0</v>
      </c>
    </row>
    <row r="1511" spans="1:28" outlineLevel="2" x14ac:dyDescent="0.3">
      <c r="A1511" s="379">
        <v>431</v>
      </c>
      <c r="B1511" s="379">
        <v>991000</v>
      </c>
      <c r="C1511" s="379" t="s">
        <v>3491</v>
      </c>
      <c r="D1511" s="379">
        <v>3467355</v>
      </c>
      <c r="E1511" s="379" t="s">
        <v>3130</v>
      </c>
      <c r="F1511" s="379" t="s">
        <v>3131</v>
      </c>
      <c r="G1511" s="383">
        <v>42948</v>
      </c>
      <c r="H1511" s="379">
        <v>3586</v>
      </c>
      <c r="I1511" s="379">
        <v>190.76</v>
      </c>
      <c r="J1511" s="379">
        <v>842.71</v>
      </c>
      <c r="K1511" s="379">
        <v>268.93</v>
      </c>
      <c r="L1511" s="379"/>
      <c r="M1511" s="379"/>
      <c r="N1511" s="379"/>
      <c r="O1511" s="379"/>
      <c r="P1511" s="379"/>
      <c r="Q1511" s="379"/>
      <c r="R1511" s="379"/>
      <c r="S1511" s="379"/>
      <c r="T1511" s="379">
        <v>3586</v>
      </c>
      <c r="U1511" s="379"/>
      <c r="V1511" s="380">
        <v>4888.3999999999996</v>
      </c>
      <c r="W1511" s="381"/>
      <c r="X1511" s="379"/>
      <c r="Y1511" s="379"/>
      <c r="Z1511" s="379">
        <v>1401001</v>
      </c>
      <c r="AA1511" s="379" t="s">
        <v>3098</v>
      </c>
      <c r="AB1511" s="380">
        <f t="shared" si="22"/>
        <v>0</v>
      </c>
    </row>
    <row r="1512" spans="1:28" outlineLevel="2" x14ac:dyDescent="0.3">
      <c r="A1512" s="379">
        <v>431</v>
      </c>
      <c r="B1512" s="379">
        <v>991000</v>
      </c>
      <c r="C1512" s="379" t="s">
        <v>3491</v>
      </c>
      <c r="D1512" s="379">
        <v>3599526</v>
      </c>
      <c r="E1512" s="379" t="s">
        <v>3133</v>
      </c>
      <c r="F1512" s="379" t="s">
        <v>969</v>
      </c>
      <c r="G1512" s="383">
        <v>43344</v>
      </c>
      <c r="H1512" s="379">
        <v>7652.8</v>
      </c>
      <c r="I1512" s="379">
        <v>402.93</v>
      </c>
      <c r="J1512" s="379"/>
      <c r="K1512" s="379">
        <v>573.97</v>
      </c>
      <c r="L1512" s="379"/>
      <c r="M1512" s="379"/>
      <c r="N1512" s="379"/>
      <c r="O1512" s="379"/>
      <c r="P1512" s="379"/>
      <c r="Q1512" s="379"/>
      <c r="R1512" s="379"/>
      <c r="S1512" s="379">
        <v>2074.8000000000002</v>
      </c>
      <c r="T1512" s="379">
        <v>5578</v>
      </c>
      <c r="U1512" s="379"/>
      <c r="V1512" s="380">
        <v>8629.7000000000007</v>
      </c>
      <c r="W1512" s="381"/>
      <c r="X1512" s="379"/>
      <c r="Y1512" s="379"/>
      <c r="Z1512" s="379">
        <v>1401001</v>
      </c>
      <c r="AA1512" s="379" t="s">
        <v>3098</v>
      </c>
      <c r="AB1512" s="380">
        <f t="shared" si="22"/>
        <v>0</v>
      </c>
    </row>
    <row r="1513" spans="1:28" outlineLevel="2" x14ac:dyDescent="0.3">
      <c r="A1513" s="379">
        <v>431</v>
      </c>
      <c r="B1513" s="379">
        <v>991000</v>
      </c>
      <c r="C1513" s="379" t="s">
        <v>3491</v>
      </c>
      <c r="D1513" s="379">
        <v>3634370</v>
      </c>
      <c r="E1513" s="379" t="s">
        <v>2334</v>
      </c>
      <c r="F1513" s="379" t="s">
        <v>2335</v>
      </c>
      <c r="G1513" s="383">
        <v>41944</v>
      </c>
      <c r="H1513" s="379">
        <v>26672.31</v>
      </c>
      <c r="I1513" s="379">
        <v>347.55</v>
      </c>
      <c r="J1513" s="379"/>
      <c r="K1513" s="379">
        <v>699.8</v>
      </c>
      <c r="L1513" s="379"/>
      <c r="M1513" s="379"/>
      <c r="N1513" s="379"/>
      <c r="O1513" s="379">
        <v>11278</v>
      </c>
      <c r="P1513" s="379"/>
      <c r="Q1513" s="379"/>
      <c r="R1513" s="379"/>
      <c r="S1513" s="379">
        <v>10363.31</v>
      </c>
      <c r="T1513" s="379">
        <v>5031</v>
      </c>
      <c r="U1513" s="379"/>
      <c r="V1513" s="380">
        <v>27719.66</v>
      </c>
      <c r="W1513" s="381"/>
      <c r="X1513" s="379"/>
      <c r="Y1513" s="379"/>
      <c r="Z1513" s="379">
        <v>3311007</v>
      </c>
      <c r="AA1513" s="379" t="s">
        <v>2336</v>
      </c>
      <c r="AB1513" s="380">
        <f t="shared" si="22"/>
        <v>0</v>
      </c>
    </row>
    <row r="1514" spans="1:28" outlineLevel="2" x14ac:dyDescent="0.3">
      <c r="A1514" s="379">
        <v>431</v>
      </c>
      <c r="B1514" s="379">
        <v>991000</v>
      </c>
      <c r="C1514" s="379" t="s">
        <v>3491</v>
      </c>
      <c r="D1514" s="379">
        <v>3827570</v>
      </c>
      <c r="E1514" s="379" t="s">
        <v>2332</v>
      </c>
      <c r="F1514" s="379" t="s">
        <v>2507</v>
      </c>
      <c r="G1514" s="383">
        <v>42614</v>
      </c>
      <c r="H1514" s="379">
        <v>9966.0300000000007</v>
      </c>
      <c r="I1514" s="379">
        <v>102.93</v>
      </c>
      <c r="J1514" s="379">
        <v>624.96</v>
      </c>
      <c r="K1514" s="379">
        <v>580.5</v>
      </c>
      <c r="L1514" s="379"/>
      <c r="M1514" s="379"/>
      <c r="N1514" s="379"/>
      <c r="O1514" s="379">
        <v>2226</v>
      </c>
      <c r="P1514" s="379"/>
      <c r="Q1514" s="379"/>
      <c r="R1514" s="379"/>
      <c r="S1514" s="379">
        <v>4764.03</v>
      </c>
      <c r="T1514" s="379">
        <v>2976</v>
      </c>
      <c r="U1514" s="379"/>
      <c r="V1514" s="380">
        <v>11274.42</v>
      </c>
      <c r="W1514" s="381"/>
      <c r="X1514" s="379"/>
      <c r="Y1514" s="379"/>
      <c r="Z1514" s="379">
        <v>1026</v>
      </c>
      <c r="AA1514" s="379" t="s">
        <v>2508</v>
      </c>
      <c r="AB1514" s="380">
        <f t="shared" si="22"/>
        <v>0</v>
      </c>
    </row>
    <row r="1515" spans="1:28" outlineLevel="2" x14ac:dyDescent="0.3">
      <c r="A1515" s="379">
        <v>431</v>
      </c>
      <c r="B1515" s="379">
        <v>991000</v>
      </c>
      <c r="C1515" s="379" t="s">
        <v>3491</v>
      </c>
      <c r="D1515" s="379">
        <v>3929188</v>
      </c>
      <c r="E1515" s="379" t="s">
        <v>3099</v>
      </c>
      <c r="F1515" s="379" t="s">
        <v>2379</v>
      </c>
      <c r="G1515" s="383">
        <v>42675</v>
      </c>
      <c r="H1515" s="379">
        <v>11280.26</v>
      </c>
      <c r="I1515" s="379">
        <v>148.46</v>
      </c>
      <c r="J1515" s="379"/>
      <c r="K1515" s="379">
        <v>200.35</v>
      </c>
      <c r="L1515" s="379"/>
      <c r="M1515" s="379"/>
      <c r="N1515" s="379"/>
      <c r="O1515" s="379"/>
      <c r="P1515" s="379"/>
      <c r="Q1515" s="379"/>
      <c r="R1515" s="379"/>
      <c r="S1515" s="379">
        <v>8609.26</v>
      </c>
      <c r="T1515" s="379">
        <v>2671</v>
      </c>
      <c r="U1515" s="379"/>
      <c r="V1515" s="380">
        <v>11629.07</v>
      </c>
      <c r="W1515" s="381"/>
      <c r="X1515" s="379"/>
      <c r="Y1515" s="379"/>
      <c r="Z1515" s="379">
        <v>1401001</v>
      </c>
      <c r="AA1515" s="379" t="s">
        <v>3098</v>
      </c>
      <c r="AB1515" s="380">
        <f t="shared" si="22"/>
        <v>0</v>
      </c>
    </row>
    <row r="1516" spans="1:28" outlineLevel="2" x14ac:dyDescent="0.3">
      <c r="A1516" s="379">
        <v>431</v>
      </c>
      <c r="B1516" s="379">
        <v>991000</v>
      </c>
      <c r="C1516" s="379" t="s">
        <v>3491</v>
      </c>
      <c r="D1516" s="379">
        <v>6798057</v>
      </c>
      <c r="E1516" s="379" t="s">
        <v>2303</v>
      </c>
      <c r="F1516" s="379" t="s">
        <v>2304</v>
      </c>
      <c r="G1516" s="383">
        <v>39783</v>
      </c>
      <c r="H1516" s="379">
        <v>126973</v>
      </c>
      <c r="I1516" s="379"/>
      <c r="J1516" s="379"/>
      <c r="K1516" s="379"/>
      <c r="L1516" s="379"/>
      <c r="M1516" s="379"/>
      <c r="N1516" s="379"/>
      <c r="O1516" s="379"/>
      <c r="P1516" s="379"/>
      <c r="Q1516" s="379"/>
      <c r="R1516" s="379"/>
      <c r="S1516" s="379">
        <v>126973</v>
      </c>
      <c r="T1516" s="379"/>
      <c r="U1516" s="379"/>
      <c r="V1516" s="380">
        <v>126973</v>
      </c>
      <c r="W1516" s="381"/>
      <c r="X1516" s="379"/>
      <c r="Y1516" s="379"/>
      <c r="Z1516" s="379">
        <v>2011001</v>
      </c>
      <c r="AA1516" s="379" t="s">
        <v>2300</v>
      </c>
      <c r="AB1516" s="380">
        <f t="shared" si="22"/>
        <v>0</v>
      </c>
    </row>
    <row r="1517" spans="1:28" outlineLevel="2" x14ac:dyDescent="0.3">
      <c r="A1517" s="379">
        <v>431</v>
      </c>
      <c r="B1517" s="379">
        <v>991000</v>
      </c>
      <c r="C1517" s="379" t="s">
        <v>3491</v>
      </c>
      <c r="D1517" s="379">
        <v>20141063</v>
      </c>
      <c r="E1517" s="379" t="s">
        <v>2612</v>
      </c>
      <c r="F1517" s="379" t="s">
        <v>2872</v>
      </c>
      <c r="G1517" s="383">
        <v>43070</v>
      </c>
      <c r="H1517" s="379">
        <v>3815.73</v>
      </c>
      <c r="I1517" s="379">
        <v>114.65</v>
      </c>
      <c r="J1517" s="379">
        <v>451.71</v>
      </c>
      <c r="K1517" s="379">
        <v>286.18</v>
      </c>
      <c r="L1517" s="379"/>
      <c r="M1517" s="379"/>
      <c r="N1517" s="379"/>
      <c r="O1517" s="379"/>
      <c r="P1517" s="379"/>
      <c r="Q1517" s="379"/>
      <c r="R1517" s="379"/>
      <c r="S1517" s="379">
        <v>469.73</v>
      </c>
      <c r="T1517" s="379">
        <v>3346</v>
      </c>
      <c r="U1517" s="379"/>
      <c r="V1517" s="380">
        <v>4668.2700000000004</v>
      </c>
      <c r="W1517" s="381"/>
      <c r="X1517" s="379"/>
      <c r="Y1517" s="379"/>
      <c r="Z1517" s="379">
        <v>1401001</v>
      </c>
      <c r="AA1517" s="379" t="s">
        <v>3098</v>
      </c>
      <c r="AB1517" s="380">
        <f t="shared" si="22"/>
        <v>0</v>
      </c>
    </row>
    <row r="1518" spans="1:28" outlineLevel="2" x14ac:dyDescent="0.3">
      <c r="A1518" s="379">
        <v>431</v>
      </c>
      <c r="B1518" s="379">
        <v>991000</v>
      </c>
      <c r="C1518" s="379" t="s">
        <v>3491</v>
      </c>
      <c r="D1518" s="379">
        <v>20143244</v>
      </c>
      <c r="E1518" s="379" t="s">
        <v>3155</v>
      </c>
      <c r="F1518" s="379" t="s">
        <v>2701</v>
      </c>
      <c r="G1518" s="383">
        <v>42339</v>
      </c>
      <c r="H1518" s="379">
        <v>10220.18</v>
      </c>
      <c r="I1518" s="379">
        <v>231.44</v>
      </c>
      <c r="J1518" s="379"/>
      <c r="K1518" s="379">
        <v>766.51</v>
      </c>
      <c r="L1518" s="379"/>
      <c r="M1518" s="379"/>
      <c r="N1518" s="379"/>
      <c r="O1518" s="379"/>
      <c r="P1518" s="379"/>
      <c r="Q1518" s="379"/>
      <c r="R1518" s="379"/>
      <c r="S1518" s="379">
        <v>7013.18</v>
      </c>
      <c r="T1518" s="379">
        <v>3207</v>
      </c>
      <c r="U1518" s="379"/>
      <c r="V1518" s="380">
        <v>11218.13</v>
      </c>
      <c r="W1518" s="381"/>
      <c r="X1518" s="379"/>
      <c r="Y1518" s="379"/>
      <c r="Z1518" s="379">
        <v>1401001</v>
      </c>
      <c r="AA1518" s="379" t="s">
        <v>3098</v>
      </c>
      <c r="AB1518" s="380">
        <f t="shared" si="22"/>
        <v>0</v>
      </c>
    </row>
    <row r="1519" spans="1:28" outlineLevel="2" x14ac:dyDescent="0.3">
      <c r="A1519" s="379">
        <v>431</v>
      </c>
      <c r="B1519" s="379">
        <v>991000</v>
      </c>
      <c r="C1519" s="379" t="s">
        <v>3491</v>
      </c>
      <c r="D1519" s="379">
        <v>30190032</v>
      </c>
      <c r="E1519" s="379" t="s">
        <v>3159</v>
      </c>
      <c r="F1519" s="379" t="s">
        <v>3069</v>
      </c>
      <c r="G1519" s="383">
        <v>43040</v>
      </c>
      <c r="H1519" s="379">
        <v>8175.04</v>
      </c>
      <c r="I1519" s="379">
        <v>228.01</v>
      </c>
      <c r="J1519" s="379"/>
      <c r="K1519" s="379">
        <v>613.13</v>
      </c>
      <c r="L1519" s="379"/>
      <c r="M1519" s="379"/>
      <c r="N1519" s="379"/>
      <c r="O1519" s="379"/>
      <c r="P1519" s="379"/>
      <c r="Q1519" s="379"/>
      <c r="R1519" s="379"/>
      <c r="S1519" s="379">
        <v>4845.04</v>
      </c>
      <c r="T1519" s="379">
        <v>3330</v>
      </c>
      <c r="U1519" s="379"/>
      <c r="V1519" s="380">
        <v>9016.18</v>
      </c>
      <c r="W1519" s="381"/>
      <c r="X1519" s="379"/>
      <c r="Y1519" s="379"/>
      <c r="Z1519" s="379">
        <v>1401001</v>
      </c>
      <c r="AA1519" s="379" t="s">
        <v>3098</v>
      </c>
      <c r="AB1519" s="380">
        <f t="shared" si="22"/>
        <v>0</v>
      </c>
    </row>
    <row r="1520" spans="1:28" outlineLevel="2" x14ac:dyDescent="0.3">
      <c r="A1520" s="379">
        <v>431</v>
      </c>
      <c r="B1520" s="379">
        <v>991000</v>
      </c>
      <c r="C1520" s="379" t="s">
        <v>3491</v>
      </c>
      <c r="D1520" s="379">
        <v>30550371</v>
      </c>
      <c r="E1520" s="379" t="s">
        <v>2602</v>
      </c>
      <c r="F1520" s="379" t="s">
        <v>2418</v>
      </c>
      <c r="G1520" s="383">
        <v>42856</v>
      </c>
      <c r="H1520" s="379">
        <v>7360</v>
      </c>
      <c r="I1520" s="379">
        <v>424.85</v>
      </c>
      <c r="J1520" s="379">
        <v>1545.58</v>
      </c>
      <c r="K1520" s="379">
        <v>551.99</v>
      </c>
      <c r="L1520" s="379"/>
      <c r="M1520" s="379"/>
      <c r="N1520" s="379"/>
      <c r="O1520" s="379"/>
      <c r="P1520" s="379"/>
      <c r="Q1520" s="379"/>
      <c r="R1520" s="379"/>
      <c r="S1520" s="379"/>
      <c r="T1520" s="379">
        <v>7360</v>
      </c>
      <c r="U1520" s="379"/>
      <c r="V1520" s="380">
        <v>9882.42</v>
      </c>
      <c r="W1520" s="381"/>
      <c r="X1520" s="379"/>
      <c r="Y1520" s="379"/>
      <c r="Z1520" s="379">
        <v>3011001</v>
      </c>
      <c r="AA1520" s="379" t="s">
        <v>2461</v>
      </c>
      <c r="AB1520" s="380">
        <f t="shared" si="22"/>
        <v>0</v>
      </c>
    </row>
    <row r="1521" spans="1:28" outlineLevel="2" x14ac:dyDescent="0.3">
      <c r="A1521" s="379">
        <v>431</v>
      </c>
      <c r="B1521" s="379">
        <v>991000</v>
      </c>
      <c r="C1521" s="379" t="s">
        <v>3491</v>
      </c>
      <c r="D1521" s="379">
        <v>30858804</v>
      </c>
      <c r="E1521" s="379" t="s">
        <v>3492</v>
      </c>
      <c r="F1521" s="379" t="s">
        <v>3493</v>
      </c>
      <c r="G1521" s="383">
        <v>42156</v>
      </c>
      <c r="H1521" s="379">
        <v>2453</v>
      </c>
      <c r="I1521" s="379">
        <v>84.88</v>
      </c>
      <c r="J1521" s="379">
        <v>515.14</v>
      </c>
      <c r="K1521" s="379">
        <v>184</v>
      </c>
      <c r="L1521" s="379"/>
      <c r="M1521" s="379"/>
      <c r="N1521" s="379"/>
      <c r="O1521" s="379"/>
      <c r="P1521" s="379"/>
      <c r="Q1521" s="379"/>
      <c r="R1521" s="379"/>
      <c r="S1521" s="379"/>
      <c r="T1521" s="379">
        <v>2453</v>
      </c>
      <c r="U1521" s="379"/>
      <c r="V1521" s="380">
        <v>3237.02</v>
      </c>
      <c r="W1521" s="381"/>
      <c r="X1521" s="379"/>
      <c r="Y1521" s="379"/>
      <c r="Z1521" s="379">
        <v>3202003</v>
      </c>
      <c r="AA1521" s="379" t="s">
        <v>2317</v>
      </c>
      <c r="AB1521" s="380">
        <f t="shared" si="22"/>
        <v>0</v>
      </c>
    </row>
    <row r="1522" spans="1:28" outlineLevel="2" x14ac:dyDescent="0.3">
      <c r="A1522" s="379">
        <v>431</v>
      </c>
      <c r="B1522" s="379">
        <v>991000</v>
      </c>
      <c r="C1522" s="379" t="s">
        <v>3491</v>
      </c>
      <c r="D1522" s="379">
        <v>31079323</v>
      </c>
      <c r="E1522" s="379" t="s">
        <v>2305</v>
      </c>
      <c r="F1522" s="379" t="s">
        <v>2306</v>
      </c>
      <c r="G1522" s="383">
        <v>41609</v>
      </c>
      <c r="H1522" s="379">
        <v>77027.08</v>
      </c>
      <c r="I1522" s="379"/>
      <c r="J1522" s="379"/>
      <c r="K1522" s="379">
        <v>1891.13</v>
      </c>
      <c r="L1522" s="379"/>
      <c r="M1522" s="379"/>
      <c r="N1522" s="379"/>
      <c r="O1522" s="379">
        <v>25215.200000000001</v>
      </c>
      <c r="P1522" s="379"/>
      <c r="Q1522" s="379"/>
      <c r="R1522" s="379"/>
      <c r="S1522" s="379">
        <v>51811.88</v>
      </c>
      <c r="T1522" s="379"/>
      <c r="U1522" s="379"/>
      <c r="V1522" s="380">
        <v>78918.210000000006</v>
      </c>
      <c r="W1522" s="381"/>
      <c r="X1522" s="379"/>
      <c r="Y1522" s="379"/>
      <c r="Z1522" s="379">
        <v>2012001</v>
      </c>
      <c r="AA1522" s="379" t="s">
        <v>2297</v>
      </c>
      <c r="AB1522" s="380">
        <f t="shared" si="22"/>
        <v>0</v>
      </c>
    </row>
    <row r="1523" spans="1:28" outlineLevel="2" x14ac:dyDescent="0.3">
      <c r="A1523" s="379">
        <v>431</v>
      </c>
      <c r="B1523" s="379">
        <v>991000</v>
      </c>
      <c r="C1523" s="379" t="s">
        <v>3491</v>
      </c>
      <c r="D1523" s="379">
        <v>32155408</v>
      </c>
      <c r="E1523" s="379" t="s">
        <v>2369</v>
      </c>
      <c r="F1523" s="379" t="s">
        <v>2370</v>
      </c>
      <c r="G1523" s="383">
        <v>42675</v>
      </c>
      <c r="H1523" s="379">
        <v>11063.54</v>
      </c>
      <c r="I1523" s="379">
        <v>612.63</v>
      </c>
      <c r="J1523" s="379">
        <v>1983.98</v>
      </c>
      <c r="K1523" s="379">
        <v>829.75</v>
      </c>
      <c r="L1523" s="379"/>
      <c r="M1523" s="379"/>
      <c r="N1523" s="379"/>
      <c r="O1523" s="379"/>
      <c r="P1523" s="379"/>
      <c r="Q1523" s="379"/>
      <c r="R1523" s="379"/>
      <c r="S1523" s="379">
        <v>2559.54</v>
      </c>
      <c r="T1523" s="379">
        <v>8504</v>
      </c>
      <c r="U1523" s="379"/>
      <c r="V1523" s="380">
        <v>14489.9</v>
      </c>
      <c r="W1523" s="381"/>
      <c r="X1523" s="379"/>
      <c r="Y1523" s="379"/>
      <c r="Z1523" s="379">
        <v>971001</v>
      </c>
      <c r="AA1523" s="379" t="s">
        <v>2371</v>
      </c>
      <c r="AB1523" s="380">
        <f t="shared" si="22"/>
        <v>0</v>
      </c>
    </row>
    <row r="1524" spans="1:28" outlineLevel="2" x14ac:dyDescent="0.3">
      <c r="A1524" s="379">
        <v>432</v>
      </c>
      <c r="B1524" s="379">
        <v>991000</v>
      </c>
      <c r="C1524" s="379" t="s">
        <v>578</v>
      </c>
      <c r="D1524" s="379">
        <v>4061359</v>
      </c>
      <c r="E1524" s="379" t="s">
        <v>2365</v>
      </c>
      <c r="F1524" s="379" t="s">
        <v>3299</v>
      </c>
      <c r="G1524" s="383">
        <v>43800</v>
      </c>
      <c r="H1524" s="379">
        <v>21107.55</v>
      </c>
      <c r="I1524" s="379"/>
      <c r="J1524" s="379"/>
      <c r="K1524" s="379">
        <v>537.52</v>
      </c>
      <c r="L1524" s="379"/>
      <c r="M1524" s="379"/>
      <c r="N1524" s="379"/>
      <c r="O1524" s="379"/>
      <c r="P1524" s="379"/>
      <c r="Q1524" s="379"/>
      <c r="R1524" s="379"/>
      <c r="S1524" s="379">
        <v>14637.55</v>
      </c>
      <c r="T1524" s="379">
        <v>6470</v>
      </c>
      <c r="U1524" s="379"/>
      <c r="V1524" s="380">
        <v>21645.07</v>
      </c>
      <c r="W1524" s="381"/>
      <c r="X1524" s="379"/>
      <c r="Y1524" s="379"/>
      <c r="Z1524" s="379">
        <v>9991001</v>
      </c>
      <c r="AA1524" s="379" t="s">
        <v>2496</v>
      </c>
      <c r="AB1524" s="380">
        <f t="shared" si="22"/>
        <v>0</v>
      </c>
    </row>
    <row r="1525" spans="1:28" outlineLevel="2" x14ac:dyDescent="0.3">
      <c r="A1525" s="379">
        <v>432</v>
      </c>
      <c r="B1525" s="379">
        <v>991000</v>
      </c>
      <c r="C1525" s="379" t="s">
        <v>578</v>
      </c>
      <c r="D1525" s="379">
        <v>5144926</v>
      </c>
      <c r="E1525" s="379" t="s">
        <v>2521</v>
      </c>
      <c r="F1525" s="379" t="s">
        <v>2522</v>
      </c>
      <c r="G1525" s="383">
        <v>28976</v>
      </c>
      <c r="H1525" s="379">
        <v>39691.61</v>
      </c>
      <c r="I1525" s="379"/>
      <c r="J1525" s="379"/>
      <c r="K1525" s="379">
        <v>1850.28</v>
      </c>
      <c r="L1525" s="379"/>
      <c r="M1525" s="379"/>
      <c r="N1525" s="379"/>
      <c r="O1525" s="379"/>
      <c r="P1525" s="379"/>
      <c r="Q1525" s="379"/>
      <c r="R1525" s="379"/>
      <c r="S1525" s="379">
        <v>33797.61</v>
      </c>
      <c r="T1525" s="379">
        <v>5894</v>
      </c>
      <c r="U1525" s="379"/>
      <c r="V1525" s="380">
        <v>41541.89</v>
      </c>
      <c r="W1525" s="381"/>
      <c r="X1525" s="379"/>
      <c r="Y1525" s="379"/>
      <c r="Z1525" s="379">
        <v>9991001</v>
      </c>
      <c r="AA1525" s="379" t="s">
        <v>2496</v>
      </c>
      <c r="AB1525" s="380">
        <f t="shared" si="22"/>
        <v>0</v>
      </c>
    </row>
    <row r="1526" spans="1:28" outlineLevel="2" x14ac:dyDescent="0.3">
      <c r="A1526" s="379">
        <v>432</v>
      </c>
      <c r="B1526" s="379">
        <v>991000</v>
      </c>
      <c r="C1526" s="379" t="s">
        <v>578</v>
      </c>
      <c r="D1526" s="379">
        <v>5278518</v>
      </c>
      <c r="E1526" s="379" t="s">
        <v>2465</v>
      </c>
      <c r="F1526" s="379" t="s">
        <v>2466</v>
      </c>
      <c r="G1526" s="383">
        <v>36434</v>
      </c>
      <c r="H1526" s="379">
        <v>19670.560000000001</v>
      </c>
      <c r="I1526" s="379"/>
      <c r="J1526" s="379"/>
      <c r="K1526" s="379">
        <v>653.72</v>
      </c>
      <c r="L1526" s="379"/>
      <c r="M1526" s="379"/>
      <c r="N1526" s="379"/>
      <c r="O1526" s="379"/>
      <c r="P1526" s="379"/>
      <c r="Q1526" s="379"/>
      <c r="R1526" s="379"/>
      <c r="S1526" s="379">
        <v>15186.56</v>
      </c>
      <c r="T1526" s="379">
        <v>4484</v>
      </c>
      <c r="U1526" s="379"/>
      <c r="V1526" s="380">
        <v>20324.28</v>
      </c>
      <c r="W1526" s="381"/>
      <c r="X1526" s="379"/>
      <c r="Y1526" s="379"/>
      <c r="Z1526" s="379">
        <v>9991001</v>
      </c>
      <c r="AA1526" s="379" t="s">
        <v>2496</v>
      </c>
      <c r="AB1526" s="380">
        <f t="shared" si="22"/>
        <v>0</v>
      </c>
    </row>
    <row r="1527" spans="1:28" outlineLevel="2" x14ac:dyDescent="0.3">
      <c r="A1527" s="379">
        <v>432</v>
      </c>
      <c r="B1527" s="379">
        <v>991000</v>
      </c>
      <c r="C1527" s="379" t="s">
        <v>578</v>
      </c>
      <c r="D1527" s="379">
        <v>6201545</v>
      </c>
      <c r="E1527" s="379" t="s">
        <v>2812</v>
      </c>
      <c r="F1527" s="379" t="s">
        <v>2813</v>
      </c>
      <c r="G1527" s="383">
        <v>35096</v>
      </c>
      <c r="H1527" s="379">
        <v>96760.14</v>
      </c>
      <c r="I1527" s="379"/>
      <c r="J1527" s="379"/>
      <c r="K1527" s="379">
        <v>1956.64</v>
      </c>
      <c r="L1527" s="379"/>
      <c r="M1527" s="379"/>
      <c r="N1527" s="379"/>
      <c r="O1527" s="379">
        <v>56286</v>
      </c>
      <c r="P1527" s="379"/>
      <c r="Q1527" s="379"/>
      <c r="R1527" s="379"/>
      <c r="S1527" s="379">
        <v>32039.14</v>
      </c>
      <c r="T1527" s="379">
        <v>8435</v>
      </c>
      <c r="U1527" s="379"/>
      <c r="V1527" s="380">
        <v>98716.78</v>
      </c>
      <c r="W1527" s="381"/>
      <c r="X1527" s="379">
        <v>111</v>
      </c>
      <c r="Y1527" s="379" t="s">
        <v>2575</v>
      </c>
      <c r="Z1527" s="379">
        <v>9991001</v>
      </c>
      <c r="AA1527" s="379" t="s">
        <v>2496</v>
      </c>
      <c r="AB1527" s="380">
        <f t="shared" si="22"/>
        <v>0</v>
      </c>
    </row>
    <row r="1528" spans="1:28" outlineLevel="2" x14ac:dyDescent="0.3">
      <c r="A1528" s="379">
        <v>432</v>
      </c>
      <c r="B1528" s="379">
        <v>991000</v>
      </c>
      <c r="C1528" s="379" t="s">
        <v>578</v>
      </c>
      <c r="D1528" s="379">
        <v>6301405</v>
      </c>
      <c r="E1528" s="379" t="s">
        <v>2581</v>
      </c>
      <c r="F1528" s="379" t="s">
        <v>2582</v>
      </c>
      <c r="G1528" s="383">
        <v>33329</v>
      </c>
      <c r="H1528" s="379">
        <v>37826.199999999997</v>
      </c>
      <c r="I1528" s="379"/>
      <c r="J1528" s="379"/>
      <c r="K1528" s="379">
        <v>1778.03</v>
      </c>
      <c r="L1528" s="379"/>
      <c r="M1528" s="379"/>
      <c r="N1528" s="379"/>
      <c r="O1528" s="379"/>
      <c r="P1528" s="379"/>
      <c r="Q1528" s="379"/>
      <c r="R1528" s="379"/>
      <c r="S1528" s="379">
        <v>28879.200000000001</v>
      </c>
      <c r="T1528" s="379">
        <v>8947</v>
      </c>
      <c r="U1528" s="379"/>
      <c r="V1528" s="380">
        <v>39604.230000000003</v>
      </c>
      <c r="W1528" s="381"/>
      <c r="X1528" s="379"/>
      <c r="Y1528" s="379"/>
      <c r="Z1528" s="379">
        <v>9991001</v>
      </c>
      <c r="AA1528" s="379" t="s">
        <v>2496</v>
      </c>
      <c r="AB1528" s="380">
        <f t="shared" si="22"/>
        <v>0</v>
      </c>
    </row>
    <row r="1529" spans="1:28" outlineLevel="2" x14ac:dyDescent="0.3">
      <c r="A1529" s="379">
        <v>432</v>
      </c>
      <c r="B1529" s="379">
        <v>991000</v>
      </c>
      <c r="C1529" s="379" t="s">
        <v>578</v>
      </c>
      <c r="D1529" s="379">
        <v>6340233</v>
      </c>
      <c r="E1529" s="379" t="s">
        <v>2362</v>
      </c>
      <c r="F1529" s="379" t="s">
        <v>2363</v>
      </c>
      <c r="G1529" s="383">
        <v>29099</v>
      </c>
      <c r="H1529" s="379">
        <v>54647.23</v>
      </c>
      <c r="I1529" s="379"/>
      <c r="J1529" s="379"/>
      <c r="K1529" s="379">
        <v>1132.82</v>
      </c>
      <c r="L1529" s="379"/>
      <c r="M1529" s="379"/>
      <c r="N1529" s="379"/>
      <c r="O1529" s="379">
        <v>27677.5</v>
      </c>
      <c r="P1529" s="379"/>
      <c r="Q1529" s="379"/>
      <c r="R1529" s="379"/>
      <c r="S1529" s="379">
        <v>23217.73</v>
      </c>
      <c r="T1529" s="379">
        <v>3752</v>
      </c>
      <c r="U1529" s="379"/>
      <c r="V1529" s="380">
        <v>55780.05</v>
      </c>
      <c r="W1529" s="381"/>
      <c r="X1529" s="379"/>
      <c r="Y1529" s="379"/>
      <c r="Z1529" s="379">
        <v>9991001</v>
      </c>
      <c r="AA1529" s="379" t="s">
        <v>2496</v>
      </c>
      <c r="AB1529" s="380">
        <f t="shared" si="22"/>
        <v>0</v>
      </c>
    </row>
    <row r="1530" spans="1:28" outlineLevel="2" x14ac:dyDescent="0.3">
      <c r="A1530" s="379">
        <v>432</v>
      </c>
      <c r="B1530" s="379">
        <v>991000</v>
      </c>
      <c r="C1530" s="379" t="s">
        <v>578</v>
      </c>
      <c r="D1530" s="379">
        <v>6347036</v>
      </c>
      <c r="E1530" s="379" t="s">
        <v>3149</v>
      </c>
      <c r="F1530" s="379" t="s">
        <v>3150</v>
      </c>
      <c r="G1530" s="383">
        <v>34029</v>
      </c>
      <c r="H1530" s="379">
        <v>64420.2</v>
      </c>
      <c r="I1530" s="379"/>
      <c r="J1530" s="379"/>
      <c r="K1530" s="379">
        <v>2015.67</v>
      </c>
      <c r="L1530" s="379"/>
      <c r="M1530" s="379"/>
      <c r="N1530" s="379"/>
      <c r="O1530" s="379">
        <v>23188.46</v>
      </c>
      <c r="P1530" s="379"/>
      <c r="Q1530" s="379"/>
      <c r="R1530" s="379"/>
      <c r="S1530" s="379">
        <v>32299.74</v>
      </c>
      <c r="T1530" s="379">
        <v>8932</v>
      </c>
      <c r="U1530" s="379"/>
      <c r="V1530" s="380">
        <v>66435.87</v>
      </c>
      <c r="W1530" s="381"/>
      <c r="X1530" s="379">
        <v>121</v>
      </c>
      <c r="Y1530" s="379" t="s">
        <v>3396</v>
      </c>
      <c r="Z1530" s="379">
        <v>9991001</v>
      </c>
      <c r="AA1530" s="379" t="s">
        <v>2496</v>
      </c>
      <c r="AB1530" s="380">
        <f t="shared" si="22"/>
        <v>0</v>
      </c>
    </row>
    <row r="1531" spans="1:28" outlineLevel="2" x14ac:dyDescent="0.3">
      <c r="A1531" s="379">
        <v>432</v>
      </c>
      <c r="B1531" s="379">
        <v>991000</v>
      </c>
      <c r="C1531" s="379" t="s">
        <v>578</v>
      </c>
      <c r="D1531" s="379">
        <v>6356983</v>
      </c>
      <c r="E1531" s="379" t="s">
        <v>2307</v>
      </c>
      <c r="F1531" s="379" t="s">
        <v>2285</v>
      </c>
      <c r="G1531" s="383">
        <v>36373</v>
      </c>
      <c r="H1531" s="379">
        <v>74452.05</v>
      </c>
      <c r="I1531" s="379"/>
      <c r="J1531" s="379"/>
      <c r="K1531" s="379">
        <v>1487.12</v>
      </c>
      <c r="L1531" s="379"/>
      <c r="M1531" s="379"/>
      <c r="N1531" s="379"/>
      <c r="O1531" s="379">
        <v>40987.269999999997</v>
      </c>
      <c r="P1531" s="379"/>
      <c r="Q1531" s="379"/>
      <c r="R1531" s="379"/>
      <c r="S1531" s="379">
        <v>24080.78</v>
      </c>
      <c r="T1531" s="379">
        <v>9384</v>
      </c>
      <c r="U1531" s="379"/>
      <c r="V1531" s="380">
        <v>75939.17</v>
      </c>
      <c r="W1531" s="381"/>
      <c r="X1531" s="379"/>
      <c r="Y1531" s="379"/>
      <c r="Z1531" s="379">
        <v>9991001</v>
      </c>
      <c r="AA1531" s="379" t="s">
        <v>2496</v>
      </c>
      <c r="AB1531" s="380">
        <f t="shared" si="22"/>
        <v>0</v>
      </c>
    </row>
    <row r="1532" spans="1:28" outlineLevel="2" x14ac:dyDescent="0.3">
      <c r="A1532" s="379">
        <v>432</v>
      </c>
      <c r="B1532" s="379">
        <v>991000</v>
      </c>
      <c r="C1532" s="379" t="s">
        <v>578</v>
      </c>
      <c r="D1532" s="379">
        <v>6781270</v>
      </c>
      <c r="E1532" s="379" t="s">
        <v>2540</v>
      </c>
      <c r="F1532" s="379" t="s">
        <v>2583</v>
      </c>
      <c r="G1532" s="383">
        <v>35490</v>
      </c>
      <c r="H1532" s="379">
        <v>39185.5</v>
      </c>
      <c r="I1532" s="379"/>
      <c r="J1532" s="379"/>
      <c r="K1532" s="379">
        <v>1716.11</v>
      </c>
      <c r="L1532" s="379"/>
      <c r="M1532" s="379"/>
      <c r="N1532" s="379"/>
      <c r="O1532" s="379">
        <v>15817.8</v>
      </c>
      <c r="P1532" s="379"/>
      <c r="Q1532" s="379"/>
      <c r="R1532" s="379"/>
      <c r="S1532" s="379">
        <v>16303.7</v>
      </c>
      <c r="T1532" s="379">
        <v>7064</v>
      </c>
      <c r="U1532" s="379"/>
      <c r="V1532" s="380">
        <v>40901.61</v>
      </c>
      <c r="W1532" s="381"/>
      <c r="X1532" s="379"/>
      <c r="Y1532" s="379"/>
      <c r="Z1532" s="379">
        <v>9991001</v>
      </c>
      <c r="AA1532" s="379" t="s">
        <v>2496</v>
      </c>
      <c r="AB1532" s="380">
        <f t="shared" si="22"/>
        <v>0</v>
      </c>
    </row>
    <row r="1533" spans="1:28" outlineLevel="2" x14ac:dyDescent="0.3">
      <c r="A1533" s="379">
        <v>432</v>
      </c>
      <c r="B1533" s="379">
        <v>991000</v>
      </c>
      <c r="C1533" s="379" t="s">
        <v>578</v>
      </c>
      <c r="D1533" s="379">
        <v>6847449</v>
      </c>
      <c r="E1533" s="379" t="s">
        <v>2548</v>
      </c>
      <c r="F1533" s="379" t="s">
        <v>2583</v>
      </c>
      <c r="G1533" s="383">
        <v>34121</v>
      </c>
      <c r="H1533" s="379">
        <v>42753.43</v>
      </c>
      <c r="I1533" s="379"/>
      <c r="J1533" s="379"/>
      <c r="K1533" s="379">
        <v>2122.2199999999998</v>
      </c>
      <c r="L1533" s="379"/>
      <c r="M1533" s="379"/>
      <c r="N1533" s="379"/>
      <c r="O1533" s="379"/>
      <c r="P1533" s="379"/>
      <c r="Q1533" s="379"/>
      <c r="R1533" s="379"/>
      <c r="S1533" s="379">
        <v>32528.43</v>
      </c>
      <c r="T1533" s="379">
        <v>10225</v>
      </c>
      <c r="U1533" s="379"/>
      <c r="V1533" s="380">
        <v>44875.65</v>
      </c>
      <c r="W1533" s="381"/>
      <c r="X1533" s="379"/>
      <c r="Y1533" s="379"/>
      <c r="Z1533" s="379">
        <v>9991001</v>
      </c>
      <c r="AA1533" s="379" t="s">
        <v>2496</v>
      </c>
      <c r="AB1533" s="380">
        <f t="shared" si="22"/>
        <v>0</v>
      </c>
    </row>
    <row r="1534" spans="1:28" outlineLevel="2" x14ac:dyDescent="0.3">
      <c r="A1534" s="379">
        <v>432</v>
      </c>
      <c r="B1534" s="379">
        <v>991000</v>
      </c>
      <c r="C1534" s="379" t="s">
        <v>578</v>
      </c>
      <c r="D1534" s="379">
        <v>6857796</v>
      </c>
      <c r="E1534" s="379" t="s">
        <v>2488</v>
      </c>
      <c r="F1534" s="379" t="s">
        <v>2483</v>
      </c>
      <c r="G1534" s="383">
        <v>27912</v>
      </c>
      <c r="H1534" s="379">
        <v>154735.79999999999</v>
      </c>
      <c r="I1534" s="379"/>
      <c r="J1534" s="379"/>
      <c r="K1534" s="379">
        <v>1977.81</v>
      </c>
      <c r="L1534" s="379"/>
      <c r="M1534" s="379"/>
      <c r="N1534" s="379"/>
      <c r="O1534" s="379">
        <v>125770.6</v>
      </c>
      <c r="P1534" s="379"/>
      <c r="Q1534" s="379"/>
      <c r="R1534" s="379"/>
      <c r="S1534" s="379">
        <v>22135.200000000001</v>
      </c>
      <c r="T1534" s="379">
        <v>6830</v>
      </c>
      <c r="U1534" s="379"/>
      <c r="V1534" s="380">
        <v>156713.60999999999</v>
      </c>
      <c r="W1534" s="381"/>
      <c r="X1534" s="379"/>
      <c r="Y1534" s="379"/>
      <c r="Z1534" s="379">
        <v>9991001</v>
      </c>
      <c r="AA1534" s="379" t="s">
        <v>2496</v>
      </c>
      <c r="AB1534" s="380">
        <f t="shared" si="22"/>
        <v>0</v>
      </c>
    </row>
    <row r="1535" spans="1:28" outlineLevel="2" x14ac:dyDescent="0.3">
      <c r="A1535" s="379">
        <v>432</v>
      </c>
      <c r="B1535" s="379">
        <v>991000</v>
      </c>
      <c r="C1535" s="379" t="s">
        <v>578</v>
      </c>
      <c r="D1535" s="379">
        <v>6909407</v>
      </c>
      <c r="E1535" s="379" t="s">
        <v>2653</v>
      </c>
      <c r="F1535" s="379" t="s">
        <v>2654</v>
      </c>
      <c r="G1535" s="383">
        <v>29830</v>
      </c>
      <c r="H1535" s="379">
        <v>131416.32000000001</v>
      </c>
      <c r="I1535" s="379"/>
      <c r="J1535" s="379"/>
      <c r="K1535" s="379">
        <v>1365</v>
      </c>
      <c r="L1535" s="379"/>
      <c r="M1535" s="379"/>
      <c r="N1535" s="379"/>
      <c r="O1535" s="379">
        <v>96807.48</v>
      </c>
      <c r="P1535" s="379"/>
      <c r="Q1535" s="379"/>
      <c r="R1535" s="379"/>
      <c r="S1535" s="379">
        <v>28714.84</v>
      </c>
      <c r="T1535" s="379">
        <v>5894</v>
      </c>
      <c r="U1535" s="379"/>
      <c r="V1535" s="380">
        <v>132781.32</v>
      </c>
      <c r="W1535" s="381"/>
      <c r="X1535" s="379"/>
      <c r="Y1535" s="379"/>
      <c r="Z1535" s="379">
        <v>5821001</v>
      </c>
      <c r="AA1535" s="379" t="s">
        <v>2427</v>
      </c>
      <c r="AB1535" s="380">
        <f t="shared" si="22"/>
        <v>0</v>
      </c>
    </row>
    <row r="1536" spans="1:28" outlineLevel="2" x14ac:dyDescent="0.3">
      <c r="A1536" s="379">
        <v>432</v>
      </c>
      <c r="B1536" s="379">
        <v>991000</v>
      </c>
      <c r="C1536" s="379" t="s">
        <v>578</v>
      </c>
      <c r="D1536" s="379">
        <v>7927694</v>
      </c>
      <c r="E1536" s="379" t="s">
        <v>2442</v>
      </c>
      <c r="F1536" s="379" t="s">
        <v>2913</v>
      </c>
      <c r="G1536" s="383">
        <v>38018</v>
      </c>
      <c r="H1536" s="379">
        <v>21524.9</v>
      </c>
      <c r="I1536" s="379"/>
      <c r="J1536" s="379"/>
      <c r="K1536" s="379">
        <v>628.25</v>
      </c>
      <c r="L1536" s="379"/>
      <c r="M1536" s="379"/>
      <c r="N1536" s="379"/>
      <c r="O1536" s="379">
        <v>6712.5</v>
      </c>
      <c r="P1536" s="379"/>
      <c r="Q1536" s="379"/>
      <c r="R1536" s="379"/>
      <c r="S1536" s="379">
        <v>13003.4</v>
      </c>
      <c r="T1536" s="379">
        <v>1809</v>
      </c>
      <c r="U1536" s="379"/>
      <c r="V1536" s="380">
        <v>22153.15</v>
      </c>
      <c r="W1536" s="381"/>
      <c r="X1536" s="379"/>
      <c r="Y1536" s="379"/>
      <c r="Z1536" s="379">
        <v>9992001</v>
      </c>
      <c r="AA1536" s="379" t="s">
        <v>2914</v>
      </c>
      <c r="AB1536" s="380">
        <f t="shared" si="22"/>
        <v>0</v>
      </c>
    </row>
    <row r="1537" spans="1:31" outlineLevel="2" x14ac:dyDescent="0.3">
      <c r="A1537" s="379">
        <v>432</v>
      </c>
      <c r="B1537" s="379">
        <v>991000</v>
      </c>
      <c r="C1537" s="379" t="s">
        <v>578</v>
      </c>
      <c r="D1537" s="379">
        <v>30995515</v>
      </c>
      <c r="E1537" s="379" t="s">
        <v>2494</v>
      </c>
      <c r="F1537" s="379" t="s">
        <v>2495</v>
      </c>
      <c r="G1537" s="383">
        <v>36161</v>
      </c>
      <c r="H1537" s="379">
        <v>96890.37</v>
      </c>
      <c r="I1537" s="379"/>
      <c r="J1537" s="379"/>
      <c r="K1537" s="379">
        <v>927.03</v>
      </c>
      <c r="L1537" s="379"/>
      <c r="M1537" s="379"/>
      <c r="N1537" s="379"/>
      <c r="O1537" s="379">
        <v>74245.990000000005</v>
      </c>
      <c r="P1537" s="379"/>
      <c r="Q1537" s="379"/>
      <c r="R1537" s="379"/>
      <c r="S1537" s="379">
        <v>13288.88</v>
      </c>
      <c r="T1537" s="379">
        <v>9355.5</v>
      </c>
      <c r="U1537" s="379"/>
      <c r="V1537" s="380">
        <v>97817.4</v>
      </c>
      <c r="W1537" s="381"/>
      <c r="X1537" s="379"/>
      <c r="Y1537" s="379"/>
      <c r="Z1537" s="379">
        <v>9991001</v>
      </c>
      <c r="AA1537" s="379" t="s">
        <v>2496</v>
      </c>
      <c r="AB1537" s="380">
        <f t="shared" si="22"/>
        <v>0</v>
      </c>
    </row>
    <row r="1538" spans="1:31" outlineLevel="2" x14ac:dyDescent="0.3">
      <c r="A1538" s="379">
        <v>654</v>
      </c>
      <c r="B1538" s="379">
        <v>991000</v>
      </c>
      <c r="C1538" s="379" t="s">
        <v>3491</v>
      </c>
      <c r="D1538" s="379">
        <v>1304034</v>
      </c>
      <c r="E1538" s="379" t="s">
        <v>3035</v>
      </c>
      <c r="F1538" s="379" t="s">
        <v>2517</v>
      </c>
      <c r="G1538" s="383">
        <v>41548</v>
      </c>
      <c r="H1538" s="379">
        <v>7123.07</v>
      </c>
      <c r="I1538" s="379">
        <v>18.440000000000001</v>
      </c>
      <c r="J1538" s="379"/>
      <c r="K1538" s="379">
        <v>123.3</v>
      </c>
      <c r="L1538" s="379"/>
      <c r="M1538" s="379"/>
      <c r="N1538" s="379"/>
      <c r="O1538" s="379">
        <v>2117.09</v>
      </c>
      <c r="P1538" s="379"/>
      <c r="Q1538" s="379"/>
      <c r="R1538" s="379"/>
      <c r="S1538" s="379">
        <v>3496.48</v>
      </c>
      <c r="T1538" s="379">
        <v>1509.5</v>
      </c>
      <c r="U1538" s="379"/>
      <c r="V1538" s="380">
        <v>7264.81</v>
      </c>
      <c r="W1538" s="381"/>
      <c r="X1538" s="379">
        <v>17</v>
      </c>
      <c r="Y1538" s="379" t="s">
        <v>3036</v>
      </c>
      <c r="Z1538" s="379">
        <v>1401202</v>
      </c>
      <c r="AA1538" s="379" t="s">
        <v>2380</v>
      </c>
      <c r="AB1538" s="380">
        <f t="shared" si="22"/>
        <v>0</v>
      </c>
    </row>
    <row r="1539" spans="1:31" outlineLevel="2" x14ac:dyDescent="0.3">
      <c r="A1539" s="379">
        <v>654</v>
      </c>
      <c r="B1539" s="379">
        <v>991000</v>
      </c>
      <c r="C1539" s="379" t="s">
        <v>3491</v>
      </c>
      <c r="D1539" s="379">
        <v>2244221</v>
      </c>
      <c r="E1539" s="379" t="s">
        <v>2923</v>
      </c>
      <c r="F1539" s="379" t="s">
        <v>2924</v>
      </c>
      <c r="G1539" s="383">
        <v>43132</v>
      </c>
      <c r="H1539" s="379">
        <v>14849.32</v>
      </c>
      <c r="I1539" s="379">
        <v>368.83</v>
      </c>
      <c r="J1539" s="379">
        <v>1057.58</v>
      </c>
      <c r="K1539" s="379">
        <v>1113.8</v>
      </c>
      <c r="L1539" s="379"/>
      <c r="M1539" s="379"/>
      <c r="N1539" s="379"/>
      <c r="O1539" s="379"/>
      <c r="P1539" s="379"/>
      <c r="Q1539" s="379"/>
      <c r="R1539" s="379"/>
      <c r="S1539" s="379">
        <v>7015.32</v>
      </c>
      <c r="T1539" s="379">
        <v>7834</v>
      </c>
      <c r="U1539" s="379"/>
      <c r="V1539" s="380">
        <v>17389.53</v>
      </c>
      <c r="W1539" s="381"/>
      <c r="X1539" s="379"/>
      <c r="Y1539" s="379"/>
      <c r="Z1539" s="379">
        <v>5911001</v>
      </c>
      <c r="AA1539" s="379" t="s">
        <v>2925</v>
      </c>
      <c r="AB1539" s="380">
        <f t="shared" si="22"/>
        <v>0</v>
      </c>
    </row>
    <row r="1540" spans="1:31" outlineLevel="2" x14ac:dyDescent="0.3">
      <c r="A1540" s="379">
        <v>654</v>
      </c>
      <c r="B1540" s="379">
        <v>991000</v>
      </c>
      <c r="C1540" s="379" t="s">
        <v>3491</v>
      </c>
      <c r="D1540" s="379">
        <v>2418574</v>
      </c>
      <c r="E1540" s="379" t="s">
        <v>2760</v>
      </c>
      <c r="F1540" s="379" t="s">
        <v>2669</v>
      </c>
      <c r="G1540" s="383">
        <v>43101</v>
      </c>
      <c r="H1540" s="379">
        <v>3369</v>
      </c>
      <c r="I1540" s="379">
        <v>107.4</v>
      </c>
      <c r="J1540" s="379">
        <v>361.25</v>
      </c>
      <c r="K1540" s="379">
        <v>200.69</v>
      </c>
      <c r="L1540" s="379"/>
      <c r="M1540" s="379"/>
      <c r="N1540" s="379"/>
      <c r="O1540" s="379">
        <v>693</v>
      </c>
      <c r="P1540" s="379"/>
      <c r="Q1540" s="379"/>
      <c r="R1540" s="379"/>
      <c r="S1540" s="379"/>
      <c r="T1540" s="379">
        <v>2676</v>
      </c>
      <c r="U1540" s="379"/>
      <c r="V1540" s="380">
        <v>4038.34</v>
      </c>
      <c r="W1540" s="381"/>
      <c r="X1540" s="379"/>
      <c r="Y1540" s="379"/>
      <c r="Z1540" s="379">
        <v>5923001</v>
      </c>
      <c r="AA1540" s="379" t="s">
        <v>2354</v>
      </c>
      <c r="AB1540" s="380">
        <f t="shared" si="22"/>
        <v>0</v>
      </c>
    </row>
    <row r="1541" spans="1:31" outlineLevel="2" x14ac:dyDescent="0.3">
      <c r="A1541" s="379">
        <v>654</v>
      </c>
      <c r="B1541" s="379">
        <v>991000</v>
      </c>
      <c r="C1541" s="379" t="s">
        <v>3491</v>
      </c>
      <c r="D1541" s="379">
        <v>2884253</v>
      </c>
      <c r="E1541" s="379" t="s">
        <v>2765</v>
      </c>
      <c r="F1541" s="379" t="s">
        <v>2766</v>
      </c>
      <c r="G1541" s="383">
        <v>41548</v>
      </c>
      <c r="H1541" s="379">
        <v>4548</v>
      </c>
      <c r="I1541" s="379">
        <v>326.86</v>
      </c>
      <c r="J1541" s="379">
        <v>955.08</v>
      </c>
      <c r="K1541" s="379">
        <v>341.1</v>
      </c>
      <c r="L1541" s="379"/>
      <c r="M1541" s="379"/>
      <c r="N1541" s="379"/>
      <c r="O1541" s="379"/>
      <c r="P1541" s="379"/>
      <c r="Q1541" s="379"/>
      <c r="R1541" s="379"/>
      <c r="S1541" s="379"/>
      <c r="T1541" s="379">
        <v>4548</v>
      </c>
      <c r="U1541" s="379"/>
      <c r="V1541" s="380">
        <v>6171.04</v>
      </c>
      <c r="W1541" s="381"/>
      <c r="X1541" s="379">
        <v>501</v>
      </c>
      <c r="Y1541" s="379" t="s">
        <v>2689</v>
      </c>
      <c r="Z1541" s="379">
        <v>5821001</v>
      </c>
      <c r="AA1541" s="379" t="s">
        <v>2427</v>
      </c>
      <c r="AB1541" s="380">
        <f t="shared" si="22"/>
        <v>0</v>
      </c>
    </row>
    <row r="1542" spans="1:31" outlineLevel="2" x14ac:dyDescent="0.3">
      <c r="A1542" s="379">
        <v>654</v>
      </c>
      <c r="B1542" s="379">
        <v>991000</v>
      </c>
      <c r="C1542" s="379" t="s">
        <v>3491</v>
      </c>
      <c r="D1542" s="379">
        <v>6483117</v>
      </c>
      <c r="E1542" s="379" t="s">
        <v>2730</v>
      </c>
      <c r="F1542" s="379" t="s">
        <v>2731</v>
      </c>
      <c r="G1542" s="383">
        <v>37165</v>
      </c>
      <c r="H1542" s="379">
        <v>22906.2</v>
      </c>
      <c r="I1542" s="379">
        <v>207.17</v>
      </c>
      <c r="J1542" s="379"/>
      <c r="K1542" s="379">
        <v>345.06</v>
      </c>
      <c r="L1542" s="379"/>
      <c r="M1542" s="379"/>
      <c r="N1542" s="379"/>
      <c r="O1542" s="379">
        <v>18305.2</v>
      </c>
      <c r="P1542" s="379"/>
      <c r="Q1542" s="379"/>
      <c r="R1542" s="379"/>
      <c r="S1542" s="379"/>
      <c r="T1542" s="379">
        <v>4601</v>
      </c>
      <c r="U1542" s="379"/>
      <c r="V1542" s="380">
        <v>23458.43</v>
      </c>
      <c r="W1542" s="381"/>
      <c r="X1542" s="379"/>
      <c r="Y1542" s="379"/>
      <c r="Z1542" s="379">
        <v>5821001</v>
      </c>
      <c r="AA1542" s="379" t="s">
        <v>2427</v>
      </c>
      <c r="AB1542" s="380">
        <f t="shared" si="22"/>
        <v>0</v>
      </c>
    </row>
    <row r="1543" spans="1:31" outlineLevel="2" x14ac:dyDescent="0.3">
      <c r="A1543" s="379">
        <v>654</v>
      </c>
      <c r="B1543" s="379">
        <v>991000</v>
      </c>
      <c r="C1543" s="379" t="s">
        <v>3491</v>
      </c>
      <c r="D1543" s="379">
        <v>6580500</v>
      </c>
      <c r="E1543" s="379" t="s">
        <v>2451</v>
      </c>
      <c r="F1543" s="379" t="s">
        <v>2848</v>
      </c>
      <c r="G1543" s="383">
        <v>37347</v>
      </c>
      <c r="H1543" s="379">
        <v>18745.419999999998</v>
      </c>
      <c r="I1543" s="379">
        <v>66.02</v>
      </c>
      <c r="J1543" s="379"/>
      <c r="K1543" s="379">
        <v>600.85</v>
      </c>
      <c r="L1543" s="379"/>
      <c r="M1543" s="379"/>
      <c r="N1543" s="379"/>
      <c r="O1543" s="379"/>
      <c r="P1543" s="379"/>
      <c r="Q1543" s="379"/>
      <c r="R1543" s="379"/>
      <c r="S1543" s="379">
        <v>14812.92</v>
      </c>
      <c r="T1543" s="379">
        <v>3932.5</v>
      </c>
      <c r="U1543" s="379"/>
      <c r="V1543" s="380">
        <v>19412.29</v>
      </c>
      <c r="W1543" s="381"/>
      <c r="X1543" s="379"/>
      <c r="Y1543" s="379"/>
      <c r="Z1543" s="379">
        <v>5923001</v>
      </c>
      <c r="AA1543" s="379" t="s">
        <v>2354</v>
      </c>
      <c r="AB1543" s="380">
        <f t="shared" si="22"/>
        <v>0</v>
      </c>
    </row>
    <row r="1544" spans="1:31" outlineLevel="2" x14ac:dyDescent="0.3">
      <c r="A1544" s="379">
        <v>654</v>
      </c>
      <c r="B1544" s="379">
        <v>991000</v>
      </c>
      <c r="C1544" s="379" t="s">
        <v>3491</v>
      </c>
      <c r="D1544" s="379">
        <v>6830956</v>
      </c>
      <c r="E1544" s="379" t="s">
        <v>2486</v>
      </c>
      <c r="F1544" s="379" t="s">
        <v>2366</v>
      </c>
      <c r="G1544" s="383">
        <v>41883</v>
      </c>
      <c r="H1544" s="379">
        <v>23759.1</v>
      </c>
      <c r="I1544" s="379">
        <v>274.44</v>
      </c>
      <c r="J1544" s="379">
        <v>796.32</v>
      </c>
      <c r="K1544" s="379">
        <v>913.85</v>
      </c>
      <c r="L1544" s="379"/>
      <c r="M1544" s="379"/>
      <c r="N1544" s="379"/>
      <c r="O1544" s="379">
        <v>6283.92</v>
      </c>
      <c r="P1544" s="379"/>
      <c r="Q1544" s="379"/>
      <c r="R1544" s="379"/>
      <c r="S1544" s="379">
        <v>13683.18</v>
      </c>
      <c r="T1544" s="379">
        <v>3792</v>
      </c>
      <c r="U1544" s="379"/>
      <c r="V1544" s="380">
        <v>25743.71</v>
      </c>
      <c r="W1544" s="381"/>
      <c r="X1544" s="379"/>
      <c r="Y1544" s="379"/>
      <c r="Z1544" s="379">
        <v>5821001</v>
      </c>
      <c r="AA1544" s="379" t="s">
        <v>2427</v>
      </c>
      <c r="AB1544" s="380">
        <f t="shared" si="22"/>
        <v>0</v>
      </c>
    </row>
    <row r="1545" spans="1:31" outlineLevel="2" x14ac:dyDescent="0.3">
      <c r="A1545" s="379">
        <v>654</v>
      </c>
      <c r="B1545" s="379">
        <v>991000</v>
      </c>
      <c r="C1545" s="379" t="s">
        <v>3491</v>
      </c>
      <c r="D1545" s="379">
        <v>6861642</v>
      </c>
      <c r="E1545" s="379" t="s">
        <v>2323</v>
      </c>
      <c r="F1545" s="379" t="s">
        <v>2512</v>
      </c>
      <c r="G1545" s="383">
        <v>40422</v>
      </c>
      <c r="H1545" s="379">
        <v>28158.49</v>
      </c>
      <c r="I1545" s="379">
        <v>30.29</v>
      </c>
      <c r="J1545" s="379"/>
      <c r="K1545" s="379">
        <v>1196.25</v>
      </c>
      <c r="L1545" s="379"/>
      <c r="M1545" s="379"/>
      <c r="N1545" s="379"/>
      <c r="O1545" s="379"/>
      <c r="P1545" s="379"/>
      <c r="Q1545" s="379"/>
      <c r="R1545" s="379"/>
      <c r="S1545" s="379">
        <v>25499.49</v>
      </c>
      <c r="T1545" s="379">
        <v>2659</v>
      </c>
      <c r="U1545" s="379"/>
      <c r="V1545" s="380">
        <v>29385.03</v>
      </c>
      <c r="W1545" s="381"/>
      <c r="X1545" s="379"/>
      <c r="Y1545" s="379"/>
      <c r="Z1545" s="379">
        <v>5821001</v>
      </c>
      <c r="AA1545" s="379" t="s">
        <v>2427</v>
      </c>
      <c r="AB1545" s="380">
        <f t="shared" si="22"/>
        <v>0</v>
      </c>
    </row>
    <row r="1546" spans="1:31" outlineLevel="2" x14ac:dyDescent="0.3">
      <c r="A1546" s="379">
        <v>654</v>
      </c>
      <c r="B1546" s="379">
        <v>991000</v>
      </c>
      <c r="C1546" s="379" t="s">
        <v>3491</v>
      </c>
      <c r="D1546" s="379">
        <v>30308712</v>
      </c>
      <c r="E1546" s="379" t="s">
        <v>2775</v>
      </c>
      <c r="F1546" s="379" t="s">
        <v>2776</v>
      </c>
      <c r="G1546" s="383">
        <v>42705</v>
      </c>
      <c r="H1546" s="379">
        <v>3889.4</v>
      </c>
      <c r="I1546" s="379">
        <v>227.6</v>
      </c>
      <c r="J1546" s="379"/>
      <c r="K1546" s="379">
        <v>291.68</v>
      </c>
      <c r="L1546" s="379"/>
      <c r="M1546" s="379"/>
      <c r="N1546" s="379"/>
      <c r="O1546" s="379"/>
      <c r="P1546" s="379"/>
      <c r="Q1546" s="379"/>
      <c r="R1546" s="379"/>
      <c r="S1546" s="379"/>
      <c r="T1546" s="379">
        <v>3889.4</v>
      </c>
      <c r="U1546" s="379"/>
      <c r="V1546" s="380">
        <v>4408.68</v>
      </c>
      <c r="W1546" s="381"/>
      <c r="X1546" s="379"/>
      <c r="Y1546" s="379"/>
      <c r="Z1546" s="379">
        <v>5821001</v>
      </c>
      <c r="AA1546" s="379" t="s">
        <v>2427</v>
      </c>
      <c r="AB1546" s="380">
        <f t="shared" si="22"/>
        <v>0</v>
      </c>
    </row>
    <row r="1547" spans="1:31" outlineLevel="2" x14ac:dyDescent="0.3">
      <c r="A1547" s="379">
        <v>654</v>
      </c>
      <c r="B1547" s="379">
        <v>991000</v>
      </c>
      <c r="C1547" s="379" t="s">
        <v>3491</v>
      </c>
      <c r="D1547" s="379">
        <v>30482092</v>
      </c>
      <c r="E1547" s="379" t="s">
        <v>2340</v>
      </c>
      <c r="F1547" s="379" t="s">
        <v>2996</v>
      </c>
      <c r="G1547" s="383">
        <v>42979</v>
      </c>
      <c r="H1547" s="379">
        <v>4836.0200000000004</v>
      </c>
      <c r="I1547" s="379">
        <v>308.76</v>
      </c>
      <c r="J1547" s="379">
        <v>895.86</v>
      </c>
      <c r="K1547" s="379">
        <v>362.7</v>
      </c>
      <c r="L1547" s="379"/>
      <c r="M1547" s="379"/>
      <c r="N1547" s="379"/>
      <c r="O1547" s="379"/>
      <c r="P1547" s="379"/>
      <c r="Q1547" s="379"/>
      <c r="R1547" s="379"/>
      <c r="S1547" s="379">
        <v>570.02</v>
      </c>
      <c r="T1547" s="379">
        <v>4266</v>
      </c>
      <c r="U1547" s="379"/>
      <c r="V1547" s="380">
        <v>6403.34</v>
      </c>
      <c r="W1547" s="381"/>
      <c r="X1547" s="379"/>
      <c r="Y1547" s="379"/>
      <c r="Z1547" s="379">
        <v>631001</v>
      </c>
      <c r="AA1547" s="379" t="s">
        <v>2796</v>
      </c>
      <c r="AB1547" s="380">
        <f t="shared" si="22"/>
        <v>0</v>
      </c>
    </row>
    <row r="1548" spans="1:31" outlineLevel="1" x14ac:dyDescent="0.3">
      <c r="A1548" s="379"/>
      <c r="B1548" s="384" t="s">
        <v>3494</v>
      </c>
      <c r="C1548" s="379"/>
      <c r="D1548" s="379"/>
      <c r="E1548" s="379"/>
      <c r="F1548" s="379"/>
      <c r="G1548" s="383"/>
      <c r="H1548" s="379"/>
      <c r="I1548" s="379"/>
      <c r="J1548" s="379"/>
      <c r="K1548" s="379"/>
      <c r="L1548" s="379"/>
      <c r="M1548" s="379"/>
      <c r="N1548" s="379"/>
      <c r="O1548" s="379"/>
      <c r="P1548" s="379"/>
      <c r="Q1548" s="379"/>
      <c r="R1548" s="379"/>
      <c r="S1548" s="379"/>
      <c r="T1548" s="379"/>
      <c r="U1548" s="379"/>
      <c r="V1548" s="380">
        <f>SUBTOTAL(9,V1508:V1547)</f>
        <v>1554441.3900000004</v>
      </c>
      <c r="W1548" s="381">
        <f>SUBTOTAL(9,W1508:W1547)</f>
        <v>0</v>
      </c>
      <c r="X1548" s="379"/>
      <c r="Y1548" s="379"/>
      <c r="Z1548" s="379"/>
      <c r="AA1548" s="379"/>
      <c r="AB1548" s="380">
        <f>SUBTOTAL(9,AB1508:AB1547)</f>
        <v>0</v>
      </c>
    </row>
    <row r="1549" spans="1:31" outlineLevel="2" x14ac:dyDescent="0.3">
      <c r="A1549" s="379">
        <v>432</v>
      </c>
      <c r="B1549" s="379">
        <v>999000</v>
      </c>
      <c r="C1549" s="379" t="s">
        <v>1699</v>
      </c>
      <c r="D1549" s="379">
        <v>539578</v>
      </c>
      <c r="E1549" s="379" t="s">
        <v>3495</v>
      </c>
      <c r="F1549" s="379" t="s">
        <v>2517</v>
      </c>
      <c r="G1549" s="383">
        <v>31472</v>
      </c>
      <c r="H1549" s="379">
        <v>54595.88</v>
      </c>
      <c r="I1549" s="379"/>
      <c r="J1549" s="379"/>
      <c r="K1549" s="379">
        <v>4094.6</v>
      </c>
      <c r="L1549" s="379"/>
      <c r="M1549" s="379"/>
      <c r="N1549" s="379"/>
      <c r="O1549" s="379"/>
      <c r="P1549" s="379"/>
      <c r="Q1549" s="379"/>
      <c r="R1549" s="379"/>
      <c r="S1549" s="379">
        <v>50156.44</v>
      </c>
      <c r="T1549" s="379">
        <v>3989.44</v>
      </c>
      <c r="U1549" s="379"/>
      <c r="V1549" s="380">
        <v>58690.48</v>
      </c>
      <c r="W1549" s="381">
        <v>6.72</v>
      </c>
      <c r="X1549" s="379"/>
      <c r="Y1549" s="379"/>
      <c r="Z1549" s="379">
        <v>9991001</v>
      </c>
      <c r="AA1549" s="379" t="s">
        <v>2496</v>
      </c>
      <c r="AB1549" s="380">
        <f t="shared" si="22"/>
        <v>0.55999999999999994</v>
      </c>
    </row>
    <row r="1550" spans="1:31" outlineLevel="2" x14ac:dyDescent="0.3">
      <c r="A1550" s="379">
        <v>432</v>
      </c>
      <c r="B1550" s="379">
        <v>999000</v>
      </c>
      <c r="C1550" s="379" t="s">
        <v>1699</v>
      </c>
      <c r="D1550" s="379">
        <v>1235144</v>
      </c>
      <c r="E1550" s="379" t="s">
        <v>2345</v>
      </c>
      <c r="F1550" s="379" t="s">
        <v>2333</v>
      </c>
      <c r="G1550" s="383">
        <v>31472</v>
      </c>
      <c r="H1550" s="379">
        <v>26196.48</v>
      </c>
      <c r="I1550" s="379"/>
      <c r="J1550" s="379"/>
      <c r="K1550" s="379">
        <v>1964.95</v>
      </c>
      <c r="L1550" s="379"/>
      <c r="M1550" s="379"/>
      <c r="N1550" s="379"/>
      <c r="O1550" s="379"/>
      <c r="P1550" s="379"/>
      <c r="Q1550" s="379"/>
      <c r="R1550" s="379"/>
      <c r="S1550" s="379">
        <v>23964.48</v>
      </c>
      <c r="T1550" s="379">
        <v>1782</v>
      </c>
      <c r="U1550" s="379"/>
      <c r="V1550" s="380">
        <v>28161.43</v>
      </c>
      <c r="W1550" s="381">
        <v>3.96</v>
      </c>
      <c r="X1550" s="379"/>
      <c r="Y1550" s="379"/>
      <c r="Z1550" s="379">
        <v>9991001</v>
      </c>
      <c r="AA1550" s="379" t="s">
        <v>2496</v>
      </c>
      <c r="AB1550" s="380">
        <f t="shared" si="22"/>
        <v>0.33</v>
      </c>
    </row>
    <row r="1551" spans="1:31" outlineLevel="1" x14ac:dyDescent="0.3">
      <c r="A1551" s="379"/>
      <c r="B1551" s="384" t="s">
        <v>3496</v>
      </c>
      <c r="C1551" s="379"/>
      <c r="D1551" s="379"/>
      <c r="E1551" s="379"/>
      <c r="F1551" s="379"/>
      <c r="G1551" s="383"/>
      <c r="H1551" s="379"/>
      <c r="I1551" s="379"/>
      <c r="J1551" s="379"/>
      <c r="K1551" s="379"/>
      <c r="L1551" s="379"/>
      <c r="M1551" s="379"/>
      <c r="N1551" s="379"/>
      <c r="O1551" s="379"/>
      <c r="P1551" s="379"/>
      <c r="Q1551" s="379"/>
      <c r="R1551" s="379"/>
      <c r="S1551" s="379"/>
      <c r="T1551" s="379"/>
      <c r="U1551" s="379"/>
      <c r="V1551" s="380">
        <f>SUBTOTAL(9,V1549:V1550)</f>
        <v>86851.91</v>
      </c>
      <c r="W1551" s="381">
        <f>SUBTOTAL(9,W1549:W1550)</f>
        <v>10.68</v>
      </c>
      <c r="X1551" s="379"/>
      <c r="Y1551" s="379"/>
      <c r="Z1551" s="379"/>
      <c r="AA1551" s="379"/>
      <c r="AB1551" s="380">
        <f>SUBTOTAL(9,AB1549:AB1550)</f>
        <v>0.8899999999999999</v>
      </c>
      <c r="AC1551" s="385">
        <f>V1551+V1507+V1111+V1109+V1107+V1101+V1090+V1082+V1072+V1059+V1057+V1040+V1038+V1030+V1027+V1025+V1023+V1021+V1019+V1016+V1012+V999+V983+V981</f>
        <v>23337640.430000018</v>
      </c>
      <c r="AD1551" s="385">
        <f>W1551+W1548+W1507+W1111+W1109+W1107+W1101+W1090+W1082+W1072+W1059+W1057+W1040+W1038+W1030+W1027+W1025+W1023+W1021+W1019+W1016+W1012+W999+W983+W981</f>
        <v>2310.0910000000013</v>
      </c>
      <c r="AE1551" s="385">
        <f>AB1551+AB1548+AB1507+AB1111+AB1109+AB1107+AB1101+AB1090+AB1082+AB1072+AB1059+AB1057+AB1040+AB1038+AB1030+AB1027+AB1025+AB1023+AB1021+AB1019+AB1016+AB1012+AB999+AB983+AB981</f>
        <v>192.50758333333312</v>
      </c>
    </row>
    <row r="1552" spans="1:31" x14ac:dyDescent="0.3">
      <c r="A1552" s="379"/>
      <c r="B1552" s="384" t="s">
        <v>3497</v>
      </c>
      <c r="C1552" s="379"/>
      <c r="D1552" s="379"/>
      <c r="E1552" s="379"/>
      <c r="F1552" s="379"/>
      <c r="G1552" s="383"/>
      <c r="H1552" s="379"/>
      <c r="I1552" s="379"/>
      <c r="J1552" s="379"/>
      <c r="K1552" s="379"/>
      <c r="L1552" s="379"/>
      <c r="M1552" s="379"/>
      <c r="N1552" s="379"/>
      <c r="O1552" s="379"/>
      <c r="P1552" s="379"/>
      <c r="Q1552" s="379"/>
      <c r="R1552" s="379"/>
      <c r="S1552" s="379"/>
      <c r="T1552" s="379"/>
      <c r="U1552" s="379"/>
      <c r="V1552" s="380">
        <f>SUBTOTAL(9,V2:V1550)</f>
        <v>86890174.1300001</v>
      </c>
      <c r="W1552" s="380">
        <f>SUBTOTAL(9,W2:W1550)</f>
        <v>7035.0449999999691</v>
      </c>
      <c r="X1552" s="380"/>
      <c r="Y1552" s="380"/>
      <c r="Z1552" s="380"/>
      <c r="AA1552" s="380"/>
      <c r="AB1552" s="380">
        <f>SUBTOTAL(9,AB2:AB1550)</f>
        <v>586.2537500000002</v>
      </c>
    </row>
    <row r="1553" spans="3:31" x14ac:dyDescent="0.3">
      <c r="C1553" s="382" t="s">
        <v>578</v>
      </c>
      <c r="V1553" s="386">
        <f>V1548</f>
        <v>1554441.3900000004</v>
      </c>
    </row>
    <row r="1554" spans="3:31" x14ac:dyDescent="0.3">
      <c r="C1554" s="382" t="s">
        <v>3498</v>
      </c>
      <c r="V1554" s="386">
        <f>V1552-V1553</f>
        <v>85335732.740000099</v>
      </c>
      <c r="W1554" s="386">
        <f t="shared" ref="W1554:AB1554" si="23">W1552-W1553</f>
        <v>7035.0449999999691</v>
      </c>
      <c r="X1554" s="386">
        <f>AB1552-AB1553</f>
        <v>586.2537500000002</v>
      </c>
      <c r="Y1554" s="386">
        <f t="shared" si="23"/>
        <v>0</v>
      </c>
      <c r="Z1554" s="386">
        <f t="shared" si="23"/>
        <v>0</v>
      </c>
      <c r="AA1554" s="386">
        <f t="shared" si="23"/>
        <v>0</v>
      </c>
      <c r="AB1554" s="386">
        <f t="shared" si="23"/>
        <v>586.2537500000002</v>
      </c>
      <c r="AC1554" s="385">
        <f>SUM(AC6:AC1552)</f>
        <v>85335732.740000024</v>
      </c>
      <c r="AD1554" s="385">
        <f>SUM(AD6:AD1552)</f>
        <v>7035.0450000000019</v>
      </c>
      <c r="AE1554" s="385">
        <f>SUM(AE6:AE1552)</f>
        <v>586.25374999999985</v>
      </c>
    </row>
    <row r="1555" spans="3:31" x14ac:dyDescent="0.3">
      <c r="AC1555" s="385">
        <f>AC1554-V1554</f>
        <v>0</v>
      </c>
      <c r="AD1555" s="385">
        <f>AD1554-W1554</f>
        <v>3.2741809263825417E-11</v>
      </c>
      <c r="AE1555" s="385">
        <f>AE1554-AB1554</f>
        <v>0</v>
      </c>
    </row>
    <row r="1570" spans="19:19" x14ac:dyDescent="0.3">
      <c r="S1570" s="382">
        <v>1554</v>
      </c>
    </row>
    <row r="1571" spans="19:19" x14ac:dyDescent="0.3">
      <c r="S1571" s="382">
        <v>1650</v>
      </c>
    </row>
    <row r="1572" spans="19:19" x14ac:dyDescent="0.3">
      <c r="S1572" s="382">
        <f>S1571-S1570</f>
        <v>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rightToLeft="1" workbookViewId="0">
      <selection activeCell="M9" sqref="M9"/>
    </sheetView>
  </sheetViews>
  <sheetFormatPr defaultRowHeight="14" x14ac:dyDescent="0.3"/>
  <sheetData>
    <row r="1" spans="1:14" x14ac:dyDescent="0.3">
      <c r="A1" s="185" t="s">
        <v>3538</v>
      </c>
    </row>
    <row r="2" spans="1:14" x14ac:dyDescent="0.3">
      <c r="A2" t="s">
        <v>3540</v>
      </c>
      <c r="M2">
        <v>400</v>
      </c>
    </row>
    <row r="3" spans="1:14" ht="28" x14ac:dyDescent="0.6">
      <c r="A3" s="173">
        <v>1191000914</v>
      </c>
      <c r="B3" s="494"/>
      <c r="C3" s="174" t="s">
        <v>7</v>
      </c>
      <c r="G3" t="s">
        <v>3541</v>
      </c>
      <c r="M3">
        <v>531</v>
      </c>
    </row>
    <row r="4" spans="1:14" ht="28" x14ac:dyDescent="0.6">
      <c r="A4" s="440">
        <v>1233100220</v>
      </c>
      <c r="B4" s="120">
        <v>23</v>
      </c>
      <c r="C4" s="121" t="s">
        <v>4</v>
      </c>
      <c r="D4" s="121" t="s">
        <v>32</v>
      </c>
      <c r="E4" s="121"/>
      <c r="F4" s="121" t="s">
        <v>65</v>
      </c>
      <c r="I4" t="s">
        <v>3542</v>
      </c>
      <c r="M4">
        <v>400</v>
      </c>
    </row>
    <row r="6" spans="1:14" ht="28" x14ac:dyDescent="0.6">
      <c r="A6" s="468">
        <v>1473000591</v>
      </c>
      <c r="B6" s="404">
        <v>47</v>
      </c>
      <c r="C6" s="405" t="s">
        <v>4</v>
      </c>
      <c r="D6" s="405" t="s">
        <v>32</v>
      </c>
      <c r="E6" s="405"/>
      <c r="F6" s="405" t="s">
        <v>231</v>
      </c>
      <c r="G6" s="399">
        <v>216884</v>
      </c>
      <c r="H6" s="399">
        <v>225202</v>
      </c>
      <c r="I6" s="399">
        <v>499864.80000000005</v>
      </c>
      <c r="J6" s="399">
        <v>0</v>
      </c>
      <c r="K6" s="399">
        <v>225202</v>
      </c>
      <c r="M6" s="499">
        <v>-675</v>
      </c>
      <c r="N6" t="s">
        <v>3543</v>
      </c>
    </row>
    <row r="8" spans="1:14" ht="28" x14ac:dyDescent="0.6">
      <c r="A8" s="440">
        <v>1231000591</v>
      </c>
      <c r="B8" s="120">
        <v>23</v>
      </c>
      <c r="C8" s="121" t="s">
        <v>4</v>
      </c>
      <c r="D8" s="121" t="s">
        <v>32</v>
      </c>
      <c r="E8" s="121"/>
      <c r="F8" s="121" t="s">
        <v>63</v>
      </c>
      <c r="M8">
        <v>675</v>
      </c>
      <c r="N8" t="s">
        <v>3544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rightToLeft="1" topLeftCell="A3" zoomScale="90" zoomScaleNormal="90" zoomScaleSheetLayoutView="85" workbookViewId="0">
      <pane xSplit="10" ySplit="9" topLeftCell="K38" activePane="bottomRight" state="frozen"/>
      <selection activeCell="A3" sqref="A3"/>
      <selection pane="topRight" activeCell="K3" sqref="K3"/>
      <selection pane="bottomLeft" activeCell="A12" sqref="A12"/>
      <selection pane="bottomRight" activeCell="O3" sqref="O1:S1048576"/>
    </sheetView>
  </sheetViews>
  <sheetFormatPr defaultColWidth="9" defaultRowHeight="14" x14ac:dyDescent="0.3"/>
  <cols>
    <col min="1" max="1" width="2.58203125" style="1" hidden="1" customWidth="1"/>
    <col min="2" max="2" width="23.33203125" style="1" bestFit="1" customWidth="1"/>
    <col min="3" max="3" width="13" style="1" hidden="1" customWidth="1"/>
    <col min="4" max="4" width="13" style="1" customWidth="1"/>
    <col min="5" max="5" width="11" style="1" hidden="1" customWidth="1"/>
    <col min="6" max="6" width="11" style="145" hidden="1" customWidth="1"/>
    <col min="7" max="7" width="12.58203125" style="145" bestFit="1" customWidth="1"/>
    <col min="8" max="8" width="12.58203125" style="1" bestFit="1" customWidth="1"/>
    <col min="9" max="9" width="12.58203125" style="1" hidden="1" customWidth="1"/>
    <col min="10" max="10" width="12.58203125" style="1" bestFit="1" customWidth="1"/>
    <col min="11" max="11" width="4.5" style="1" customWidth="1"/>
    <col min="12" max="12" width="17.08203125" style="1" hidden="1" customWidth="1"/>
    <col min="13" max="13" width="92.25" style="1" hidden="1" customWidth="1"/>
    <col min="14" max="14" width="18" style="1" hidden="1" customWidth="1"/>
    <col min="15" max="15" width="47.25" style="1" hidden="1" customWidth="1"/>
    <col min="16" max="19" width="9" style="1" hidden="1" customWidth="1"/>
    <col min="20" max="23" width="9" style="1" customWidth="1"/>
    <col min="24" max="24" width="12.58203125" style="1" hidden="1" customWidth="1"/>
    <col min="25" max="26" width="10.25" style="1" bestFit="1" customWidth="1"/>
    <col min="27" max="16384" width="9" style="1"/>
  </cols>
  <sheetData>
    <row r="1" spans="1:26" x14ac:dyDescent="0.3">
      <c r="A1" s="33"/>
      <c r="B1" s="33"/>
      <c r="C1" s="33"/>
      <c r="D1" s="33"/>
      <c r="E1" s="33"/>
      <c r="F1" s="140"/>
      <c r="G1" s="140"/>
      <c r="H1" s="33"/>
      <c r="I1" s="33"/>
      <c r="J1" s="33"/>
      <c r="K1" s="33"/>
      <c r="X1" s="33"/>
    </row>
    <row r="2" spans="1:26" ht="14.5" thickBot="1" x14ac:dyDescent="0.35">
      <c r="A2" s="33"/>
      <c r="B2" s="33"/>
      <c r="C2" s="33"/>
      <c r="D2" s="33"/>
      <c r="E2" s="33"/>
      <c r="F2" s="140"/>
      <c r="G2" s="140"/>
      <c r="H2" s="33"/>
      <c r="I2" s="33"/>
      <c r="J2" s="33"/>
      <c r="K2" s="33"/>
      <c r="X2" s="33"/>
    </row>
    <row r="3" spans="1:26" ht="26" thickBot="1" x14ac:dyDescent="0.6">
      <c r="A3" s="33"/>
      <c r="B3" s="534" t="s">
        <v>619</v>
      </c>
      <c r="C3" s="535"/>
      <c r="D3" s="535"/>
      <c r="E3" s="535"/>
      <c r="F3" s="535"/>
      <c r="G3" s="535"/>
      <c r="H3" s="535"/>
      <c r="I3" s="535"/>
      <c r="J3" s="536"/>
    </row>
    <row r="4" spans="1:26" ht="14.5" thickBot="1" x14ac:dyDescent="0.35">
      <c r="A4" s="33"/>
      <c r="B4" s="33"/>
      <c r="C4" s="33"/>
      <c r="D4" s="33"/>
      <c r="E4" s="33"/>
      <c r="F4" s="140"/>
      <c r="G4" s="140"/>
      <c r="H4" s="33"/>
      <c r="I4" s="33"/>
      <c r="J4" s="33"/>
      <c r="K4" s="33"/>
      <c r="X4" s="33"/>
    </row>
    <row r="5" spans="1:26" ht="54.5" thickBot="1" x14ac:dyDescent="0.35">
      <c r="A5" s="33"/>
      <c r="B5" s="2" t="s">
        <v>32</v>
      </c>
      <c r="C5" s="2" t="s">
        <v>613</v>
      </c>
      <c r="D5" s="251" t="s">
        <v>614</v>
      </c>
      <c r="E5" s="2" t="s">
        <v>707</v>
      </c>
      <c r="F5" s="252" t="s">
        <v>611</v>
      </c>
      <c r="G5" s="252" t="s">
        <v>615</v>
      </c>
      <c r="H5" s="2" t="s">
        <v>3556</v>
      </c>
      <c r="I5" s="2" t="s">
        <v>3550</v>
      </c>
      <c r="J5" s="2" t="s">
        <v>3551</v>
      </c>
      <c r="K5" s="33"/>
      <c r="L5" s="2" t="s">
        <v>936</v>
      </c>
      <c r="N5" s="236" t="s">
        <v>2138</v>
      </c>
      <c r="O5" s="1" t="s">
        <v>2139</v>
      </c>
      <c r="X5" s="2" t="s">
        <v>3536</v>
      </c>
    </row>
    <row r="6" spans="1:26" s="145" customFormat="1" ht="15.5" x14ac:dyDescent="0.3">
      <c r="A6" s="140"/>
      <c r="B6" s="320" t="s">
        <v>2</v>
      </c>
      <c r="C6" s="321">
        <f>SUMIF('תקציב 2020'!C:C,'ריכוז תקציב 2020'!B6,'תקציב 2020'!G:G)</f>
        <v>48019143.420000002</v>
      </c>
      <c r="D6" s="322">
        <f>SUMIF('תקציב 2020'!C:C,'ריכוז תקציב 2020'!B6,'תקציב 2020'!H:H)</f>
        <v>50189108.579999998</v>
      </c>
      <c r="E6" s="322">
        <f>SUMIF('תקציב 2020'!C:C,'ריכוז תקציב 2020'!B6,'תקציב 2020'!I:I)</f>
        <v>52400000</v>
      </c>
      <c r="F6" s="322">
        <f>SUMIF('תקציב 2020'!C:C,'ריכוז תקציב 2020'!B6,'תקציב 2020'!J:J)</f>
        <v>56934531.135378398</v>
      </c>
      <c r="G6" s="322">
        <f>SUMIF('תקציב 2020'!C:C,'ריכוז תקציב 2020'!B6,'תקציב 2020'!K:K)</f>
        <v>54038489.032137603</v>
      </c>
      <c r="H6" s="322">
        <f>SUMIF('תקציב 2020'!C:C,'ריכוז תקציב 2020'!B6,'תקציב 2020'!O:O)</f>
        <v>52740830.600000001</v>
      </c>
      <c r="I6" s="322">
        <f>SUMIF('תקציב 2020'!C:C,'ריכוז תקציב 2020'!B6,'תקציב 2020'!P:P)</f>
        <v>57567526.399999999</v>
      </c>
      <c r="J6" s="323">
        <f>SUMIF('תקציב 2020'!C:C,'ריכוז תקציב 2020'!B6,'תקציב 2020'!S:S)</f>
        <v>51967526.399999999</v>
      </c>
      <c r="K6" s="140"/>
      <c r="L6" s="144">
        <f>I6-F6</f>
        <v>632995.26462160051</v>
      </c>
      <c r="M6" s="145" t="s">
        <v>937</v>
      </c>
      <c r="N6" s="237">
        <f>I6-G6</f>
        <v>3529037.3678623959</v>
      </c>
      <c r="O6" s="145" t="s">
        <v>2141</v>
      </c>
      <c r="P6" s="145" t="s">
        <v>3577</v>
      </c>
      <c r="X6" s="323" t="e">
        <f>SUMIF('תקציב 2020'!C:C,'ריכוז תקציב 2020'!B6,'תקציב 2020'!#REF!)</f>
        <v>#REF!</v>
      </c>
    </row>
    <row r="7" spans="1:26" s="145" customFormat="1" ht="15.5" x14ac:dyDescent="0.3">
      <c r="A7" s="140"/>
      <c r="B7" s="146" t="s">
        <v>14</v>
      </c>
      <c r="C7" s="147">
        <f>SUMIF('תקציב 2020'!C:C,'ריכוז תקציב 2020'!B7,'תקציב 2020'!G:G)</f>
        <v>22018.21</v>
      </c>
      <c r="D7" s="148">
        <f>SUMIF('תקציב 2020'!C:C,'ריכוז תקציב 2020'!B7,'תקציב 2020'!H:H)</f>
        <v>20000</v>
      </c>
      <c r="E7" s="148">
        <f>SUMIF('תקציב 2020'!C:C,'ריכוז תקציב 2020'!B7,'תקציב 2020'!I:I)</f>
        <v>4916.616</v>
      </c>
      <c r="F7" s="148">
        <f>SUMIF('תקציב 2020'!C:C,'ריכוז תקציב 2020'!B7,'תקציב 2020'!J:J)</f>
        <v>5000</v>
      </c>
      <c r="G7" s="148">
        <f>SUMIF('תקציב 2020'!C:C,'ריכוז תקציב 2020'!B7,'תקציב 2020'!K:K)</f>
        <v>20000</v>
      </c>
      <c r="H7" s="148">
        <f>SUMIF('תקציב 2020'!C:C,'ריכוז תקציב 2020'!B7,'תקציב 2020'!O:O)</f>
        <v>4916.616</v>
      </c>
      <c r="I7" s="148">
        <f>SUMIF('תקציב 2020'!C:C,'ריכוז תקציב 2020'!B7,'תקציב 2020'!P:P)</f>
        <v>5000</v>
      </c>
      <c r="J7" s="250">
        <f>SUMIF('תקציב 2020'!C:C,'ריכוז תקציב 2020'!B7,'תקציב 2020'!S:S)</f>
        <v>5000</v>
      </c>
      <c r="K7" s="140"/>
      <c r="L7" s="144">
        <f t="shared" ref="L7:L37" si="0">I7-F7</f>
        <v>0</v>
      </c>
      <c r="N7" s="144">
        <f t="shared" ref="N7:N20" si="1">I7-G7</f>
        <v>-15000</v>
      </c>
      <c r="X7" s="323" t="e">
        <f>SUMIF('תקציב 2020'!C:C,'ריכוז תקציב 2020'!B7,'תקציב 2020'!#REF!)</f>
        <v>#REF!</v>
      </c>
    </row>
    <row r="8" spans="1:26" s="145" customFormat="1" ht="15.5" x14ac:dyDescent="0.3">
      <c r="A8" s="140"/>
      <c r="B8" s="146" t="s">
        <v>4</v>
      </c>
      <c r="C8" s="147">
        <f>SUMIF('תקציב 2020'!C:C,'ריכוז תקציב 2020'!B8,'תקציב 2020'!G:G)</f>
        <v>12654386.210000003</v>
      </c>
      <c r="D8" s="148">
        <f>SUMIF('תקציב 2020'!C:C,'ריכוז תקציב 2020'!B8,'תקציב 2020'!H:H)</f>
        <v>13281743</v>
      </c>
      <c r="E8" s="148">
        <f>SUMIF('תקציב 2020'!C:C,'ריכוז תקציב 2020'!B8,'תקציב 2020'!I:I)</f>
        <v>14917438.844000002</v>
      </c>
      <c r="F8" s="148">
        <f>SUMIF('תקציב 2020'!C:C,'ריכוז תקציב 2020'!B8,'תקציב 2020'!J:J)</f>
        <v>14550549.4</v>
      </c>
      <c r="G8" s="148">
        <f>SUMIF('תקציב 2020'!C:C,'ריכוז תקציב 2020'!B8,'תקציב 2020'!K:K)</f>
        <v>12741743</v>
      </c>
      <c r="H8" s="148">
        <f>SUMIF('תקציב 2020'!C:C,'ריכוז תקציב 2020'!B8,'תקציב 2020'!O:O)</f>
        <v>14397193.232000003</v>
      </c>
      <c r="I8" s="148">
        <f>SUMIF('תקציב 2020'!C:C,'ריכוז תקציב 2020'!B8,'תקציב 2020'!P:P)</f>
        <v>15094523.32</v>
      </c>
      <c r="J8" s="250">
        <f>SUMIF('תקציב 2020'!C:C,'ריכוז תקציב 2020'!B8,'תקציב 2020'!S:S)</f>
        <v>13693748.32</v>
      </c>
      <c r="K8" s="140"/>
      <c r="L8" s="144">
        <f t="shared" si="0"/>
        <v>543973.91999999993</v>
      </c>
      <c r="M8" s="145" t="s">
        <v>938</v>
      </c>
      <c r="N8" s="237">
        <f t="shared" si="1"/>
        <v>2352780.3200000003</v>
      </c>
      <c r="O8" s="145" t="s">
        <v>3578</v>
      </c>
      <c r="X8" s="323" t="e">
        <f>SUMIF('תקציב 2020'!C:C,'ריכוז תקציב 2020'!B8,'תקציב 2020'!#REF!)</f>
        <v>#REF!</v>
      </c>
    </row>
    <row r="9" spans="1:26" s="145" customFormat="1" ht="15.5" x14ac:dyDescent="0.3">
      <c r="A9" s="140"/>
      <c r="B9" s="146" t="s">
        <v>10</v>
      </c>
      <c r="C9" s="147">
        <f>SUMIF('תקציב 2020'!C:C,'ריכוז תקציב 2020'!B9,'תקציב 2020'!G:G)</f>
        <v>8901303.3300000001</v>
      </c>
      <c r="D9" s="148">
        <f>SUMIF('תקציב 2020'!C:C,'ריכוז תקציב 2020'!B9,'תקציב 2020'!H:H)</f>
        <v>9461821</v>
      </c>
      <c r="E9" s="148">
        <f>SUMIF('תקציב 2020'!C:C,'ריכוז תקציב 2020'!B9,'תקציב 2020'!I:I)</f>
        <v>9921579.7799999993</v>
      </c>
      <c r="F9" s="148">
        <f>SUMIF('תקציב 2020'!C:C,'ריכוז תקציב 2020'!B9,'תקציב 2020'!J:J)</f>
        <v>10291945.031136425</v>
      </c>
      <c r="G9" s="148">
        <f>SUMIF('תקציב 2020'!C:C,'ריכוז תקציב 2020'!B9,'תקציב 2020'!K:K)</f>
        <v>9351237</v>
      </c>
      <c r="H9" s="148">
        <f>SUMIF('תקציב 2020'!C:C,'ריכוז תקציב 2020'!B9,'תקציב 2020'!O:O)</f>
        <v>9697536.9800000004</v>
      </c>
      <c r="I9" s="148">
        <f>SUMIF('תקציב 2020'!C:C,'ריכוז תקציב 2020'!B9,'תקציב 2020'!P:P)</f>
        <v>9903448</v>
      </c>
      <c r="J9" s="250">
        <f>SUMIF('תקציב 2020'!C:C,'ריכוז תקציב 2020'!B9,'תקציב 2020'!S:S)</f>
        <v>8639373.3333333358</v>
      </c>
      <c r="K9" s="140"/>
      <c r="L9" s="144">
        <f t="shared" si="0"/>
        <v>-388497.03113642521</v>
      </c>
      <c r="M9" s="145" t="s">
        <v>939</v>
      </c>
      <c r="N9" s="237">
        <f t="shared" si="1"/>
        <v>552211</v>
      </c>
      <c r="O9" s="145" t="s">
        <v>3578</v>
      </c>
      <c r="X9" s="323" t="e">
        <f>SUMIF('תקציב 2020'!C:C,'ריכוז תקציב 2020'!B9,'תקציב 2020'!#REF!)</f>
        <v>#REF!</v>
      </c>
    </row>
    <row r="10" spans="1:26" s="145" customFormat="1" ht="15.5" x14ac:dyDescent="0.3">
      <c r="A10" s="140"/>
      <c r="B10" s="146" t="s">
        <v>13</v>
      </c>
      <c r="C10" s="147">
        <f>SUMIF('תקציב 2020'!C:C,'ריכוז תקציב 2020'!B10,'תקציב 2020'!G:G)</f>
        <v>255048.08000000002</v>
      </c>
      <c r="D10" s="148">
        <f>SUMIF('תקציב 2020'!C:C,'ריכוז תקציב 2020'!B10,'תקציב 2020'!H:H)</f>
        <v>287500</v>
      </c>
      <c r="E10" s="148">
        <f>SUMIF('תקציב 2020'!C:C,'ריכוז תקציב 2020'!B10,'תקציב 2020'!I:I)</f>
        <v>262023.924</v>
      </c>
      <c r="F10" s="148">
        <f>SUMIF('תקציב 2020'!C:C,'ריכוז תקציב 2020'!B10,'תקציב 2020'!J:J)</f>
        <v>262500</v>
      </c>
      <c r="G10" s="148">
        <f>SUMIF('תקציב 2020'!C:C,'ריכוז תקציב 2020'!B10,'תקציב 2020'!K:K)</f>
        <v>287500</v>
      </c>
      <c r="H10" s="148">
        <f>SUMIF('תקציב 2020'!C:C,'ריכוז תקציב 2020'!B10,'תקציב 2020'!O:O)</f>
        <v>295593.40999999997</v>
      </c>
      <c r="I10" s="148">
        <f>SUMIF('תקציב 2020'!C:C,'ריכוז תקציב 2020'!B10,'תקציב 2020'!P:P)</f>
        <v>275000</v>
      </c>
      <c r="J10" s="250">
        <f>SUMIF('תקציב 2020'!C:C,'ריכוז תקציב 2020'!B10,'תקציב 2020'!S:S)</f>
        <v>275000</v>
      </c>
      <c r="K10" s="140"/>
      <c r="L10" s="144">
        <f t="shared" si="0"/>
        <v>12500</v>
      </c>
      <c r="N10" s="144">
        <f t="shared" si="1"/>
        <v>-12500</v>
      </c>
      <c r="O10" s="145" t="s">
        <v>3578</v>
      </c>
      <c r="X10" s="323" t="e">
        <f>SUMIF('תקציב 2020'!C:C,'ריכוז תקציב 2020'!B10,'תקציב 2020'!#REF!)</f>
        <v>#REF!</v>
      </c>
    </row>
    <row r="11" spans="1:26" s="145" customFormat="1" ht="15.5" x14ac:dyDescent="0.3">
      <c r="A11" s="140"/>
      <c r="B11" s="146" t="s">
        <v>11</v>
      </c>
      <c r="C11" s="147">
        <f>SUMIF('תקציב 2020'!C:C,'ריכוז תקציב 2020'!B11,'תקציב 2020'!G:G)</f>
        <v>29588364.880000006</v>
      </c>
      <c r="D11" s="148">
        <f>SUMIF('תקציב 2020'!C:C,'ריכוז תקציב 2020'!B11,'תקציב 2020'!H:H)</f>
        <v>28815965.91</v>
      </c>
      <c r="E11" s="148">
        <f>SUMIF('תקציב 2020'!C:C,'ריכוז תקציב 2020'!B11,'תקציב 2020'!I:I)</f>
        <v>29521431.791999999</v>
      </c>
      <c r="F11" s="148">
        <f>SUMIF('תקציב 2020'!C:C,'ריכוז תקציב 2020'!B11,'תקציב 2020'!J:J)</f>
        <v>29385026.47093695</v>
      </c>
      <c r="G11" s="148">
        <f>SUMIF('תקציב 2020'!C:C,'ריכוז תקציב 2020'!B11,'תקציב 2020'!K:K)</f>
        <v>28139692.800000001</v>
      </c>
      <c r="H11" s="148">
        <f>SUMIF('תקציב 2020'!C:C,'ריכוז תקציב 2020'!B11,'תקציב 2020'!O:O)</f>
        <v>29278377.460000001</v>
      </c>
      <c r="I11" s="148">
        <f>SUMIF('תקציב 2020'!C:C,'ריכוז תקציב 2020'!B11,'תקציב 2020'!P:P)</f>
        <v>29782000</v>
      </c>
      <c r="J11" s="250">
        <f>SUMIF('תקציב 2020'!C:C,'ריכוז תקציב 2020'!B11,'תקציב 2020'!S:S)</f>
        <v>29028041.666666664</v>
      </c>
      <c r="K11" s="140"/>
      <c r="L11" s="144">
        <f t="shared" si="0"/>
        <v>396973.5290630497</v>
      </c>
      <c r="N11" s="144">
        <f t="shared" si="1"/>
        <v>1642307.1999999993</v>
      </c>
      <c r="X11" s="323" t="e">
        <f>SUMIF('תקציב 2020'!C:C,'ריכוז תקציב 2020'!B11,'תקציב 2020'!#REF!)</f>
        <v>#REF!</v>
      </c>
      <c r="Z11" s="144"/>
    </row>
    <row r="12" spans="1:26" s="145" customFormat="1" ht="15.5" x14ac:dyDescent="0.3">
      <c r="A12" s="140"/>
      <c r="B12" s="146" t="s">
        <v>12</v>
      </c>
      <c r="C12" s="147">
        <f>SUMIF('תקציב 2020'!C:C,'ריכוז תקציב 2020'!B12,'תקציב 2020'!G:G)</f>
        <v>23487204</v>
      </c>
      <c r="D12" s="148">
        <f>SUMIF('תקציב 2020'!C:C,'ריכוז תקציב 2020'!B12,'תקציב 2020'!H:H)</f>
        <v>23109342.809999999</v>
      </c>
      <c r="E12" s="148">
        <f>SUMIF('תקציב 2020'!C:C,'ריכוז תקציב 2020'!B12,'תקציב 2020'!I:I)</f>
        <v>24294452.400000006</v>
      </c>
      <c r="F12" s="148">
        <f>SUMIF('תקציב 2020'!C:C,'ריכוז תקציב 2020'!B12,'תקציב 2020'!J:J)</f>
        <v>24170026.971999999</v>
      </c>
      <c r="G12" s="148">
        <f>SUMIF('תקציב 2020'!C:C,'ריכוז תקציב 2020'!B12,'תקציב 2020'!K:K)</f>
        <v>23109342.810000002</v>
      </c>
      <c r="H12" s="148">
        <f>SUMIF('תקציב 2020'!C:C,'ריכוז תקציב 2020'!B12,'תקציב 2020'!O:O)</f>
        <v>24419623</v>
      </c>
      <c r="I12" s="148">
        <f>SUMIF('תקציב 2020'!C:C,'ריכוז תקציב 2020'!B12,'תקציב 2020'!P:P)</f>
        <v>24367673.004675001</v>
      </c>
      <c r="J12" s="250">
        <f>SUMIF('תקציב 2020'!C:C,'ריכוז תקציב 2020'!B12,'תקציב 2020'!S:S)</f>
        <v>24367673.004675001</v>
      </c>
      <c r="K12" s="140"/>
      <c r="L12" s="144">
        <f t="shared" si="0"/>
        <v>197646.03267500177</v>
      </c>
      <c r="M12" s="145" t="s">
        <v>948</v>
      </c>
      <c r="N12" s="144">
        <f t="shared" si="1"/>
        <v>1258330.1946749985</v>
      </c>
      <c r="X12" s="323" t="e">
        <f>SUMIF('תקציב 2020'!C:C,'ריכוז תקציב 2020'!B12,'תקציב 2020'!#REF!)</f>
        <v>#REF!</v>
      </c>
    </row>
    <row r="13" spans="1:26" s="145" customFormat="1" ht="15.5" x14ac:dyDescent="0.3">
      <c r="A13" s="140"/>
      <c r="B13" s="146" t="s">
        <v>9</v>
      </c>
      <c r="C13" s="147">
        <f>SUMIF('תקציב 2020'!C:C,'ריכוז תקציב 2020'!B13,'תקציב 2020'!G:G)</f>
        <v>4835714.7</v>
      </c>
      <c r="D13" s="148">
        <f>SUMIF('תקציב 2020'!C:C,'ריכוז תקציב 2020'!B13,'תקציב 2020'!H:H)</f>
        <v>6179233.7000000002</v>
      </c>
      <c r="E13" s="148">
        <f>SUMIF('תקציב 2020'!C:C,'ריכוז תקציב 2020'!B13,'תקציב 2020'!I:I)</f>
        <v>5015150.5199999996</v>
      </c>
      <c r="F13" s="148">
        <f>SUMIF('תקציב 2020'!C:C,'ריכוז תקציב 2020'!B13,'תקציב 2020'!J:J)</f>
        <v>4488202</v>
      </c>
      <c r="G13" s="148">
        <f>SUMIF('תקציב 2020'!C:C,'ריכוז תקציב 2020'!B13,'תקציב 2020'!K:K)</f>
        <v>6179233.5</v>
      </c>
      <c r="H13" s="148">
        <f>SUMIF('תקציב 2020'!C:C,'ריכוז תקציב 2020'!B13,'תקציב 2020'!O:O)</f>
        <v>4991151.05</v>
      </c>
      <c r="I13" s="148">
        <f>SUMIF('תקציב 2020'!C:C,'ריכוז תקציב 2020'!B13,'תקציב 2020'!P:P)</f>
        <v>4774342</v>
      </c>
      <c r="J13" s="250">
        <f>SUMIF('תקציב 2020'!C:C,'ריכוז תקציב 2020'!B13,'תקציב 2020'!S:S)</f>
        <v>4774342</v>
      </c>
      <c r="K13" s="140"/>
      <c r="L13" s="144">
        <f t="shared" si="0"/>
        <v>286140</v>
      </c>
      <c r="M13" s="145" t="s">
        <v>946</v>
      </c>
      <c r="N13" s="237">
        <f t="shared" si="1"/>
        <v>-1404891.5</v>
      </c>
      <c r="O13" s="145" t="s">
        <v>2142</v>
      </c>
      <c r="Q13" s="144"/>
      <c r="X13" s="323" t="e">
        <f>SUMIF('תקציב 2020'!C:C,'ריכוז תקציב 2020'!B13,'תקציב 2020'!#REF!)</f>
        <v>#REF!</v>
      </c>
    </row>
    <row r="14" spans="1:26" s="145" customFormat="1" ht="15.5" x14ac:dyDescent="0.3">
      <c r="A14" s="140"/>
      <c r="B14" s="146" t="s">
        <v>5</v>
      </c>
      <c r="C14" s="147">
        <f>SUMIF('תקציב 2020'!C:C,'ריכוז תקציב 2020'!B14,'תקציב 2020'!G:G)</f>
        <v>2345441</v>
      </c>
      <c r="D14" s="148">
        <f>SUMIF('תקציב 2020'!C:C,'ריכוז תקציב 2020'!B14,'תקציב 2020'!H:H)</f>
        <v>2713892.66</v>
      </c>
      <c r="E14" s="148">
        <f>SUMIF('תקציב 2020'!C:C,'ריכוז תקציב 2020'!B14,'תקציב 2020'!I:I)</f>
        <v>2226803.2800000003</v>
      </c>
      <c r="F14" s="148">
        <f>SUMIF('תקציב 2020'!C:C,'ריכוז תקציב 2020'!B14,'תקציב 2020'!J:J)</f>
        <v>3135511</v>
      </c>
      <c r="G14" s="148">
        <f>SUMIF('תקציב 2020'!C:C,'ריכוז תקציב 2020'!B14,'תקציב 2020'!K:K)</f>
        <v>3196892.66</v>
      </c>
      <c r="H14" s="148">
        <f>SUMIF('תקציב 2020'!C:C,'ריכוז תקציב 2020'!B14,'תקציב 2020'!O:O)</f>
        <v>2326946</v>
      </c>
      <c r="I14" s="148">
        <f>SUMIF('תקציב 2020'!C:C,'ריכוז תקציב 2020'!B14,'תקציב 2020'!P:P)</f>
        <v>2390866</v>
      </c>
      <c r="J14" s="250">
        <f>SUMIF('תקציב 2020'!C:C,'ריכוז תקציב 2020'!B14,'תקציב 2020'!S:S)</f>
        <v>2390866</v>
      </c>
      <c r="K14" s="140"/>
      <c r="L14" s="144">
        <f t="shared" si="0"/>
        <v>-744645</v>
      </c>
      <c r="M14" s="145" t="s">
        <v>1032</v>
      </c>
      <c r="N14" s="144">
        <f t="shared" si="1"/>
        <v>-806026.66000000015</v>
      </c>
      <c r="O14" s="145" t="s">
        <v>3579</v>
      </c>
      <c r="X14" s="323" t="e">
        <f>SUMIF('תקציב 2020'!C:C,'ריכוז תקציב 2020'!B14,'תקציב 2020'!#REF!)</f>
        <v>#REF!</v>
      </c>
    </row>
    <row r="15" spans="1:26" s="145" customFormat="1" ht="15.5" x14ac:dyDescent="0.3">
      <c r="A15" s="140"/>
      <c r="B15" s="146" t="s">
        <v>6</v>
      </c>
      <c r="C15" s="147">
        <f>SUMIF('תקציב 2020'!C:C,'ריכוז תקציב 2020'!B15,'תקציב 2020'!G:G)</f>
        <v>29979119</v>
      </c>
      <c r="D15" s="148">
        <f>SUMIF('תקציב 2020'!C:C,'ריכוז תקציב 2020'!B15,'תקציב 2020'!H:H)</f>
        <v>29979000</v>
      </c>
      <c r="E15" s="148">
        <f>SUMIF('תקציב 2020'!C:C,'ריכוז תקציב 2020'!B15,'תקציב 2020'!I:I)</f>
        <v>29979000</v>
      </c>
      <c r="F15" s="148">
        <f>SUMIF('תקציב 2020'!C:C,'ריכוז תקציב 2020'!B15,'תקציב 2020'!J:J)</f>
        <v>29979000</v>
      </c>
      <c r="G15" s="148">
        <f>SUMIF('תקציב 2020'!C:C,'ריכוז תקציב 2020'!B15,'תקציב 2020'!K:K)</f>
        <v>28879000</v>
      </c>
      <c r="H15" s="148">
        <f>SUMIF('תקציב 2020'!C:C,'ריכוז תקציב 2020'!B15,'תקציב 2020'!O:O)</f>
        <v>29979000</v>
      </c>
      <c r="I15" s="148">
        <f>SUMIF('תקציב 2020'!C:C,'ריכוז תקציב 2020'!B15,'תקציב 2020'!P:P)</f>
        <v>29979000</v>
      </c>
      <c r="J15" s="250">
        <f>SUMIF('תקציב 2020'!C:C,'ריכוז תקציב 2020'!B15,'תקציב 2020'!S:S)</f>
        <v>29979000</v>
      </c>
      <c r="K15" s="140"/>
      <c r="L15" s="144">
        <f t="shared" si="0"/>
        <v>0</v>
      </c>
      <c r="N15" s="144">
        <f t="shared" si="1"/>
        <v>1100000</v>
      </c>
      <c r="X15" s="323" t="e">
        <f>SUMIF('תקציב 2020'!C:C,'ריכוז תקציב 2020'!B15,'תקציב 2020'!#REF!)</f>
        <v>#REF!</v>
      </c>
      <c r="Z15" s="144"/>
    </row>
    <row r="16" spans="1:26" s="145" customFormat="1" ht="15.5" x14ac:dyDescent="0.3">
      <c r="A16" s="140"/>
      <c r="B16" s="146" t="s">
        <v>7</v>
      </c>
      <c r="C16" s="147">
        <f>SUMIF('תקציב 2020'!C:C,'ריכוז תקציב 2020'!B16,'תקציב 2020'!G:G)</f>
        <v>1350000</v>
      </c>
      <c r="D16" s="148">
        <f>SUMIF('תקציב 2020'!C:C,'ריכוז תקציב 2020'!B16,'תקציב 2020'!H:H)</f>
        <v>0</v>
      </c>
      <c r="E16" s="148">
        <f>SUMIF('תקציב 2020'!C:C,'ריכוז תקציב 2020'!B16,'תקציב 2020'!I:I)</f>
        <v>604000</v>
      </c>
      <c r="F16" s="148">
        <f>SUMIF('תקציב 2020'!C:C,'ריכוז תקציב 2020'!B16,'תקציב 2020'!J:J)</f>
        <v>0</v>
      </c>
      <c r="G16" s="148">
        <f>SUMIF('תקציב 2020'!C:C,'ריכוז תקציב 2020'!B16,'תקציב 2020'!K:K)</f>
        <v>0</v>
      </c>
      <c r="H16" s="148">
        <f>SUMIF('תקציב 2020'!C:C,'ריכוז תקציב 2020'!B16,'תקציב 2020'!O:O)</f>
        <v>225000</v>
      </c>
      <c r="I16" s="148">
        <f>SUMIF('תקציב 2020'!C:C,'ריכוז תקציב 2020'!B16,'תקציב 2020'!P:P)</f>
        <v>0</v>
      </c>
      <c r="J16" s="283">
        <f>SUMIF('תקציב 2020'!C:C,'ריכוז תקציב 2020'!B16,'תקציב 2020'!S:S)</f>
        <v>5550000</v>
      </c>
      <c r="K16" s="140"/>
      <c r="L16" s="144">
        <f t="shared" si="0"/>
        <v>0</v>
      </c>
      <c r="N16" s="144">
        <f t="shared" si="1"/>
        <v>0</v>
      </c>
      <c r="O16" s="145" t="s">
        <v>3580</v>
      </c>
      <c r="X16" s="323" t="e">
        <f>SUMIF('תקציב 2020'!C:C,'ריכוז תקציב 2020'!B16,'תקציב 2020'!#REF!)</f>
        <v>#REF!</v>
      </c>
    </row>
    <row r="17" spans="1:26" s="145" customFormat="1" ht="15.5" x14ac:dyDescent="0.3">
      <c r="A17" s="140"/>
      <c r="B17" s="146" t="s">
        <v>15</v>
      </c>
      <c r="C17" s="147">
        <f>SUMIF('תקציב 2020'!C:C,'ריכוז תקציב 2020'!B17,'תקציב 2020'!G:G)</f>
        <v>823888.67</v>
      </c>
      <c r="D17" s="148">
        <f>SUMIF('תקציב 2020'!C:C,'ריכוז תקציב 2020'!B17,'תקציב 2020'!H:H)</f>
        <v>829027.27</v>
      </c>
      <c r="E17" s="148">
        <f>SUMIF('תקציב 2020'!C:C,'ריכוז תקציב 2020'!B17,'תקציב 2020'!I:I)</f>
        <v>648522.75599999994</v>
      </c>
      <c r="F17" s="148">
        <f>SUMIF('תקציב 2020'!C:C,'ריכוז תקציב 2020'!B17,'תקציב 2020'!J:J)</f>
        <v>675000</v>
      </c>
      <c r="G17" s="148">
        <f>SUMIF('תקציב 2020'!C:C,'ריכוז תקציב 2020'!B17,'תקציב 2020'!K:K)</f>
        <v>829027.27272727271</v>
      </c>
      <c r="H17" s="148">
        <f>SUMIF('תקציב 2020'!C:C,'ריכוז תקציב 2020'!B17,'תקציב 2020'!O:O)</f>
        <v>682567.83000000007</v>
      </c>
      <c r="I17" s="148">
        <f>SUMIF('תקציב 2020'!C:C,'ריכוז תקציב 2020'!B17,'תקציב 2020'!P:P)</f>
        <v>682000</v>
      </c>
      <c r="J17" s="250">
        <f>SUMIF('תקציב 2020'!C:C,'ריכוז תקציב 2020'!B17,'תקציב 2020'!S:S)</f>
        <v>682000</v>
      </c>
      <c r="K17" s="140"/>
      <c r="L17" s="144">
        <f t="shared" si="0"/>
        <v>7000</v>
      </c>
      <c r="N17" s="144">
        <f t="shared" si="1"/>
        <v>-147027.27272727271</v>
      </c>
      <c r="O17" s="145" t="s">
        <v>3581</v>
      </c>
      <c r="X17" s="323" t="e">
        <f>SUMIF('תקציב 2020'!C:C,'ריכוז תקציב 2020'!B17,'תקציב 2020'!#REF!)</f>
        <v>#REF!</v>
      </c>
    </row>
    <row r="18" spans="1:26" s="145" customFormat="1" ht="15.5" x14ac:dyDescent="0.3">
      <c r="A18" s="140"/>
      <c r="B18" s="146" t="s">
        <v>3</v>
      </c>
      <c r="C18" s="147">
        <f>SUMIF('תקציב 2020'!C:C,'ריכוז תקציב 2020'!B18,'תקציב 2020'!G:G)</f>
        <v>11656437</v>
      </c>
      <c r="D18" s="148">
        <f>SUMIF('תקציב 2020'!C:C,'ריכוז תקציב 2020'!B18,'תקציב 2020'!H:H)</f>
        <v>11751641</v>
      </c>
      <c r="E18" s="148">
        <f>SUMIF('תקציב 2020'!C:C,'ריכוז תקציב 2020'!B18,'תקציב 2020'!I:I)</f>
        <v>11916000</v>
      </c>
      <c r="F18" s="148">
        <f>SUMIF('תקציב 2020'!C:C,'ריכוז תקציב 2020'!B18,'תקציב 2020'!J:J)</f>
        <v>12000000</v>
      </c>
      <c r="G18" s="148">
        <f>SUMIF('תקציב 2020'!C:C,'ריכוז תקציב 2020'!B18,'תקציב 2020'!K:K)</f>
        <v>13043480.021881904</v>
      </c>
      <c r="H18" s="148">
        <f>SUMIF('תקציב 2020'!C:C,'ריכוז תקציב 2020'!B18,'תקציב 2020'!O:O)</f>
        <v>12466175</v>
      </c>
      <c r="I18" s="148">
        <f>SUMIF('תקציב 2020'!C:C,'ריכוז תקציב 2020'!B18,'תקציב 2020'!P:P)</f>
        <v>13000000</v>
      </c>
      <c r="J18" s="250">
        <f>SUMIF('תקציב 2020'!C:C,'ריכוז תקציב 2020'!B18,'תקציב 2020'!S:S)</f>
        <v>18600000</v>
      </c>
      <c r="K18" s="140"/>
      <c r="L18" s="144">
        <f>I18-F18</f>
        <v>1000000</v>
      </c>
      <c r="M18" s="145" t="s">
        <v>940</v>
      </c>
      <c r="N18" s="144">
        <f t="shared" si="1"/>
        <v>-43480.021881904453</v>
      </c>
      <c r="O18" s="145" t="s">
        <v>3582</v>
      </c>
      <c r="X18" s="323" t="e">
        <f>SUMIF('תקציב 2020'!C:C,'ריכוז תקציב 2020'!B18,'תקציב 2020'!#REF!)</f>
        <v>#REF!</v>
      </c>
    </row>
    <row r="19" spans="1:26" s="145" customFormat="1" ht="15.5" x14ac:dyDescent="0.3">
      <c r="A19" s="140"/>
      <c r="B19" s="146" t="s">
        <v>617</v>
      </c>
      <c r="C19" s="147">
        <f>SUMIF('תקציב 2020'!C:C,'ריכוז תקציב 2020'!B19,'תקציב 2020'!G:G)</f>
        <v>5500000</v>
      </c>
      <c r="D19" s="148">
        <f>SUMIF('תקציב 2020'!C:C,'ריכוז תקציב 2020'!B19,'תקציב 2020'!H:H)</f>
        <v>12000000</v>
      </c>
      <c r="E19" s="148">
        <f>SUMIF('תקציב 2020'!C:C,'ריכוז תקציב 2020'!B19,'תקציב 2020'!I:I)</f>
        <v>8259000</v>
      </c>
      <c r="F19" s="148">
        <f>SUMIF('תקציב 2020'!C:C,'ריכוז תקציב 2020'!B19,'תקציב 2020'!J:J)</f>
        <v>0</v>
      </c>
      <c r="G19" s="148">
        <f>SUMIF('תקציב 2020'!C:C,'ריכוז תקציב 2020'!B19,'תקציב 2020'!K:K)</f>
        <v>0</v>
      </c>
      <c r="H19" s="148">
        <f>SUMIF('תקציב 2020'!C:C,'ריכוז תקציב 2020'!B19,'תקציב 2020'!O:O)</f>
        <v>8259000</v>
      </c>
      <c r="I19" s="148">
        <f>SUMIF('תקציב 2020'!C:C,'ריכוז תקציב 2020'!B19,'תקציב 2020'!P:P)</f>
        <v>0</v>
      </c>
      <c r="J19" s="250">
        <f>SUMIF('תקציב 2020'!C:C,'ריכוז תקציב 2020'!B19,'תקציב 2020'!S:S)</f>
        <v>0</v>
      </c>
      <c r="K19" s="140"/>
      <c r="L19" s="144">
        <f t="shared" si="0"/>
        <v>0</v>
      </c>
      <c r="N19" s="144">
        <f t="shared" si="1"/>
        <v>0</v>
      </c>
      <c r="X19" s="323" t="e">
        <f>SUMIF('תקציב 2020'!C:C,'ריכוז תקציב 2020'!B19,'תקציב 2020'!#REF!)</f>
        <v>#REF!</v>
      </c>
    </row>
    <row r="20" spans="1:26" s="145" customFormat="1" ht="16" thickBot="1" x14ac:dyDescent="0.35">
      <c r="A20" s="140"/>
      <c r="B20" s="149" t="s">
        <v>29</v>
      </c>
      <c r="C20" s="245">
        <f>SUMIF('תקציב 2020'!C:C,'ריכוז תקציב 2020'!B20,'תקציב 2020'!G:G)</f>
        <v>345370</v>
      </c>
      <c r="D20" s="246">
        <f>SUMIF('תקציב 2020'!C:C,'ריכוז תקציב 2020'!B20,'תקציב 2020'!H:H)</f>
        <v>0</v>
      </c>
      <c r="E20" s="246">
        <f>SUMIF('תקציב 2020'!C:C,'ריכוז תקציב 2020'!B20,'תקציב 2020'!I:I)</f>
        <v>-7984.7999999999993</v>
      </c>
      <c r="F20" s="246">
        <f>SUMIF('תקציב 2020'!C:C,'ריכוז תקציב 2020'!B20,'תקציב 2020'!J:J)</f>
        <v>450000</v>
      </c>
      <c r="G20" s="246">
        <f>SUMIF('תקציב 2020'!C:C,'ריכוז תקציב 2020'!B20,'תקציב 2020'!K:K)</f>
        <v>900000</v>
      </c>
      <c r="H20" s="246">
        <f>SUMIF('תקציב 2020'!C:C,'ריכוז תקציב 2020'!B20,'תקציב 2020'!O:O)</f>
        <v>0</v>
      </c>
      <c r="I20" s="246">
        <f>SUMIF('תקציב 2020'!C:C,'ריכוז תקציב 2020'!B20,'תקציב 2020'!P:P)</f>
        <v>130000</v>
      </c>
      <c r="J20" s="254">
        <f>SUMIF('תקציב 2020'!C:C,'ריכוז תקציב 2020'!B20,'תקציב 2020'!S:S)</f>
        <v>680000</v>
      </c>
      <c r="K20" s="140"/>
      <c r="L20" s="144">
        <f t="shared" si="0"/>
        <v>-320000</v>
      </c>
      <c r="N20" s="144">
        <f t="shared" si="1"/>
        <v>-770000</v>
      </c>
      <c r="O20" s="145" t="s">
        <v>3583</v>
      </c>
      <c r="P20" s="145">
        <v>130000</v>
      </c>
      <c r="Q20" s="144">
        <f>P20-J20</f>
        <v>-550000</v>
      </c>
      <c r="X20" s="323" t="e">
        <f>SUMIF('תקציב 2020'!C:C,'ריכוז תקציב 2020'!B20,'תקציב 2020'!#REF!)</f>
        <v>#REF!</v>
      </c>
    </row>
    <row r="21" spans="1:26" ht="16" thickBot="1" x14ac:dyDescent="0.35">
      <c r="A21" s="33"/>
      <c r="B21" s="35" t="s">
        <v>616</v>
      </c>
      <c r="C21" s="324">
        <f t="shared" ref="C21:I21" si="2">SUM(C6:C20)</f>
        <v>179763438.5</v>
      </c>
      <c r="D21" s="325">
        <f t="shared" si="2"/>
        <v>188618275.93000001</v>
      </c>
      <c r="E21" s="325">
        <f t="shared" si="2"/>
        <v>189962335.11199999</v>
      </c>
      <c r="F21" s="326">
        <f t="shared" si="2"/>
        <v>186327292.00945178</v>
      </c>
      <c r="G21" s="327">
        <f t="shared" si="2"/>
        <v>180715638.0967468</v>
      </c>
      <c r="H21" s="244">
        <f t="shared" si="2"/>
        <v>189763911.17800003</v>
      </c>
      <c r="I21" s="244">
        <f t="shared" si="2"/>
        <v>187951378.724675</v>
      </c>
      <c r="J21" s="244">
        <f>SUM(J6:J20)</f>
        <v>190632570.724675</v>
      </c>
      <c r="K21" s="33"/>
      <c r="L21" s="36">
        <f t="shared" si="0"/>
        <v>1624086.715223223</v>
      </c>
      <c r="X21" s="244" t="e">
        <f>SUM(X6:X20)</f>
        <v>#REF!</v>
      </c>
    </row>
    <row r="22" spans="1:26" ht="14.5" thickBot="1" x14ac:dyDescent="0.35">
      <c r="A22" s="33"/>
      <c r="B22" s="33"/>
      <c r="C22" s="33"/>
      <c r="D22" s="33"/>
      <c r="E22" s="33"/>
      <c r="F22" s="140"/>
      <c r="G22" s="140"/>
      <c r="H22" s="33"/>
      <c r="I22" s="33"/>
      <c r="J22" s="33"/>
      <c r="K22" s="33"/>
      <c r="L22" s="136">
        <f t="shared" si="0"/>
        <v>0</v>
      </c>
      <c r="X22" s="33"/>
    </row>
    <row r="23" spans="1:26" ht="54.5" thickBot="1" x14ac:dyDescent="0.35">
      <c r="A23" s="33"/>
      <c r="B23" s="2" t="s">
        <v>33</v>
      </c>
      <c r="C23" s="2" t="s">
        <v>613</v>
      </c>
      <c r="D23" s="251" t="s">
        <v>614</v>
      </c>
      <c r="E23" s="2" t="s">
        <v>707</v>
      </c>
      <c r="F23" s="252" t="s">
        <v>611</v>
      </c>
      <c r="G23" s="252" t="s">
        <v>615</v>
      </c>
      <c r="H23" s="2" t="s">
        <v>3556</v>
      </c>
      <c r="I23" s="2" t="s">
        <v>2149</v>
      </c>
      <c r="J23" s="2" t="s">
        <v>3551</v>
      </c>
      <c r="K23" s="33"/>
      <c r="L23" s="136"/>
      <c r="X23" s="2" t="s">
        <v>3536</v>
      </c>
    </row>
    <row r="24" spans="1:26" s="145" customFormat="1" ht="15.5" x14ac:dyDescent="0.3">
      <c r="A24" s="140"/>
      <c r="B24" s="141" t="s">
        <v>17</v>
      </c>
      <c r="C24" s="142">
        <f>SUMIF('תקציב 2020'!C:C,'ריכוז תקציב 2020'!B24,'תקציב 2020'!G:G)</f>
        <v>22498552.790000003</v>
      </c>
      <c r="D24" s="143">
        <f>SUMIF('תקציב 2020'!C:C,'ריכוז תקציב 2020'!B24,'תקציב 2020'!H:H)</f>
        <v>22259061.540000003</v>
      </c>
      <c r="E24" s="143">
        <f>SUMIF('תקציב 2020'!C:C,'ריכוז תקציב 2020'!B24,'תקציב 2020'!I:I)</f>
        <v>23538473.80672</v>
      </c>
      <c r="F24" s="143">
        <f>SUMIF('תקציב 2020'!C:C,'ריכוז תקציב 2020'!B24,'תקציב 2020'!J:J)</f>
        <v>23758926.739862163</v>
      </c>
      <c r="G24" s="143">
        <f>SUMIF('תקציב 2020'!C:C,'ריכוז תקציב 2020'!B24,'תקציב 2020'!K:K)</f>
        <v>21566470.923959278</v>
      </c>
      <c r="H24" s="143">
        <f>SUMIF('תקציב 2020'!C:C,'ריכוז תקציב 2020'!B24,'תקציב 2020'!O:O)</f>
        <v>23236962.640000001</v>
      </c>
      <c r="I24" s="143">
        <f>SUMIF('תקציב 2020'!C:C,'ריכוז תקציב 2020'!B24,'תקציב 2020'!P:P)</f>
        <v>24043180.462010585</v>
      </c>
      <c r="J24" s="253">
        <f>SUMIF('תקציב 2020'!C:C,'ריכוז תקציב 2020'!B24,'תקציב 2020'!S:S)</f>
        <v>24043180.462010585</v>
      </c>
      <c r="K24" s="150"/>
      <c r="L24" s="144">
        <f t="shared" si="0"/>
        <v>284253.72214842215</v>
      </c>
      <c r="N24" s="238">
        <f>I24-G24</f>
        <v>2476709.5380513072</v>
      </c>
      <c r="O24" s="145" t="s">
        <v>2143</v>
      </c>
      <c r="X24" s="323" t="e">
        <f>SUMIF('תקציב 2020'!C:C,'ריכוז תקציב 2020'!B24,'תקציב 2020'!#REF!)</f>
        <v>#REF!</v>
      </c>
    </row>
    <row r="25" spans="1:26" s="145" customFormat="1" ht="15.5" x14ac:dyDescent="0.3">
      <c r="A25" s="140"/>
      <c r="B25" s="146" t="s">
        <v>18</v>
      </c>
      <c r="C25" s="147">
        <f>SUMIF('תקציב 2020'!C:C,'ריכוז תקציב 2020'!B25,'תקציב 2020'!G:G)</f>
        <v>33915691.690000005</v>
      </c>
      <c r="D25" s="148">
        <f>SUMIF('תקציב 2020'!C:C,'ריכוז תקציב 2020'!B25,'תקציב 2020'!H:H)</f>
        <v>35926791.200000003</v>
      </c>
      <c r="E25" s="148">
        <f>SUMIF('תקציב 2020'!C:C,'ריכוז תקציב 2020'!B25,'תקציב 2020'!I:I)</f>
        <v>36000699.996000007</v>
      </c>
      <c r="F25" s="148">
        <f>SUMIF('תקציב 2020'!C:C,'ריכוז תקציב 2020'!B25,'תקציב 2020'!J:J)</f>
        <v>38533104.619999997</v>
      </c>
      <c r="G25" s="148">
        <f>SUMIF('תקציב 2020'!C:C,'ריכוז תקציב 2020'!B25,'תקציב 2020'!K:K)</f>
        <v>35291791.203999996</v>
      </c>
      <c r="H25" s="148">
        <f>SUMIF('תקציב 2020'!C:C,'ריכוז תקציב 2020'!B25,'תקציב 2020'!O:O)</f>
        <v>35926259.250000015</v>
      </c>
      <c r="I25" s="148">
        <f>SUMIF('תקציב 2020'!C:C,'ריכוז תקציב 2020'!B25,'תקציב 2020'!P:P)</f>
        <v>35909131</v>
      </c>
      <c r="J25" s="250">
        <f>SUMIF('תקציב 2020'!C:C,'ריכוז תקציב 2020'!B25,'תקציב 2020'!S:S)</f>
        <v>35979131</v>
      </c>
      <c r="K25" s="140"/>
      <c r="L25" s="144">
        <f t="shared" si="0"/>
        <v>-2623973.6199999973</v>
      </c>
      <c r="M25" s="145" t="s">
        <v>1033</v>
      </c>
      <c r="N25" s="237">
        <f t="shared" ref="N25:N37" si="3">I25-G25</f>
        <v>617339.79600000381</v>
      </c>
      <c r="Q25" s="144"/>
      <c r="X25" s="323" t="e">
        <f>SUMIF('תקציב 2020'!C:C,'ריכוז תקציב 2020'!B25,'תקציב 2020'!#REF!)</f>
        <v>#REF!</v>
      </c>
      <c r="Y25" s="144"/>
      <c r="Z25" s="144"/>
    </row>
    <row r="26" spans="1:26" s="145" customFormat="1" ht="15.5" x14ac:dyDescent="0.3">
      <c r="A26" s="140"/>
      <c r="B26" s="146" t="s">
        <v>30</v>
      </c>
      <c r="C26" s="147">
        <f>SUMIF('תקציב 2020'!C:C,'ריכוז תקציב 2020'!B26,'תקציב 2020'!G:G)</f>
        <v>403917</v>
      </c>
      <c r="D26" s="148">
        <f>SUMIF('תקציב 2020'!C:C,'ריכוז תקציב 2020'!B26,'תקציב 2020'!H:H)</f>
        <v>0</v>
      </c>
      <c r="E26" s="148">
        <f>SUMIF('תקציב 2020'!C:C,'ריכוז תקציב 2020'!B26,'תקציב 2020'!I:I)</f>
        <v>68884.799999999988</v>
      </c>
      <c r="F26" s="148">
        <f>SUMIF('תקציב 2020'!C:C,'ריכוז תקציב 2020'!B26,'תקציב 2020'!J:J)</f>
        <v>450000</v>
      </c>
      <c r="G26" s="148">
        <f>SUMIF('תקציב 2020'!C:C,'ריכוז תקציב 2020'!B26,'תקציב 2020'!K:K)</f>
        <v>900000</v>
      </c>
      <c r="H26" s="148">
        <f>SUMIF('תקציב 2020'!C:C,'ריכוז תקציב 2020'!B26,'תקציב 2020'!O:O)</f>
        <v>0</v>
      </c>
      <c r="I26" s="148">
        <f>SUMIF('תקציב 2020'!C:C,'ריכוז תקציב 2020'!B26,'תקציב 2020'!P:P)</f>
        <v>130000</v>
      </c>
      <c r="J26" s="250">
        <f>SUMIF('תקציב 2020'!C:C,'ריכוז תקציב 2020'!B26,'תקציב 2020'!S:S)</f>
        <v>680000</v>
      </c>
      <c r="K26" s="140"/>
      <c r="L26" s="144">
        <f t="shared" si="0"/>
        <v>-320000</v>
      </c>
      <c r="N26" s="144">
        <f t="shared" si="3"/>
        <v>-770000</v>
      </c>
      <c r="O26" s="145" t="s">
        <v>3583</v>
      </c>
      <c r="P26" s="145">
        <v>130000</v>
      </c>
      <c r="Q26" s="144">
        <f>P26-J26</f>
        <v>-550000</v>
      </c>
      <c r="X26" s="323" t="e">
        <f>SUMIF('תקציב 2020'!C:C,'ריכוז תקציב 2020'!B26,'תקציב 2020'!#REF!)</f>
        <v>#REF!</v>
      </c>
    </row>
    <row r="27" spans="1:26" s="145" customFormat="1" ht="15.5" x14ac:dyDescent="0.3">
      <c r="A27" s="140"/>
      <c r="B27" s="146" t="s">
        <v>26</v>
      </c>
      <c r="C27" s="147">
        <f>SUMIF('תקציב 2020'!C:C,'ריכוז תקציב 2020'!B27,'תקציב 2020'!G:G)</f>
        <v>22675440.439999998</v>
      </c>
      <c r="D27" s="148">
        <f>SUMIF('תקציב 2020'!C:C,'ריכוז תקציב 2020'!B27,'תקציב 2020'!H:H)</f>
        <v>23470328.759999998</v>
      </c>
      <c r="E27" s="148">
        <f>SUMIF('תקציב 2020'!C:C,'ריכוז תקציב 2020'!B27,'תקציב 2020'!I:I)</f>
        <v>23295115.307999998</v>
      </c>
      <c r="F27" s="148">
        <f>SUMIF('תקציב 2020'!C:C,'ריכוז תקציב 2020'!B27,'תקציב 2020'!J:J)</f>
        <v>25111066.448721699</v>
      </c>
      <c r="G27" s="148">
        <f>SUMIF('תקציב 2020'!C:C,'ריכוז תקציב 2020'!B27,'תקציב 2020'!K:K)</f>
        <v>26368355.737934634</v>
      </c>
      <c r="H27" s="148">
        <f>SUMIF('תקציב 2020'!C:C,'ריכוז תקציב 2020'!B27,'תקציב 2020'!O:O)</f>
        <v>23337640</v>
      </c>
      <c r="I27" s="148">
        <f>SUMIF('תקציב 2020'!C:C,'ריכוז תקציב 2020'!B27,'תקציב 2020'!P:P)</f>
        <v>24354527.540000029</v>
      </c>
      <c r="J27" s="250">
        <f>SUMIF('תקציב 2020'!C:C,'ריכוז תקציב 2020'!B27,'תקציב 2020'!S:S)</f>
        <v>24354527.540000033</v>
      </c>
      <c r="K27" s="150"/>
      <c r="L27" s="144">
        <f t="shared" si="0"/>
        <v>-756538.90872167051</v>
      </c>
      <c r="N27" s="238">
        <f t="shared" si="3"/>
        <v>-2013828.1979346052</v>
      </c>
      <c r="X27" s="323" t="e">
        <f>SUMIF('תקציב 2020'!C:C,'ריכוז תקציב 2020'!B27,'תקציב 2020'!#REF!)</f>
        <v>#REF!</v>
      </c>
      <c r="Y27" s="144"/>
    </row>
    <row r="28" spans="1:26" s="145" customFormat="1" ht="15.5" x14ac:dyDescent="0.3">
      <c r="A28" s="140"/>
      <c r="B28" s="146" t="s">
        <v>22</v>
      </c>
      <c r="C28" s="147">
        <f>SUMIF('תקציב 2020'!C:C,'ריכוז תקציב 2020'!B28,'תקציב 2020'!G:G)</f>
        <v>25786830.859999999</v>
      </c>
      <c r="D28" s="148">
        <f>SUMIF('תקציב 2020'!C:C,'ריכוז תקציב 2020'!B28,'תקציב 2020'!H:H)</f>
        <v>25197040.790000003</v>
      </c>
      <c r="E28" s="148">
        <f>SUMIF('תקציב 2020'!C:C,'ריכוז תקציב 2020'!B28,'תקציב 2020'!I:I)</f>
        <v>26457492.644000001</v>
      </c>
      <c r="F28" s="148">
        <f>SUMIF('תקציב 2020'!C:C,'ריכוז תקציב 2020'!B28,'תקציב 2020'!J:J)</f>
        <v>25980443.071419355</v>
      </c>
      <c r="G28" s="148">
        <f>SUMIF('תקציב 2020'!C:C,'ריכוז תקציב 2020'!B28,'תקציב 2020'!K:K)</f>
        <v>24621074.174572308</v>
      </c>
      <c r="H28" s="148">
        <f>SUMIF('תקציב 2020'!C:C,'ריכוז תקציב 2020'!B28,'תקציב 2020'!O:O)</f>
        <v>26265212.740000002</v>
      </c>
      <c r="I28" s="148">
        <f>SUMIF('תקציב 2020'!C:C,'ריכוז תקציב 2020'!B28,'תקציב 2020'!P:P)</f>
        <v>26342300</v>
      </c>
      <c r="J28" s="250">
        <f>SUMIF('תקציב 2020'!C:C,'ריכוז תקציב 2020'!B28,'תקציב 2020'!S:S)</f>
        <v>24267276.958333332</v>
      </c>
      <c r="K28" s="140"/>
      <c r="L28" s="144">
        <f t="shared" si="0"/>
        <v>361856.92858064547</v>
      </c>
      <c r="N28" s="237">
        <f t="shared" si="3"/>
        <v>1721225.8254276924</v>
      </c>
      <c r="P28" s="145">
        <v>24262277</v>
      </c>
      <c r="Q28" s="144">
        <f>P28-J28</f>
        <v>-4999.9583333320916</v>
      </c>
      <c r="R28" s="145" t="s">
        <v>3573</v>
      </c>
      <c r="X28" s="323" t="e">
        <f>SUMIF('תקציב 2020'!C:C,'ריכוז תקציב 2020'!B28,'תקציב 2020'!#REF!)</f>
        <v>#REF!</v>
      </c>
    </row>
    <row r="29" spans="1:26" s="145" customFormat="1" ht="15.5" x14ac:dyDescent="0.3">
      <c r="A29" s="140"/>
      <c r="B29" s="146" t="s">
        <v>21</v>
      </c>
      <c r="C29" s="147">
        <f>SUMIF('תקציב 2020'!C:C,'ריכוז תקציב 2020'!B29,'תקציב 2020'!G:G)</f>
        <v>29403037.120000005</v>
      </c>
      <c r="D29" s="148">
        <f>SUMIF('תקציב 2020'!C:C,'ריכוז תקציב 2020'!B29,'תקציב 2020'!H:H)</f>
        <v>29031210.779999997</v>
      </c>
      <c r="E29" s="148">
        <f>SUMIF('תקציב 2020'!C:C,'ריכוז תקציב 2020'!B29,'תקציב 2020'!I:I)</f>
        <v>30075720.608319998</v>
      </c>
      <c r="F29" s="148">
        <f>SUMIF('תקציב 2020'!C:C,'ריכוז תקציב 2020'!B29,'תקציב 2020'!J:J)</f>
        <v>29250580.34135833</v>
      </c>
      <c r="G29" s="148">
        <f>SUMIF('תקציב 2020'!C:C,'ריכוז תקציב 2020'!B29,'תקציב 2020'!K:K)</f>
        <v>26516040.527153187</v>
      </c>
      <c r="H29" s="148">
        <f>SUMIF('תקציב 2020'!C:C,'ריכוז תקציב 2020'!B29,'תקציב 2020'!O:O)</f>
        <v>30453301.627919991</v>
      </c>
      <c r="I29" s="148">
        <f>SUMIF('תקציב 2020'!C:C,'ריכוז תקציב 2020'!B29,'תקציב 2020'!P:P)</f>
        <v>29383020.260000002</v>
      </c>
      <c r="J29" s="250">
        <f>SUMIF('תקציב 2020'!C:C,'ריכוז תקציב 2020'!B29,'תקציב 2020'!S:S)</f>
        <v>29383020.260000002</v>
      </c>
      <c r="K29" s="150"/>
      <c r="L29" s="144">
        <f t="shared" si="0"/>
        <v>132439.91864167154</v>
      </c>
      <c r="M29" s="151"/>
      <c r="N29" s="237">
        <f t="shared" si="3"/>
        <v>2866979.7328468151</v>
      </c>
      <c r="X29" s="323" t="e">
        <f>SUMIF('תקציב 2020'!C:C,'ריכוז תקציב 2020'!B29,'תקציב 2020'!#REF!)</f>
        <v>#REF!</v>
      </c>
    </row>
    <row r="30" spans="1:26" s="145" customFormat="1" ht="15.5" x14ac:dyDescent="0.3">
      <c r="A30" s="140"/>
      <c r="B30" s="146" t="s">
        <v>23</v>
      </c>
      <c r="C30" s="147">
        <f>SUMIF('תקציב 2020'!C:C,'ריכוז תקציב 2020'!B30,'תקציב 2020'!G:G)</f>
        <v>8100286.3100000005</v>
      </c>
      <c r="D30" s="148">
        <f>SUMIF('תקציב 2020'!C:C,'ריכוז תקציב 2020'!B30,'תקציב 2020'!H:H)</f>
        <v>8285143.9199999999</v>
      </c>
      <c r="E30" s="148">
        <f>SUMIF('תקציב 2020'!C:C,'ריכוז תקציב 2020'!B30,'תקציב 2020'!I:I)</f>
        <v>8305526.0047199996</v>
      </c>
      <c r="F30" s="148">
        <f>SUMIF('תקציב 2020'!C:C,'ריכוז תקציב 2020'!B30,'תקציב 2020'!J:J)</f>
        <v>8133251.3092500009</v>
      </c>
      <c r="G30" s="148">
        <f>SUMIF('תקציב 2020'!C:C,'ריכוז תקציב 2020'!B30,'תקציב 2020'!K:K)</f>
        <v>7974657.653917429</v>
      </c>
      <c r="H30" s="148">
        <f>SUMIF('תקציב 2020'!C:C,'ריכוז תקציב 2020'!B30,'תקציב 2020'!O:O)</f>
        <v>8307845.5800000001</v>
      </c>
      <c r="I30" s="148">
        <f>SUMIF('תקציב 2020'!C:C,'ריכוז תקציב 2020'!B30,'תקציב 2020'!P:P)</f>
        <v>8405205.120000001</v>
      </c>
      <c r="J30" s="250">
        <f>SUMIF('תקציב 2020'!C:C,'ריכוז תקציב 2020'!B30,'תקציב 2020'!S:S)</f>
        <v>8405205.1199999992</v>
      </c>
      <c r="K30" s="150"/>
      <c r="L30" s="144">
        <f t="shared" si="0"/>
        <v>271953.81075000018</v>
      </c>
      <c r="M30" s="151"/>
      <c r="N30" s="144">
        <f t="shared" si="3"/>
        <v>430547.46608257201</v>
      </c>
      <c r="X30" s="323" t="e">
        <f>SUMIF('תקציב 2020'!C:C,'ריכוז תקציב 2020'!B30,'תקציב 2020'!#REF!)</f>
        <v>#REF!</v>
      </c>
    </row>
    <row r="31" spans="1:26" s="145" customFormat="1" ht="15.5" x14ac:dyDescent="0.3">
      <c r="A31" s="140"/>
      <c r="B31" s="146" t="s">
        <v>24</v>
      </c>
      <c r="C31" s="147">
        <f>SUMIF('תקציב 2020'!C:C,'ריכוז תקציב 2020'!B31,'תקציב 2020'!G:G)</f>
        <v>23205377.149999999</v>
      </c>
      <c r="D31" s="148">
        <f>SUMIF('תקציב 2020'!C:C,'ריכוז תקציב 2020'!B31,'תקציב 2020'!H:H)</f>
        <v>23061790.240000002</v>
      </c>
      <c r="E31" s="148">
        <f>SUMIF('תקציב 2020'!C:C,'ריכוז תקציב 2020'!B31,'תקציב 2020'!I:I)</f>
        <v>23672488.971999995</v>
      </c>
      <c r="F31" s="148">
        <f>SUMIF('תקציב 2020'!C:C,'ריכוז תקציב 2020'!B31,'תקציב 2020'!J:J)</f>
        <v>23252340</v>
      </c>
      <c r="G31" s="148">
        <f>SUMIF('תקציב 2020'!C:C,'ריכוז תקציב 2020'!B31,'תקציב 2020'!K:K)</f>
        <v>23061790.236000001</v>
      </c>
      <c r="H31" s="148">
        <f>SUMIF('תקציב 2020'!C:C,'ריכוז תקציב 2020'!B31,'תקציב 2020'!O:O)</f>
        <v>24358062.82</v>
      </c>
      <c r="I31" s="148">
        <f>SUMIF('תקציב 2020'!C:C,'ריכוז תקציב 2020'!B31,'תקציב 2020'!P:P)</f>
        <v>24217663</v>
      </c>
      <c r="J31" s="250">
        <f>SUMIF('תקציב 2020'!C:C,'ריכוז תקציב 2020'!B31,'תקציב 2020'!S:S)</f>
        <v>24217663</v>
      </c>
      <c r="K31" s="140"/>
      <c r="L31" s="144">
        <f t="shared" si="0"/>
        <v>965323</v>
      </c>
      <c r="M31" s="145" t="s">
        <v>947</v>
      </c>
      <c r="N31" s="144">
        <f t="shared" si="3"/>
        <v>1155872.7639999986</v>
      </c>
      <c r="X31" s="323" t="e">
        <f>SUMIF('תקציב 2020'!C:C,'ריכוז תקציב 2020'!B31,'תקציב 2020'!#REF!)</f>
        <v>#REF!</v>
      </c>
    </row>
    <row r="32" spans="1:26" s="145" customFormat="1" ht="15.5" x14ac:dyDescent="0.3">
      <c r="A32" s="140"/>
      <c r="B32" s="146" t="s">
        <v>20</v>
      </c>
      <c r="C32" s="147">
        <f>SUMIF('תקציב 2020'!C:C,'ריכוז תקציב 2020'!B32,'תקציב 2020'!G:G)</f>
        <v>6801020.75</v>
      </c>
      <c r="D32" s="148">
        <f>SUMIF('תקציב 2020'!C:C,'ריכוז תקציב 2020'!B32,'תקציב 2020'!H:H)</f>
        <v>7395344.6600000001</v>
      </c>
      <c r="E32" s="148">
        <f>SUMIF('תקציב 2020'!C:C,'ריכוז תקציב 2020'!B32,'תקציב 2020'!I:I)</f>
        <v>7498261.0440000007</v>
      </c>
      <c r="F32" s="148">
        <f>SUMIF('תקציב 2020'!C:C,'ריכוז תקציב 2020'!B32,'תקציב 2020'!J:J)</f>
        <v>2065631.97</v>
      </c>
      <c r="G32" s="148">
        <f>SUMIF('תקציב 2020'!C:C,'ריכוז תקציב 2020'!B32,'תקציב 2020'!K:K)</f>
        <v>2760289.7331143524</v>
      </c>
      <c r="H32" s="148">
        <f>SUMIF('תקציב 2020'!C:C,'ריכוז תקציב 2020'!B32,'תקציב 2020'!O:O)</f>
        <v>6418261.0439999998</v>
      </c>
      <c r="I32" s="148">
        <f>SUMIF('תקציב 2020'!C:C,'ריכוז תקציב 2020'!B32,'תקציב 2020'!P:P)</f>
        <v>1872000</v>
      </c>
      <c r="J32" s="250">
        <f>SUMIF('תקציב 2020'!C:C,'ריכוז תקציב 2020'!B32,'תקציב 2020'!S:S)</f>
        <v>1872000</v>
      </c>
      <c r="K32" s="150"/>
      <c r="L32" s="144">
        <f t="shared" si="0"/>
        <v>-193631.96999999997</v>
      </c>
      <c r="N32" s="144">
        <f t="shared" si="3"/>
        <v>-888289.73311435245</v>
      </c>
      <c r="O32" s="145" t="s">
        <v>3584</v>
      </c>
      <c r="X32" s="323" t="e">
        <f>SUMIF('תקציב 2020'!C:C,'ריכוז תקציב 2020'!B32,'תקציב 2020'!#REF!)</f>
        <v>#REF!</v>
      </c>
    </row>
    <row r="33" spans="1:24" s="145" customFormat="1" ht="15.5" x14ac:dyDescent="0.3">
      <c r="A33" s="140"/>
      <c r="B33" s="146" t="s">
        <v>25</v>
      </c>
      <c r="C33" s="147">
        <f>SUMIF('תקציב 2020'!C:C,'ריכוז תקציב 2020'!B33,'תקציב 2020'!G:G)</f>
        <v>781529.16</v>
      </c>
      <c r="D33" s="148">
        <f>SUMIF('תקציב 2020'!C:C,'ריכוז תקציב 2020'!B33,'תקציב 2020'!H:H)</f>
        <v>821704.96</v>
      </c>
      <c r="E33" s="148">
        <f>SUMIF('תקציב 2020'!C:C,'ריכוז תקציב 2020'!B33,'תקציב 2020'!I:I)</f>
        <v>912223.44</v>
      </c>
      <c r="F33" s="148">
        <f>SUMIF('תקציב 2020'!C:C,'ריכוז תקציב 2020'!B33,'תקציב 2020'!J:J)</f>
        <v>0</v>
      </c>
      <c r="G33" s="148">
        <f>SUMIF('תקציב 2020'!C:C,'ריכוז תקציב 2020'!B33,'תקציב 2020'!K:K)</f>
        <v>0</v>
      </c>
      <c r="H33" s="148">
        <f>SUMIF('תקציב 2020'!C:C,'ריכוז תקציב 2020'!B33,'תקציב 2020'!O:O)</f>
        <v>764000</v>
      </c>
      <c r="I33" s="148">
        <f>SUMIF('תקציב 2020'!C:C,'ריכוז תקציב 2020'!B33,'תקציב 2020'!P:P)</f>
        <v>0</v>
      </c>
      <c r="J33" s="250">
        <f>SUMIF('תקציב 2020'!C:C,'ריכוז תקציב 2020'!B33,'תקציב 2020'!S:S)</f>
        <v>0</v>
      </c>
      <c r="K33" s="140"/>
      <c r="L33" s="144">
        <f t="shared" si="0"/>
        <v>0</v>
      </c>
      <c r="N33" s="144">
        <f t="shared" si="3"/>
        <v>0</v>
      </c>
      <c r="X33" s="323" t="e">
        <f>SUMIF('תקציב 2020'!C:C,'ריכוז תקציב 2020'!B33,'תקציב 2020'!#REF!)</f>
        <v>#REF!</v>
      </c>
    </row>
    <row r="34" spans="1:24" s="145" customFormat="1" ht="15.5" x14ac:dyDescent="0.3">
      <c r="A34" s="140"/>
      <c r="B34" s="146" t="s">
        <v>19</v>
      </c>
      <c r="C34" s="147">
        <f>SUMIF('תקציב 2020'!C:C,'ריכוז תקציב 2020'!B34,'תקציב 2020'!G:G)</f>
        <v>862614.98</v>
      </c>
      <c r="D34" s="148">
        <f>SUMIF('תקציב 2020'!C:C,'ריכוז תקציב 2020'!B34,'תקציב 2020'!H:H)</f>
        <v>888000</v>
      </c>
      <c r="E34" s="148">
        <f>SUMIF('תקציב 2020'!C:C,'ריכוז תקציב 2020'!B34,'תקציב 2020'!I:I)</f>
        <v>833896.24800000002</v>
      </c>
      <c r="F34" s="148">
        <f>SUMIF('תקציב 2020'!C:C,'ריכוז תקציב 2020'!B34,'תקציב 2020'!J:J)</f>
        <v>841000</v>
      </c>
      <c r="G34" s="148">
        <f>SUMIF('תקציב 2020'!C:C,'ריכוז תקציב 2020'!B34,'תקציב 2020'!K:K)</f>
        <v>888000</v>
      </c>
      <c r="H34" s="148">
        <f>SUMIF('תקציב 2020'!C:C,'ריכוז תקציב 2020'!B34,'תקציב 2020'!O:O)</f>
        <v>908082.54</v>
      </c>
      <c r="I34" s="148">
        <f>SUMIF('תקציב 2020'!C:C,'ריכוז תקציב 2020'!B34,'תקציב 2020'!P:P)</f>
        <v>852000</v>
      </c>
      <c r="J34" s="250">
        <f>SUMIF('תקציב 2020'!C:C,'ריכוז תקציב 2020'!B34,'תקציב 2020'!S:S)</f>
        <v>852000</v>
      </c>
      <c r="K34" s="140"/>
      <c r="L34" s="144">
        <f t="shared" si="0"/>
        <v>11000</v>
      </c>
      <c r="N34" s="144">
        <f t="shared" si="3"/>
        <v>-36000</v>
      </c>
      <c r="X34" s="323" t="e">
        <f>SUMIF('תקציב 2020'!C:C,'ריכוז תקציב 2020'!B34,'תקציב 2020'!#REF!)</f>
        <v>#REF!</v>
      </c>
    </row>
    <row r="35" spans="1:24" s="145" customFormat="1" ht="15.5" x14ac:dyDescent="0.3">
      <c r="A35" s="140"/>
      <c r="B35" s="146" t="s">
        <v>28</v>
      </c>
      <c r="C35" s="147">
        <f>SUMIF('תקציב 2020'!C:C,'ריכוז תקציב 2020'!B35,'תקציב 2020'!G:G)</f>
        <v>11570877</v>
      </c>
      <c r="D35" s="148">
        <f>SUMIF('תקציב 2020'!C:C,'ריכוז תקציב 2020'!B35,'תקציב 2020'!H:H)</f>
        <v>11665641</v>
      </c>
      <c r="E35" s="148">
        <f>SUMIF('תקציב 2020'!C:C,'ריכוז תקציב 2020'!B35,'תקציב 2020'!I:I)</f>
        <v>11867022</v>
      </c>
      <c r="F35" s="148">
        <f>SUMIF('תקציב 2020'!C:C,'ריכוז תקציב 2020'!B35,'תקציב 2020'!J:J)</f>
        <v>11959000</v>
      </c>
      <c r="G35" s="148">
        <f>SUMIF('תקציב 2020'!C:C,'ריכוז תקציב 2020'!B35,'תקציב 2020'!K:K)</f>
        <v>12957480.021881904</v>
      </c>
      <c r="H35" s="148">
        <f>SUMIF('תקציב 2020'!C:C,'ריכוז תקציב 2020'!B35,'תקציב 2020'!O:O)</f>
        <v>12466175</v>
      </c>
      <c r="I35" s="148">
        <f>SUMIF('תקציב 2020'!C:C,'ריכוז תקציב 2020'!B35,'תקציב 2020'!P:P)</f>
        <v>13000000</v>
      </c>
      <c r="J35" s="250">
        <f>SUMIF('תקציב 2020'!C:C,'ריכוז תקציב 2020'!B35,'תקציב 2020'!S:S)</f>
        <v>18600000</v>
      </c>
      <c r="K35" s="140"/>
      <c r="L35" s="144">
        <f t="shared" si="0"/>
        <v>1041000</v>
      </c>
      <c r="M35" s="145" t="s">
        <v>940</v>
      </c>
      <c r="N35" s="144">
        <f t="shared" si="3"/>
        <v>42519.978118095547</v>
      </c>
      <c r="O35" s="145" t="s">
        <v>3582</v>
      </c>
      <c r="X35" s="323" t="e">
        <f>SUMIF('תקציב 2020'!C:C,'ריכוז תקציב 2020'!B35,'תקציב 2020'!#REF!)</f>
        <v>#REF!</v>
      </c>
    </row>
    <row r="36" spans="1:24" s="145" customFormat="1" ht="15.5" x14ac:dyDescent="0.3">
      <c r="A36" s="140"/>
      <c r="B36" s="146" t="s">
        <v>27</v>
      </c>
      <c r="C36" s="147">
        <f>SUMIF('תקציב 2020'!C:C,'ריכוז תקציב 2020'!B36,'תקציב 2020'!G:G)</f>
        <v>767393.37</v>
      </c>
      <c r="D36" s="148">
        <f>SUMIF('תקציב 2020'!C:C,'ריכוז תקציב 2020'!B36,'תקציב 2020'!H:H)</f>
        <v>6574114.5599999996</v>
      </c>
      <c r="E36" s="148">
        <f>SUMIF('תקציב 2020'!C:C,'ריכוז תקציב 2020'!B36,'תקציב 2020'!I:I)</f>
        <v>3344835</v>
      </c>
      <c r="F36" s="148">
        <f>SUMIF('תקציב 2020'!C:C,'ריכוז תקציב 2020'!B36,'תקציב 2020'!J:J)</f>
        <v>3670115</v>
      </c>
      <c r="G36" s="148">
        <f>SUMIF('תקציב 2020'!C:C,'ריכוז תקציב 2020'!B36,'תקציב 2020'!K:K)</f>
        <v>1070000</v>
      </c>
      <c r="H36" s="148">
        <f>SUMIF('תקציב 2020'!C:C,'ריכוז תקציב 2020'!B36,'תקציב 2020'!O:O)</f>
        <v>2876276.49</v>
      </c>
      <c r="I36" s="148">
        <f>SUMIF('תקציב 2020'!C:C,'ריכוז תקציב 2020'!B36,'תקציב 2020'!P:P)</f>
        <v>6377174</v>
      </c>
      <c r="J36" s="250">
        <f>SUMIF('תקציב 2020'!C:C,'ריכוז תקציב 2020'!B36,'תקציב 2020'!S:S)</f>
        <v>6577174</v>
      </c>
      <c r="K36" s="140"/>
      <c r="L36" s="144">
        <f t="shared" si="0"/>
        <v>2707059</v>
      </c>
      <c r="N36" s="144">
        <f t="shared" si="3"/>
        <v>5307174</v>
      </c>
      <c r="O36" s="145" t="s">
        <v>3585</v>
      </c>
      <c r="X36" s="323" t="e">
        <f>SUMIF('תקציב 2020'!C:C,'ריכוז תקציב 2020'!B36,'תקציב 2020'!#REF!)</f>
        <v>#REF!</v>
      </c>
    </row>
    <row r="37" spans="1:24" s="145" customFormat="1" ht="16" thickBot="1" x14ac:dyDescent="0.35">
      <c r="A37" s="140"/>
      <c r="B37" s="149" t="s">
        <v>16</v>
      </c>
      <c r="C37" s="245">
        <f>SUMIF('תקציב 2020'!C:C,'ריכוז תקציב 2020'!B37,'תקציב 2020'!G:G)</f>
        <v>5500000</v>
      </c>
      <c r="D37" s="246">
        <f>SUMIF('תקציב 2020'!C:C,'ריכוז תקציב 2020'!B37,'תקציב 2020'!H:H)</f>
        <v>12000000</v>
      </c>
      <c r="E37" s="246">
        <f>SUMIF('תקציב 2020'!C:C,'ריכוז תקציב 2020'!B37,'תקציב 2020'!I:I)</f>
        <v>8259000</v>
      </c>
      <c r="F37" s="246">
        <f>SUMIF('תקציב 2020'!C:C,'ריכוז תקציב 2020'!B37,'תקציב 2020'!J:J)</f>
        <v>0</v>
      </c>
      <c r="G37" s="246">
        <f>SUMIF('תקציב 2020'!C:C,'ריכוז תקציב 2020'!B37,'תקציב 2020'!K:K)</f>
        <v>0</v>
      </c>
      <c r="H37" s="246">
        <f>SUMIF('תקציב 2020'!C:C,'ריכוז תקציב 2020'!B37,'תקציב 2020'!O:O)</f>
        <v>8259000</v>
      </c>
      <c r="I37" s="246">
        <f>SUMIF('תקציב 2020'!C:C,'ריכוז תקציב 2020'!B37,'תקציב 2020'!P:P)</f>
        <v>0</v>
      </c>
      <c r="J37" s="254">
        <f>SUMIF('תקציב 2020'!C:C,'ריכוז תקציב 2020'!B37,'תקציב 2020'!S:S)</f>
        <v>0</v>
      </c>
      <c r="K37" s="140"/>
      <c r="L37" s="144">
        <f t="shared" si="0"/>
        <v>0</v>
      </c>
      <c r="N37" s="144">
        <f t="shared" si="3"/>
        <v>0</v>
      </c>
      <c r="X37" s="323" t="e">
        <f>SUMIF('תקציב 2020'!C:C,'ריכוז תקציב 2020'!B37,'תקציב 2020'!#REF!)</f>
        <v>#REF!</v>
      </c>
    </row>
    <row r="38" spans="1:24" ht="16" thickBot="1" x14ac:dyDescent="0.4">
      <c r="A38" s="33"/>
      <c r="B38" s="35" t="s">
        <v>618</v>
      </c>
      <c r="C38" s="247">
        <f t="shared" ref="C38:L38" si="4">SUM(C24:C37)</f>
        <v>192272568.62</v>
      </c>
      <c r="D38" s="247">
        <f t="shared" si="4"/>
        <v>206576172.41</v>
      </c>
      <c r="E38" s="247">
        <f t="shared" si="4"/>
        <v>204129639.87176001</v>
      </c>
      <c r="F38" s="248">
        <f t="shared" si="4"/>
        <v>193005459.50061154</v>
      </c>
      <c r="G38" s="177">
        <f t="shared" si="4"/>
        <v>183975950.21253309</v>
      </c>
      <c r="H38" s="249">
        <f t="shared" si="4"/>
        <v>203577079.73192003</v>
      </c>
      <c r="I38" s="249">
        <f>SUM(I24:I37)</f>
        <v>194886201.38201061</v>
      </c>
      <c r="J38" s="249">
        <f>SUM(J24:J37)</f>
        <v>199231178.34034395</v>
      </c>
      <c r="K38" s="37">
        <f t="shared" si="4"/>
        <v>0</v>
      </c>
      <c r="L38" s="37">
        <f t="shared" si="4"/>
        <v>1880741.8813990715</v>
      </c>
      <c r="X38" s="249" t="e">
        <f>SUM(X24:X37)</f>
        <v>#REF!</v>
      </c>
    </row>
    <row r="39" spans="1:24" ht="16" thickBot="1" x14ac:dyDescent="0.4">
      <c r="A39" s="33"/>
      <c r="B39" s="255"/>
      <c r="C39" s="41"/>
      <c r="D39" s="41"/>
      <c r="E39" s="41"/>
      <c r="F39" s="256"/>
      <c r="G39" s="256"/>
      <c r="H39" s="41"/>
      <c r="I39" s="41"/>
      <c r="J39" s="257"/>
      <c r="K39" s="33"/>
      <c r="X39" s="257"/>
    </row>
    <row r="40" spans="1:24" ht="16" thickBot="1" x14ac:dyDescent="0.4">
      <c r="A40" s="33"/>
      <c r="B40" s="410" t="s">
        <v>3506</v>
      </c>
      <c r="C40" s="411">
        <f t="shared" ref="C40:L40" si="5">C21-C38</f>
        <v>-12509130.120000005</v>
      </c>
      <c r="D40" s="412">
        <f t="shared" si="5"/>
        <v>-17957896.479999989</v>
      </c>
      <c r="E40" s="412">
        <f t="shared" si="5"/>
        <v>-14167304.759760022</v>
      </c>
      <c r="F40" s="413">
        <f t="shared" si="5"/>
        <v>-6678167.4911597669</v>
      </c>
      <c r="G40" s="414">
        <f t="shared" si="5"/>
        <v>-3260312.1157862842</v>
      </c>
      <c r="H40" s="412">
        <f t="shared" si="5"/>
        <v>-13813168.553920001</v>
      </c>
      <c r="I40" s="412">
        <f t="shared" si="5"/>
        <v>-6934822.6573356092</v>
      </c>
      <c r="J40" s="415">
        <f t="shared" si="5"/>
        <v>-8598607.6156689525</v>
      </c>
      <c r="K40" s="36">
        <f t="shared" si="5"/>
        <v>0</v>
      </c>
      <c r="L40" s="36">
        <f t="shared" si="5"/>
        <v>-256655.16617584857</v>
      </c>
      <c r="P40" s="1">
        <v>-8593608</v>
      </c>
      <c r="Q40" s="136">
        <f>P40-J40</f>
        <v>4999.6156689524651</v>
      </c>
      <c r="R40" s="145" t="s">
        <v>3572</v>
      </c>
      <c r="X40" s="415" t="e">
        <f>X21-X38</f>
        <v>#REF!</v>
      </c>
    </row>
    <row r="41" spans="1:24" ht="14.5" thickBot="1" x14ac:dyDescent="0.35">
      <c r="A41" s="33"/>
      <c r="B41" s="416" t="s">
        <v>3505</v>
      </c>
      <c r="C41" s="417"/>
      <c r="D41" s="418">
        <f>'תקציב 2020'!H750</f>
        <v>5274114.5599999996</v>
      </c>
      <c r="E41" s="418"/>
      <c r="F41" s="418"/>
      <c r="G41" s="418">
        <f>'תקציב 2020'!K750</f>
        <v>770000</v>
      </c>
      <c r="H41" s="419">
        <f>'תקציב 2020'!O750</f>
        <v>1554441.39</v>
      </c>
      <c r="I41" s="419">
        <f>'תקציב 2020'!P750</f>
        <v>4489674</v>
      </c>
      <c r="J41" s="420">
        <f>'תקציב 2020'!S750</f>
        <v>4489674</v>
      </c>
      <c r="K41" s="33"/>
      <c r="X41" s="420" t="e">
        <f>'תקציב 2020'!#REF!</f>
        <v>#REF!</v>
      </c>
    </row>
    <row r="42" spans="1:24" ht="14.5" thickBot="1" x14ac:dyDescent="0.35">
      <c r="A42" s="33"/>
      <c r="B42" s="421" t="s">
        <v>3507</v>
      </c>
      <c r="C42" s="422"/>
      <c r="D42" s="423">
        <f>D40+D41</f>
        <v>-12683781.919999991</v>
      </c>
      <c r="E42" s="423"/>
      <c r="F42" s="423"/>
      <c r="G42" s="423">
        <f>G40+G41</f>
        <v>-2490312.1157862842</v>
      </c>
      <c r="H42" s="423">
        <f>H40+H41</f>
        <v>-12258727.16392</v>
      </c>
      <c r="I42" s="424">
        <f>I40+I41</f>
        <v>-2445148.6573356092</v>
      </c>
      <c r="J42" s="425">
        <f>J40+J41</f>
        <v>-4108933.6156689525</v>
      </c>
      <c r="K42" s="33"/>
      <c r="X42" s="425" t="e">
        <f>X40+X41</f>
        <v>#REF!</v>
      </c>
    </row>
    <row r="43" spans="1:24" x14ac:dyDescent="0.3">
      <c r="A43" s="33"/>
      <c r="B43" s="140"/>
      <c r="C43" s="140"/>
      <c r="D43" s="140"/>
      <c r="E43" s="140"/>
      <c r="F43" s="140"/>
      <c r="G43" s="140"/>
      <c r="H43" s="140"/>
      <c r="I43" s="140"/>
      <c r="J43" s="150"/>
      <c r="K43" s="33"/>
      <c r="X43" s="140"/>
    </row>
    <row r="44" spans="1:24" x14ac:dyDescent="0.3">
      <c r="A44" s="33"/>
      <c r="B44" s="140"/>
      <c r="C44" s="140"/>
      <c r="D44" s="140"/>
      <c r="E44" s="140"/>
      <c r="F44" s="140"/>
      <c r="G44" s="140"/>
      <c r="H44" s="140"/>
      <c r="I44" s="140"/>
      <c r="J44" s="140"/>
      <c r="K44" s="33"/>
      <c r="X44" s="140"/>
    </row>
    <row r="45" spans="1:24" x14ac:dyDescent="0.3">
      <c r="A45" s="33"/>
      <c r="B45" s="140"/>
      <c r="C45" s="140"/>
      <c r="D45" s="140"/>
      <c r="E45" s="140"/>
      <c r="F45" s="140"/>
      <c r="G45" s="140"/>
      <c r="H45" s="140"/>
      <c r="I45" s="140"/>
      <c r="J45" s="140"/>
      <c r="K45" s="33"/>
      <c r="X45" s="140"/>
    </row>
    <row r="46" spans="1:24" x14ac:dyDescent="0.3">
      <c r="A46" s="33"/>
      <c r="B46" s="140"/>
      <c r="C46" s="140"/>
      <c r="D46" s="140"/>
      <c r="E46" s="140"/>
      <c r="F46" s="140"/>
      <c r="G46" s="140"/>
      <c r="H46" s="140"/>
      <c r="I46" s="140"/>
      <c r="J46" s="140"/>
      <c r="K46" s="33"/>
      <c r="N46" s="136">
        <f>G40-3720000</f>
        <v>-6980312.1157862842</v>
      </c>
      <c r="X46" s="140"/>
    </row>
    <row r="47" spans="1:24" x14ac:dyDescent="0.3">
      <c r="A47" s="33"/>
      <c r="B47" s="140"/>
      <c r="C47" s="140"/>
      <c r="D47" s="140"/>
      <c r="E47" s="140"/>
      <c r="F47" s="140"/>
      <c r="G47" s="140"/>
      <c r="H47" s="140"/>
      <c r="I47" s="140"/>
      <c r="J47" s="140"/>
      <c r="K47" s="33"/>
      <c r="X47" s="140"/>
    </row>
    <row r="48" spans="1:24" x14ac:dyDescent="0.3">
      <c r="B48" s="145"/>
      <c r="C48" s="145"/>
      <c r="D48" s="145"/>
      <c r="E48" s="145"/>
      <c r="H48" s="145"/>
      <c r="I48" s="144"/>
      <c r="J48" s="144"/>
      <c r="X48" s="144"/>
    </row>
    <row r="49" spans="2:24" x14ac:dyDescent="0.3">
      <c r="B49" s="132" t="s">
        <v>932</v>
      </c>
    </row>
    <row r="51" spans="2:24" x14ac:dyDescent="0.3">
      <c r="B51" s="135" t="s">
        <v>934</v>
      </c>
      <c r="C51" s="134">
        <f>(C24+C29+C30)/C38</f>
        <v>0.31206675320692978</v>
      </c>
      <c r="D51" s="134">
        <f t="shared" ref="D51:J51" si="6">(D24+D29+D30)/D38</f>
        <v>0.28839442393074399</v>
      </c>
      <c r="E51" s="134">
        <f t="shared" si="6"/>
        <v>0.3033352748707131</v>
      </c>
      <c r="F51" s="178">
        <f t="shared" si="6"/>
        <v>0.31679289564488594</v>
      </c>
      <c r="G51" s="178">
        <f t="shared" si="6"/>
        <v>0.30469835345473911</v>
      </c>
      <c r="H51" s="134">
        <f t="shared" si="6"/>
        <v>0.30454366439268132</v>
      </c>
      <c r="I51" s="134">
        <f t="shared" si="6"/>
        <v>0.31726928537547078</v>
      </c>
      <c r="J51" s="134">
        <f t="shared" si="6"/>
        <v>0.31035004840650404</v>
      </c>
      <c r="K51" s="133"/>
      <c r="X51" s="134" t="e">
        <f>(X24+X29+X30)/X38</f>
        <v>#REF!</v>
      </c>
    </row>
    <row r="52" spans="2:24" x14ac:dyDescent="0.3">
      <c r="B52" s="135" t="s">
        <v>935</v>
      </c>
      <c r="C52" s="134">
        <f>C27/C38</f>
        <v>0.11793383009728679</v>
      </c>
      <c r="D52" s="134">
        <f t="shared" ref="D52:J52" si="7">D27/D38</f>
        <v>0.11361585649586679</v>
      </c>
      <c r="E52" s="134">
        <f t="shared" si="7"/>
        <v>0.11411922013204279</v>
      </c>
      <c r="F52" s="178">
        <f t="shared" si="7"/>
        <v>0.13010547221666616</v>
      </c>
      <c r="G52" s="178">
        <f t="shared" si="7"/>
        <v>0.14332501453300459</v>
      </c>
      <c r="H52" s="134">
        <f t="shared" si="7"/>
        <v>0.11463785623967154</v>
      </c>
      <c r="I52" s="134">
        <f t="shared" si="7"/>
        <v>0.12496794214927998</v>
      </c>
      <c r="J52" s="134">
        <f t="shared" si="7"/>
        <v>0.12224255130587804</v>
      </c>
      <c r="K52" s="133"/>
      <c r="X52" s="134" t="e">
        <f>X27/X38</f>
        <v>#REF!</v>
      </c>
    </row>
    <row r="54" spans="2:24" x14ac:dyDescent="0.3">
      <c r="B54" s="135" t="s">
        <v>683</v>
      </c>
      <c r="C54" s="134">
        <f>(C9+C11)/(C28+C29)</f>
        <v>0.69740460738097976</v>
      </c>
      <c r="D54" s="134">
        <f t="shared" ref="D54:J54" si="8">(D9+D11)/(D28+D29)</f>
        <v>0.70586430138890788</v>
      </c>
      <c r="E54" s="134">
        <f t="shared" si="8"/>
        <v>0.69769626212395319</v>
      </c>
      <c r="F54" s="178">
        <f t="shared" si="8"/>
        <v>0.71838197176868024</v>
      </c>
      <c r="G54" s="178">
        <f t="shared" si="8"/>
        <v>0.73314519246301857</v>
      </c>
      <c r="H54" s="134">
        <f t="shared" si="8"/>
        <v>0.68718151161668617</v>
      </c>
      <c r="I54" s="134">
        <f t="shared" si="8"/>
        <v>0.71216186492671396</v>
      </c>
      <c r="J54" s="134">
        <f t="shared" si="8"/>
        <v>0.70209145061601497</v>
      </c>
      <c r="X54" s="134" t="e">
        <f>(X9+X11)/(X28+X29)</f>
        <v>#REF!</v>
      </c>
    </row>
    <row r="55" spans="2:24" x14ac:dyDescent="0.3">
      <c r="B55" s="135" t="s">
        <v>684</v>
      </c>
      <c r="C55" s="134">
        <f>(C10+C12)/(C30+C31)</f>
        <v>0.75840117908173532</v>
      </c>
      <c r="D55" s="134">
        <f t="shared" ref="D55:J55" si="9">(D10+D12)/(D30+D31)</f>
        <v>0.74638376724749522</v>
      </c>
      <c r="E55" s="134">
        <f t="shared" si="9"/>
        <v>0.76791746898227198</v>
      </c>
      <c r="F55" s="178">
        <f t="shared" si="9"/>
        <v>0.77846317220090777</v>
      </c>
      <c r="G55" s="178">
        <f t="shared" si="9"/>
        <v>0.75385053382996037</v>
      </c>
      <c r="H55" s="134">
        <f t="shared" si="9"/>
        <v>0.75660581996856391</v>
      </c>
      <c r="I55" s="134">
        <f>(I10+I12)/(I30+I31)</f>
        <v>0.75538033363680224</v>
      </c>
      <c r="J55" s="134">
        <f t="shared" si="9"/>
        <v>0.75538033363680235</v>
      </c>
      <c r="X55" s="134" t="e">
        <f>(X10+X12)/(X30+X31)</f>
        <v>#REF!</v>
      </c>
    </row>
    <row r="56" spans="2:24" x14ac:dyDescent="0.3">
      <c r="B56" s="135" t="s">
        <v>933</v>
      </c>
      <c r="C56" s="134">
        <f>C6/C21</f>
        <v>0.26712408163020313</v>
      </c>
      <c r="D56" s="134">
        <f t="shared" ref="D56:J56" si="10">D6/D21</f>
        <v>0.26608825858755158</v>
      </c>
      <c r="E56" s="134">
        <f t="shared" si="10"/>
        <v>0.27584415599600554</v>
      </c>
      <c r="F56" s="178">
        <f t="shared" si="10"/>
        <v>0.30556195241913514</v>
      </c>
      <c r="G56" s="178">
        <f t="shared" si="10"/>
        <v>0.29902497427039432</v>
      </c>
      <c r="H56" s="134">
        <f t="shared" si="10"/>
        <v>0.27792866553287199</v>
      </c>
      <c r="I56" s="134">
        <f t="shared" si="10"/>
        <v>0.30628946055420614</v>
      </c>
      <c r="J56" s="134">
        <f t="shared" si="10"/>
        <v>0.272605705323332</v>
      </c>
      <c r="X56" s="134" t="e">
        <f>X6/X21</f>
        <v>#REF!</v>
      </c>
    </row>
    <row r="60" spans="2:24" x14ac:dyDescent="0.3">
      <c r="B60" s="137" t="s">
        <v>941</v>
      </c>
    </row>
    <row r="61" spans="2:24" x14ac:dyDescent="0.3">
      <c r="B61" s="135" t="s">
        <v>942</v>
      </c>
      <c r="C61" s="135"/>
    </row>
    <row r="62" spans="2:24" x14ac:dyDescent="0.3">
      <c r="B62" s="135"/>
      <c r="C62" s="135"/>
    </row>
    <row r="63" spans="2:24" x14ac:dyDescent="0.3">
      <c r="B63" s="135" t="s">
        <v>943</v>
      </c>
      <c r="C63" s="135"/>
    </row>
    <row r="64" spans="2:24" x14ac:dyDescent="0.3">
      <c r="B64" s="138" t="s">
        <v>944</v>
      </c>
      <c r="C64" s="139">
        <v>20271151.18</v>
      </c>
      <c r="H64" s="136"/>
    </row>
    <row r="65" spans="2:24" x14ac:dyDescent="0.3">
      <c r="B65" s="138" t="s">
        <v>952</v>
      </c>
      <c r="C65" s="139">
        <f>C64/3</f>
        <v>6757050.3933333335</v>
      </c>
      <c r="H65" s="136"/>
    </row>
    <row r="66" spans="2:24" x14ac:dyDescent="0.3">
      <c r="B66" s="138" t="s">
        <v>945</v>
      </c>
      <c r="C66" s="139">
        <f>C65*13</f>
        <v>87841655.11333333</v>
      </c>
      <c r="D66" s="144">
        <f>D24+D27+D29+D30</f>
        <v>83045745</v>
      </c>
      <c r="F66" s="144">
        <f>F24+F27+F29+F30</f>
        <v>86253824.839192197</v>
      </c>
      <c r="G66" s="144">
        <f>G24+G27+G29+G30</f>
        <v>82425524.84296453</v>
      </c>
      <c r="H66" s="136">
        <f>H24+H27+H29+H30</f>
        <v>85335749.847919986</v>
      </c>
      <c r="I66" s="136">
        <f>I24+I27+I29+I30</f>
        <v>86185933.382010624</v>
      </c>
      <c r="J66" s="136">
        <f>J24+J27+J29+J30</f>
        <v>86185933.382010624</v>
      </c>
      <c r="L66" s="136">
        <f>I66-F66</f>
        <v>-67891.457181572914</v>
      </c>
      <c r="X66" s="136" t="e">
        <f>X24+X27+X29+X30</f>
        <v>#REF!</v>
      </c>
    </row>
    <row r="68" spans="2:24" x14ac:dyDescent="0.3">
      <c r="F68" s="179" t="s">
        <v>1014</v>
      </c>
      <c r="G68" s="145" t="s">
        <v>950</v>
      </c>
      <c r="H68" s="1">
        <v>23281</v>
      </c>
    </row>
    <row r="69" spans="2:24" x14ac:dyDescent="0.3">
      <c r="G69" s="145" t="s">
        <v>26</v>
      </c>
      <c r="H69" s="1">
        <v>22896</v>
      </c>
    </row>
    <row r="70" spans="2:24" x14ac:dyDescent="0.3">
      <c r="G70" s="145" t="s">
        <v>635</v>
      </c>
      <c r="H70" s="1">
        <v>30787</v>
      </c>
    </row>
    <row r="71" spans="2:24" x14ac:dyDescent="0.3">
      <c r="G71" s="145" t="s">
        <v>578</v>
      </c>
      <c r="H71" s="1">
        <v>1554</v>
      </c>
    </row>
    <row r="72" spans="2:24" x14ac:dyDescent="0.3">
      <c r="G72" s="145" t="s">
        <v>638</v>
      </c>
      <c r="H72" s="1">
        <v>8342</v>
      </c>
    </row>
    <row r="73" spans="2:24" x14ac:dyDescent="0.3">
      <c r="G73" s="179" t="s">
        <v>951</v>
      </c>
      <c r="H73" s="180">
        <f>SUM(H68:H72)</f>
        <v>86860</v>
      </c>
    </row>
    <row r="76" spans="2:24" x14ac:dyDescent="0.3">
      <c r="B76" s="181" t="s">
        <v>1015</v>
      </c>
    </row>
    <row r="77" spans="2:24" x14ac:dyDescent="0.3">
      <c r="B77" s="135" t="s">
        <v>32</v>
      </c>
      <c r="C77" s="135"/>
      <c r="D77" s="135"/>
      <c r="E77" s="135"/>
      <c r="F77" s="182">
        <f>F9+F11</f>
        <v>39676971.502073377</v>
      </c>
      <c r="G77" s="182">
        <f>G9+G11</f>
        <v>37490929.799999997</v>
      </c>
      <c r="H77" s="182">
        <f>H9+H11</f>
        <v>38975914.439999998</v>
      </c>
      <c r="I77" s="182">
        <f>I9+I11</f>
        <v>39685448</v>
      </c>
      <c r="J77" s="182">
        <f>J9+J11</f>
        <v>37667415</v>
      </c>
      <c r="X77" s="182" t="e">
        <f>X9+X11</f>
        <v>#REF!</v>
      </c>
    </row>
    <row r="78" spans="2:24" x14ac:dyDescent="0.3">
      <c r="B78" s="135" t="s">
        <v>33</v>
      </c>
      <c r="C78" s="135"/>
      <c r="D78" s="135"/>
      <c r="E78" s="135"/>
      <c r="F78" s="182">
        <f>F28+F29</f>
        <v>55231023.412777685</v>
      </c>
      <c r="G78" s="182">
        <f>G28+G29</f>
        <v>51137114.701725498</v>
      </c>
      <c r="H78" s="182">
        <f>H28+H29</f>
        <v>56718514.367919996</v>
      </c>
      <c r="I78" s="182">
        <f>I28+I29</f>
        <v>55725320.260000005</v>
      </c>
      <c r="J78" s="182">
        <f>J28+J29</f>
        <v>53650297.218333334</v>
      </c>
      <c r="X78" s="182" t="e">
        <f>X28+X29</f>
        <v>#REF!</v>
      </c>
    </row>
    <row r="80" spans="2:24" x14ac:dyDescent="0.3">
      <c r="B80" s="137" t="s">
        <v>1016</v>
      </c>
      <c r="C80" s="137"/>
      <c r="D80" s="137"/>
      <c r="E80" s="137"/>
      <c r="F80" s="183">
        <f>F77-F78</f>
        <v>-15554051.910704307</v>
      </c>
      <c r="G80" s="183">
        <f>G77-G78</f>
        <v>-13646184.901725501</v>
      </c>
      <c r="H80" s="183">
        <f>H77-H78</f>
        <v>-17742599.927919999</v>
      </c>
      <c r="I80" s="183">
        <f>I77-I78</f>
        <v>-16039872.260000005</v>
      </c>
      <c r="J80" s="183">
        <f>J77-J78</f>
        <v>-15982882.218333334</v>
      </c>
      <c r="X80" s="183" t="e">
        <f>X77-X78</f>
        <v>#REF!</v>
      </c>
    </row>
    <row r="81" spans="2:24" x14ac:dyDescent="0.3">
      <c r="G81" s="145">
        <f>G80/G78</f>
        <v>-0.26685480753698143</v>
      </c>
      <c r="H81" s="145">
        <f>H80/H78</f>
        <v>-0.31281848838331383</v>
      </c>
      <c r="I81" s="145">
        <f>I80/I78</f>
        <v>-0.28783813507328604</v>
      </c>
      <c r="J81" s="145">
        <f>J80/J78</f>
        <v>-0.29790854938398509</v>
      </c>
      <c r="X81" s="145" t="e">
        <f>X80/X78</f>
        <v>#REF!</v>
      </c>
    </row>
    <row r="83" spans="2:24" x14ac:dyDescent="0.3">
      <c r="B83" s="181" t="s">
        <v>1017</v>
      </c>
    </row>
    <row r="84" spans="2:24" x14ac:dyDescent="0.3">
      <c r="B84" s="135" t="s">
        <v>32</v>
      </c>
      <c r="C84" s="135"/>
      <c r="D84" s="135"/>
      <c r="E84" s="135"/>
      <c r="F84" s="182">
        <f t="shared" ref="F84:K84" si="11">F10+F12</f>
        <v>24432526.971999999</v>
      </c>
      <c r="G84" s="182">
        <f t="shared" si="11"/>
        <v>23396842.810000002</v>
      </c>
      <c r="H84" s="182">
        <f t="shared" si="11"/>
        <v>24715216.41</v>
      </c>
      <c r="I84" s="182">
        <f t="shared" si="11"/>
        <v>24642673.004675001</v>
      </c>
      <c r="J84" s="182">
        <f t="shared" si="11"/>
        <v>24642673.004675001</v>
      </c>
      <c r="K84" s="182">
        <f t="shared" si="11"/>
        <v>0</v>
      </c>
      <c r="X84" s="182" t="e">
        <f>X10+X12</f>
        <v>#REF!</v>
      </c>
    </row>
    <row r="85" spans="2:24" x14ac:dyDescent="0.3">
      <c r="B85" s="135" t="s">
        <v>33</v>
      </c>
      <c r="C85" s="135"/>
      <c r="D85" s="135"/>
      <c r="E85" s="135"/>
      <c r="F85" s="182">
        <f t="shared" ref="F85:K85" si="12">F30+F31</f>
        <v>31385591.309250001</v>
      </c>
      <c r="G85" s="182">
        <f t="shared" si="12"/>
        <v>31036447.88991743</v>
      </c>
      <c r="H85" s="182">
        <f t="shared" si="12"/>
        <v>32665908.399999999</v>
      </c>
      <c r="I85" s="182">
        <f t="shared" si="12"/>
        <v>32622868.120000001</v>
      </c>
      <c r="J85" s="182">
        <f t="shared" si="12"/>
        <v>32622868.119999997</v>
      </c>
      <c r="K85" s="182">
        <f t="shared" si="12"/>
        <v>0</v>
      </c>
      <c r="X85" s="182" t="e">
        <f>X30+X31</f>
        <v>#REF!</v>
      </c>
    </row>
    <row r="87" spans="2:24" x14ac:dyDescent="0.3">
      <c r="B87" s="137" t="s">
        <v>1016</v>
      </c>
      <c r="C87" s="137"/>
      <c r="D87" s="137"/>
      <c r="E87" s="137"/>
      <c r="F87" s="183">
        <f>F84-F85</f>
        <v>-6953064.3372500017</v>
      </c>
      <c r="G87" s="183">
        <f>G84-G85</f>
        <v>-7639605.0799174272</v>
      </c>
      <c r="H87" s="183">
        <f>H84-H85</f>
        <v>-7950691.9899999984</v>
      </c>
      <c r="I87" s="183">
        <f>I84-I85</f>
        <v>-7980195.1153250001</v>
      </c>
      <c r="J87" s="183">
        <f>J84-J85</f>
        <v>-7980195.1153249964</v>
      </c>
      <c r="X87" s="183" t="e">
        <f>X84-X85</f>
        <v>#REF!</v>
      </c>
    </row>
    <row r="88" spans="2:24" x14ac:dyDescent="0.3">
      <c r="G88" s="1">
        <f>G87/G84</f>
        <v>-0.32652290490459668</v>
      </c>
      <c r="H88" s="1">
        <f>H87/H84</f>
        <v>-0.32169218582213494</v>
      </c>
      <c r="I88" s="1">
        <f>I87/I84</f>
        <v>-0.32383642447436867</v>
      </c>
      <c r="J88" s="1">
        <f>J87/J84</f>
        <v>-0.32383642447436856</v>
      </c>
      <c r="X88" s="1" t="e">
        <f>X87/X84</f>
        <v>#REF!</v>
      </c>
    </row>
    <row r="90" spans="2:24" x14ac:dyDescent="0.3">
      <c r="B90" s="181" t="s">
        <v>1018</v>
      </c>
    </row>
    <row r="91" spans="2:24" ht="17" x14ac:dyDescent="0.6">
      <c r="F91" s="184">
        <f>F24+F27</f>
        <v>48869993.188583866</v>
      </c>
      <c r="G91" s="184">
        <f>G24+G27</f>
        <v>47934826.661893912</v>
      </c>
      <c r="H91" s="184">
        <f>H24+H27</f>
        <v>46574602.640000001</v>
      </c>
      <c r="I91" s="184">
        <f>I24+I27</f>
        <v>48397708.002010614</v>
      </c>
      <c r="J91" s="184">
        <f>J24+J27</f>
        <v>48397708.002010614</v>
      </c>
      <c r="X91" s="184" t="e">
        <f>X24+X27</f>
        <v>#REF!</v>
      </c>
    </row>
    <row r="93" spans="2:24" x14ac:dyDescent="0.3">
      <c r="B93" s="181" t="s">
        <v>1019</v>
      </c>
    </row>
    <row r="94" spans="2:24" ht="17" x14ac:dyDescent="0.6">
      <c r="F94" s="184">
        <f>F6</f>
        <v>56934531.135378398</v>
      </c>
      <c r="G94" s="184">
        <f>G6</f>
        <v>54038489.032137603</v>
      </c>
      <c r="H94" s="184">
        <f>H6</f>
        <v>52740830.600000001</v>
      </c>
      <c r="I94" s="184">
        <f>I6</f>
        <v>57567526.399999999</v>
      </c>
      <c r="J94" s="184">
        <f>J6</f>
        <v>51967526.399999999</v>
      </c>
      <c r="X94" s="184" t="e">
        <f>X6</f>
        <v>#REF!</v>
      </c>
    </row>
    <row r="96" spans="2:24" x14ac:dyDescent="0.3">
      <c r="B96" s="181" t="s">
        <v>10</v>
      </c>
    </row>
    <row r="97" spans="2:24" ht="17" x14ac:dyDescent="0.6">
      <c r="F97" s="184">
        <f>F9</f>
        <v>10291945.031136425</v>
      </c>
      <c r="G97" s="184">
        <f>G9</f>
        <v>9351237</v>
      </c>
      <c r="H97" s="184">
        <f>H9</f>
        <v>9697536.9800000004</v>
      </c>
      <c r="I97" s="184">
        <f>I9</f>
        <v>9903448</v>
      </c>
      <c r="J97" s="184">
        <f>J9</f>
        <v>8639373.3333333358</v>
      </c>
      <c r="X97" s="184" t="e">
        <f>X9</f>
        <v>#REF!</v>
      </c>
    </row>
    <row r="99" spans="2:24" x14ac:dyDescent="0.3">
      <c r="B99" s="181" t="s">
        <v>1020</v>
      </c>
    </row>
    <row r="100" spans="2:24" ht="17" x14ac:dyDescent="0.6">
      <c r="F100" s="184">
        <f>F25</f>
        <v>38533104.619999997</v>
      </c>
      <c r="G100" s="184">
        <f>G25</f>
        <v>35291791.203999996</v>
      </c>
      <c r="H100" s="184">
        <f>H25</f>
        <v>35926259.250000015</v>
      </c>
      <c r="I100" s="184">
        <f>I25</f>
        <v>35909131</v>
      </c>
      <c r="J100" s="184">
        <f>J25</f>
        <v>35979131</v>
      </c>
      <c r="X100" s="184" t="e">
        <f>X25</f>
        <v>#REF!</v>
      </c>
    </row>
    <row r="102" spans="2:24" x14ac:dyDescent="0.3">
      <c r="B102" s="181" t="s">
        <v>1021</v>
      </c>
    </row>
    <row r="103" spans="2:24" ht="17" x14ac:dyDescent="0.6">
      <c r="F103" s="184">
        <f>F40</f>
        <v>-6678167.4911597669</v>
      </c>
      <c r="G103" s="184">
        <f>G40</f>
        <v>-3260312.1157862842</v>
      </c>
      <c r="H103" s="184">
        <f>H40</f>
        <v>-13813168.553920001</v>
      </c>
      <c r="I103" s="184">
        <f>I40</f>
        <v>-6934822.6573356092</v>
      </c>
      <c r="J103" s="184">
        <f>J40</f>
        <v>-8598607.6156689525</v>
      </c>
      <c r="X103" s="184" t="e">
        <f>X40</f>
        <v>#REF!</v>
      </c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&amp;C&amp;"David,מודגש"&amp;16עיריית קריית שמונה
הצעת תקציב לשנת 2020</oddHeader>
    <oddFooter>עמוד &amp;P מתוך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Zeros="0" rightToLeft="1" view="pageBreakPreview" zoomScale="80" zoomScaleNormal="100" zoomScaleSheetLayoutView="80" workbookViewId="0">
      <selection activeCell="C51" sqref="C51"/>
    </sheetView>
  </sheetViews>
  <sheetFormatPr defaultColWidth="8.83203125" defaultRowHeight="13" x14ac:dyDescent="0.3"/>
  <cols>
    <col min="1" max="1" width="0.83203125" style="4" customWidth="1"/>
    <col min="2" max="2" width="6.08203125" style="3" customWidth="1"/>
    <col min="3" max="3" width="26.33203125" style="3" bestFit="1" customWidth="1"/>
    <col min="4" max="4" width="9.33203125" style="3" hidden="1" customWidth="1"/>
    <col min="5" max="5" width="10.25" style="3" bestFit="1" customWidth="1"/>
    <col min="6" max="6" width="10.33203125" style="3" hidden="1" customWidth="1"/>
    <col min="7" max="7" width="11.83203125" style="3" hidden="1" customWidth="1"/>
    <col min="8" max="8" width="12" style="19" customWidth="1"/>
    <col min="9" max="9" width="11.83203125" style="19" customWidth="1"/>
    <col min="10" max="10" width="10.83203125" style="19" customWidth="1"/>
    <col min="11" max="16384" width="8.83203125" style="3"/>
  </cols>
  <sheetData>
    <row r="1" spans="1:10" x14ac:dyDescent="0.3">
      <c r="B1" s="4"/>
      <c r="C1" s="4"/>
      <c r="D1" s="4"/>
      <c r="E1" s="4"/>
      <c r="F1" s="4"/>
      <c r="G1" s="4"/>
      <c r="H1" s="5"/>
      <c r="I1" s="5"/>
      <c r="J1" s="5"/>
    </row>
    <row r="2" spans="1:10" x14ac:dyDescent="0.3">
      <c r="B2" s="4"/>
      <c r="C2" s="4"/>
      <c r="D2" s="4"/>
      <c r="E2" s="4"/>
      <c r="F2" s="4"/>
      <c r="G2" s="4"/>
      <c r="H2" s="5"/>
      <c r="I2" s="5"/>
      <c r="J2" s="5"/>
    </row>
    <row r="3" spans="1:10" ht="36" customHeight="1" x14ac:dyDescent="0.3">
      <c r="B3" s="540" t="s">
        <v>620</v>
      </c>
      <c r="C3" s="540"/>
      <c r="D3" s="540"/>
      <c r="E3" s="540"/>
      <c r="F3" s="540"/>
      <c r="G3" s="540"/>
      <c r="H3" s="540"/>
      <c r="I3" s="540"/>
      <c r="J3" s="540"/>
    </row>
    <row r="4" spans="1:10" ht="36" customHeight="1" x14ac:dyDescent="0.3">
      <c r="B4" s="6"/>
      <c r="C4" s="6"/>
      <c r="D4" s="6"/>
      <c r="E4" s="6"/>
      <c r="F4" s="6"/>
      <c r="G4" s="6"/>
      <c r="H4" s="6"/>
      <c r="I4" s="507"/>
      <c r="J4" s="507"/>
    </row>
    <row r="5" spans="1:10" ht="18.5" thickBot="1" x14ac:dyDescent="0.35">
      <c r="B5" s="538" t="s">
        <v>710</v>
      </c>
      <c r="C5" s="539"/>
      <c r="D5" s="539"/>
      <c r="E5" s="539"/>
      <c r="F5" s="539"/>
      <c r="G5" s="539"/>
      <c r="H5" s="539"/>
      <c r="I5" s="539"/>
      <c r="J5" s="539"/>
    </row>
    <row r="6" spans="1:10" s="7" customFormat="1" ht="51.75" customHeight="1" thickBot="1" x14ac:dyDescent="0.3">
      <c r="A6" s="34"/>
      <c r="B6" s="2" t="s">
        <v>612</v>
      </c>
      <c r="C6" s="2" t="s">
        <v>621</v>
      </c>
      <c r="D6" s="2" t="s">
        <v>613</v>
      </c>
      <c r="E6" s="2" t="s">
        <v>614</v>
      </c>
      <c r="F6" s="2" t="s">
        <v>707</v>
      </c>
      <c r="G6" s="2" t="s">
        <v>611</v>
      </c>
      <c r="H6" s="2" t="s">
        <v>615</v>
      </c>
      <c r="I6" s="2" t="s">
        <v>707</v>
      </c>
      <c r="J6" s="2" t="s">
        <v>2149</v>
      </c>
    </row>
    <row r="7" spans="1:10" ht="15.5" x14ac:dyDescent="0.3">
      <c r="B7" s="27" t="s">
        <v>622</v>
      </c>
      <c r="C7" s="25"/>
      <c r="D7" s="25"/>
      <c r="E7" s="26"/>
      <c r="F7" s="26"/>
      <c r="G7" s="26"/>
      <c r="H7" s="523"/>
      <c r="I7" s="523"/>
      <c r="J7" s="526"/>
    </row>
    <row r="8" spans="1:10" ht="15.5" x14ac:dyDescent="0.3">
      <c r="B8" s="510">
        <v>11</v>
      </c>
      <c r="C8" s="29" t="s">
        <v>623</v>
      </c>
      <c r="D8" s="23">
        <f>SUMIF('תקציב 2020'!B:B,'ריכוז לפי פרקים'!B8,'תקציב 2020'!G:G)/1000</f>
        <v>59675.580419999998</v>
      </c>
      <c r="E8" s="24">
        <f>SUMIF('תקציב 2020'!B:B,'ריכוז לפי פרקים'!B8,'תקציב 2020'!H:H)/1000</f>
        <v>61940.749579999996</v>
      </c>
      <c r="F8" s="24">
        <f>SUMIF('תקציב 2020'!B:B,'ריכוז לפי פרקים'!B8,'תקציב 2020'!I:I)/1000</f>
        <v>64316</v>
      </c>
      <c r="G8" s="24">
        <f>SUMIF('תקציב 2020'!B:B,'ריכוז לפי פרקים'!B8,'תקציב 2020'!J:J)/1000</f>
        <v>68934.531135378391</v>
      </c>
      <c r="H8" s="24">
        <f>SUMIF('תקציב 2020'!B:B,'ריכוז לפי פרקים'!B8,'תקציב 2020'!K:K)/1000</f>
        <v>67081.969054019515</v>
      </c>
      <c r="I8" s="24">
        <f>SUMIF('תקציב 2020'!B:B,'ריכוז לפי פרקים'!B8,'תקציב 2020'!O:O)/1000</f>
        <v>65207.005600000004</v>
      </c>
      <c r="J8" s="509">
        <f>SUMIF('תקציב 2020'!B:B,'ריכוז לפי פרקים'!B8,'תקציב 2020'!S:S)/1000</f>
        <v>71067.526400000002</v>
      </c>
    </row>
    <row r="9" spans="1:10" ht="15.5" x14ac:dyDescent="0.3">
      <c r="B9" s="510">
        <v>12</v>
      </c>
      <c r="C9" s="29" t="s">
        <v>624</v>
      </c>
      <c r="D9" s="23">
        <f>SUMIF('תקציב 2020'!B:B,'ריכוז לפי פרקים'!B9,'תקציב 2020'!G:G)/1000</f>
        <v>1184.4524699999999</v>
      </c>
      <c r="E9" s="24">
        <f>SUMIF('תקציב 2020'!B:B,'ריכוז לפי פרקים'!B9,'תקציב 2020'!H:H)/1000</f>
        <v>1274.8</v>
      </c>
      <c r="F9" s="24">
        <f>SUMIF('תקציב 2020'!B:B,'ריכוז לפי פרקים'!B9,'תקציב 2020'!I:I)/1000</f>
        <v>1489.717832</v>
      </c>
      <c r="G9" s="24">
        <f>SUMIF('תקציב 2020'!B:B,'ריכוז לפי פרקים'!B9,'תקציב 2020'!J:J)/1000</f>
        <v>1533.15</v>
      </c>
      <c r="H9" s="24">
        <f>SUMIF('תקציב 2020'!B:B,'ריכוז לפי פרקים'!B9,'תקציב 2020'!K:K)/1000</f>
        <v>1273.8</v>
      </c>
      <c r="I9" s="24">
        <f>SUMIF('תקציב 2020'!B:B,'ריכוז לפי פרקים'!B9,'תקציב 2020'!O:O)/1000</f>
        <v>1487.0443400000001</v>
      </c>
      <c r="J9" s="509">
        <f>SUMIF('תקציב 2020'!B:B,'ריכוז לפי פרקים'!B9,'תקציב 2020'!S:S)/1000</f>
        <v>1576.5593200000001</v>
      </c>
    </row>
    <row r="10" spans="1:10" ht="15.5" x14ac:dyDescent="0.3">
      <c r="B10" s="510">
        <v>19</v>
      </c>
      <c r="C10" s="29" t="s">
        <v>625</v>
      </c>
      <c r="D10" s="23">
        <f>SUMIF('תקציב 2020'!B:B,'ריכוז לפי פרקים'!B10,'תקציב 2020'!G:G)/1000</f>
        <v>33674.559999999998</v>
      </c>
      <c r="E10" s="24">
        <f>SUMIF('תקציב 2020'!B:B,'ריכוז לפי פרקים'!B10,'תקציב 2020'!H:H)/1000</f>
        <v>32517.892660000001</v>
      </c>
      <c r="F10" s="24">
        <f>SUMIF('תקציב 2020'!B:B,'ריכוז לפי פרקים'!B10,'תקציב 2020'!I:I)/1000</f>
        <v>32809.80328</v>
      </c>
      <c r="G10" s="24">
        <f>SUMIF('תקציב 2020'!B:B,'ריכוז לפי פרקים'!B10,'תקציב 2020'!J:J)/1000</f>
        <v>32518.710999999999</v>
      </c>
      <c r="H10" s="24">
        <f>SUMIF('תקציב 2020'!B:B,'ריכוז לפי פרקים'!B10,'תקציב 2020'!K:K)/1000</f>
        <v>31900.892660000001</v>
      </c>
      <c r="I10" s="24">
        <f>SUMIF('תקציב 2020'!B:B,'ריכוז לפי פרקים'!B10,'תקציב 2020'!O:O)/1000</f>
        <v>32530.946</v>
      </c>
      <c r="J10" s="509">
        <f>SUMIF('תקציב 2020'!B:B,'ריכוז לפי פרקים'!B10,'תקציב 2020'!S:S)/1000</f>
        <v>37669.866000000002</v>
      </c>
    </row>
    <row r="11" spans="1:10" ht="14" x14ac:dyDescent="0.3">
      <c r="B11" s="515" t="s">
        <v>626</v>
      </c>
      <c r="C11" s="511"/>
      <c r="D11" s="512">
        <f t="shared" ref="D11:J11" si="0">SUM(D8:D10)</f>
        <v>94534.59289</v>
      </c>
      <c r="E11" s="512">
        <f t="shared" si="0"/>
        <v>95733.442240000004</v>
      </c>
      <c r="F11" s="512">
        <f t="shared" si="0"/>
        <v>98615.521111999988</v>
      </c>
      <c r="G11" s="512">
        <f t="shared" si="0"/>
        <v>102986.39213537838</v>
      </c>
      <c r="H11" s="512">
        <f t="shared" si="0"/>
        <v>100256.66171401952</v>
      </c>
      <c r="I11" s="512">
        <f t="shared" si="0"/>
        <v>99224.995939999993</v>
      </c>
      <c r="J11" s="516">
        <f t="shared" si="0"/>
        <v>110313.95172000001</v>
      </c>
    </row>
    <row r="12" spans="1:10" ht="15.5" x14ac:dyDescent="0.3">
      <c r="B12" s="28" t="s">
        <v>627</v>
      </c>
      <c r="C12" s="20"/>
      <c r="D12" s="20"/>
      <c r="E12" s="10"/>
      <c r="F12" s="10"/>
      <c r="G12" s="10"/>
      <c r="H12" s="524"/>
      <c r="I12" s="524"/>
      <c r="J12" s="11"/>
    </row>
    <row r="13" spans="1:10" ht="15.5" x14ac:dyDescent="0.3">
      <c r="B13" s="510">
        <v>21</v>
      </c>
      <c r="C13" s="29" t="s">
        <v>628</v>
      </c>
      <c r="D13" s="23">
        <f>SUMIF('תקציב 2020'!B:B,'ריכוז לפי פרקים'!B13,'תקציב 2020'!G:G)/1000</f>
        <v>737.87214999999992</v>
      </c>
      <c r="E13" s="24">
        <f>SUMIF('תקציב 2020'!B:B,'ריכוז לפי פרקים'!B13,'תקציב 2020'!H:H)/1000</f>
        <v>383.48599999999999</v>
      </c>
      <c r="F13" s="24">
        <f>SUMIF('תקציב 2020'!B:B,'ריכוז לפי פרקים'!B13,'תקציב 2020'!I:I)/1000</f>
        <v>746.89721999999995</v>
      </c>
      <c r="G13" s="24">
        <f>SUMIF('תקציב 2020'!B:B,'ריכוז לפי פרקים'!B13,'תקציב 2020'!J:J)/1000</f>
        <v>640.78599999999994</v>
      </c>
      <c r="H13" s="24">
        <f>SUMIF('תקציב 2020'!B:B,'ריכוז לפי פרקים'!B13,'תקציב 2020'!K:K)/1000</f>
        <v>383.48599999999999</v>
      </c>
      <c r="I13" s="24">
        <f>SUMIF('תקציב 2020'!B:B,'ריכוז לפי פרקים'!B13,'תקציב 2020'!O:O)/1000</f>
        <v>547.46334999999999</v>
      </c>
      <c r="J13" s="509">
        <f>SUMIF('תקציב 2020'!B:B,'ריכוז לפי פרקים'!B13,'תקציב 2020'!S:S)/1000</f>
        <v>499.786</v>
      </c>
    </row>
    <row r="14" spans="1:10" ht="15.5" x14ac:dyDescent="0.3">
      <c r="B14" s="510">
        <v>22</v>
      </c>
      <c r="C14" s="29" t="s">
        <v>629</v>
      </c>
      <c r="D14" s="23">
        <f>SUMIF('תקציב 2020'!B:B,'ריכוז לפי פרקים'!B14,'תקציב 2020'!G:G)/1000</f>
        <v>92.400999999999996</v>
      </c>
      <c r="E14" s="24">
        <f>SUMIF('תקציב 2020'!B:B,'ריכוז לפי פרקים'!B14,'תקציב 2020'!H:H)/1000</f>
        <v>92.400999999999996</v>
      </c>
      <c r="F14" s="24">
        <f>SUMIF('תקציב 2020'!B:B,'ריכוז לפי פרקים'!B14,'תקציב 2020'!I:I)/1000</f>
        <v>88.872899999999987</v>
      </c>
      <c r="G14" s="24">
        <f>SUMIF('תקציב 2020'!B:B,'ריכוז לפי פרקים'!B14,'תקציב 2020'!J:J)/1000</f>
        <v>95.745999999999995</v>
      </c>
      <c r="H14" s="24">
        <f>SUMIF('תקציב 2020'!B:B,'ריכוז לפי פרקים'!B14,'תקציב 2020'!K:K)/1000</f>
        <v>92.400999999999996</v>
      </c>
      <c r="I14" s="24">
        <f>SUMIF('תקציב 2020'!B:B,'ריכוז לפי פרקים'!B14,'תקציב 2020'!O:O)/1000</f>
        <v>48.444199999999995</v>
      </c>
      <c r="J14" s="509">
        <f>SUMIF('תקציב 2020'!B:B,'ריכוז לפי פרקים'!B14,'תקציב 2020'!S:S)/1000</f>
        <v>50</v>
      </c>
    </row>
    <row r="15" spans="1:10" ht="15.5" x14ac:dyDescent="0.3">
      <c r="B15" s="510">
        <v>23</v>
      </c>
      <c r="C15" s="29" t="s">
        <v>630</v>
      </c>
      <c r="D15" s="23">
        <f>SUMIF('תקציב 2020'!B:B,'ריכוז לפי פרקים'!B15,'תקציב 2020'!G:G)/1000</f>
        <v>2214.7622000000001</v>
      </c>
      <c r="E15" s="24">
        <f>SUMIF('תקציב 2020'!B:B,'ריכוז לפי פרקים'!B15,'תקציב 2020'!H:H)/1000</f>
        <v>2261.1</v>
      </c>
      <c r="F15" s="24">
        <f>SUMIF('תקציב 2020'!B:B,'ריכוז לפי פרקים'!B15,'תקציב 2020'!I:I)/1000</f>
        <v>2494.993164</v>
      </c>
      <c r="G15" s="24">
        <f>SUMIF('תקציב 2020'!B:B,'ריכוז לפי פרקים'!B15,'תקציב 2020'!J:J)/1000</f>
        <v>2846.9740000000002</v>
      </c>
      <c r="H15" s="24">
        <f>SUMIF('תקציב 2020'!B:B,'ריכוז לפי פרקים'!B15,'תקציב 2020'!K:K)/1000</f>
        <v>2261.1</v>
      </c>
      <c r="I15" s="24">
        <f>SUMIF('תקציב 2020'!B:B,'ריכוז לפי פרקים'!B15,'תקציב 2020'!O:O)/1000</f>
        <v>2460.0086699999997</v>
      </c>
      <c r="J15" s="509">
        <f>SUMIF('תקציב 2020'!B:B,'ריכוז לפי פרקים'!B15,'תקציב 2020'!S:S)/1000</f>
        <v>3299.7979999999998</v>
      </c>
    </row>
    <row r="16" spans="1:10" ht="15.5" x14ac:dyDescent="0.3">
      <c r="A16" s="14"/>
      <c r="B16" s="510">
        <v>24</v>
      </c>
      <c r="C16" s="29" t="s">
        <v>631</v>
      </c>
      <c r="D16" s="23">
        <f>SUMIF('תקציב 2020'!B:B,'ריכוז לפי פרקים'!B16,'תקציב 2020'!G:G)/1000</f>
        <v>38</v>
      </c>
      <c r="E16" s="24">
        <f>SUMIF('תקציב 2020'!B:B,'ריכוז לפי פרקים'!B16,'תקציב 2020'!H:H)/1000</f>
        <v>44</v>
      </c>
      <c r="F16" s="24">
        <f>SUMIF('תקציב 2020'!B:B,'ריכוז לפי פרקים'!B16,'תקציב 2020'!I:I)/1000</f>
        <v>25.8</v>
      </c>
      <c r="G16" s="24">
        <f>SUMIF('תקציב 2020'!B:B,'ריכוז לפי פרקים'!B16,'תקציב 2020'!J:J)/1000</f>
        <v>37</v>
      </c>
      <c r="H16" s="24">
        <f>SUMIF('תקציב 2020'!B:B,'ריכוז לפי פרקים'!B16,'תקציב 2020'!K:K)/1000</f>
        <v>44</v>
      </c>
      <c r="I16" s="24">
        <f>SUMIF('תקציב 2020'!B:B,'ריכוז לפי פרקים'!B16,'תקציב 2020'!O:O)/1000</f>
        <v>32.930999999999997</v>
      </c>
      <c r="J16" s="509">
        <f>SUMIF('תקציב 2020'!B:B,'ריכוז לפי פרקים'!B16,'תקציב 2020'!S:S)/1000</f>
        <v>37</v>
      </c>
    </row>
    <row r="17" spans="2:10" ht="15.5" x14ac:dyDescent="0.3">
      <c r="B17" s="510">
        <v>26</v>
      </c>
      <c r="C17" s="29" t="s">
        <v>632</v>
      </c>
      <c r="D17" s="23">
        <f>SUMIF('תקציב 2020'!B:B,'ריכוז לפי פרקים'!B17,'תקציב 2020'!G:G)/1000</f>
        <v>2166.8796600000001</v>
      </c>
      <c r="E17" s="24">
        <f>SUMIF('תקציב 2020'!B:B,'ריכוז לפי פרקים'!B17,'תקציב 2020'!H:H)/1000</f>
        <v>3080.422</v>
      </c>
      <c r="F17" s="24">
        <f>SUMIF('תקציב 2020'!B:B,'ריכוז לפי פרקים'!B17,'תקציב 2020'!I:I)/1000</f>
        <v>2713.2086119999999</v>
      </c>
      <c r="G17" s="24">
        <f>SUMIF('תקציב 2020'!B:B,'ריכוז לפי פרקים'!B17,'תקציב 2020'!J:J)/1000</f>
        <v>2245.1614</v>
      </c>
      <c r="H17" s="24">
        <f>SUMIF('תקציב 2020'!B:B,'ריכוז לפי פרקים'!B17,'תקציב 2020'!K:K)/1000</f>
        <v>2341.422</v>
      </c>
      <c r="I17" s="24">
        <f>SUMIF('תקציב 2020'!B:B,'ריכוז לפי פרקים'!B17,'תקציב 2020'!O:O)/1000</f>
        <v>2432.6584899999993</v>
      </c>
      <c r="J17" s="509">
        <f>SUMIF('תקציב 2020'!B:B,'ריכוז לפי פרקים'!B17,'תקציב 2020'!S:S)/1000</f>
        <v>2213.5</v>
      </c>
    </row>
    <row r="18" spans="2:10" ht="15.5" x14ac:dyDescent="0.3">
      <c r="B18" s="510">
        <v>27</v>
      </c>
      <c r="C18" s="29" t="s">
        <v>656</v>
      </c>
      <c r="D18" s="23">
        <f>SUMIF('תקציב 2020'!B:B,'ריכוז לפי פרקים'!B18,'תקציב 2020'!G:G)/1000</f>
        <v>940.447</v>
      </c>
      <c r="E18" s="24">
        <f>SUMIF('תקציב 2020'!B:B,'ריכוז לפי פרקים'!B18,'תקציב 2020'!H:H)/1000</f>
        <v>1250</v>
      </c>
      <c r="F18" s="24">
        <f>SUMIF('תקציב 2020'!B:B,'ריכוז לפי פרקים'!B18,'תקציב 2020'!I:I)/1000</f>
        <v>1008.8023999999999</v>
      </c>
      <c r="G18" s="24">
        <f>SUMIF('תקציב 2020'!B:B,'ריכוז לפי פרקים'!B18,'תקציב 2020'!J:J)/1000</f>
        <v>1125.8</v>
      </c>
      <c r="H18" s="24">
        <f>SUMIF('תקציב 2020'!B:B,'ריכוז לפי פרקים'!B18,'תקציב 2020'!K:K)/1000</f>
        <v>1250</v>
      </c>
      <c r="I18" s="24">
        <f>SUMIF('תקציב 2020'!B:B,'ריכוז לפי פרקים'!B18,'תקציב 2020'!O:O)/1000</f>
        <v>808.36400000000003</v>
      </c>
      <c r="J18" s="509">
        <f>SUMIF('תקציב 2020'!B:B,'ריכוז לפי פרקים'!B18,'תקציב 2020'!S:S)/1000</f>
        <v>705</v>
      </c>
    </row>
    <row r="19" spans="2:10" ht="15.5" x14ac:dyDescent="0.3">
      <c r="B19" s="510">
        <v>28</v>
      </c>
      <c r="C19" s="29" t="s">
        <v>657</v>
      </c>
      <c r="D19" s="23">
        <f>SUMIF('תקציב 2020'!B:B,'ריכוז לפי פרקים'!B19,'תקציב 2020'!G:G)/1000</f>
        <v>5157.9870899999996</v>
      </c>
      <c r="E19" s="24">
        <f>SUMIF('תקציב 2020'!B:B,'ריכוז לפי פרקים'!B19,'תקציב 2020'!H:H)/1000</f>
        <v>5050</v>
      </c>
      <c r="F19" s="24">
        <f>SUMIF('תקציב 2020'!B:B,'ריכוז לפי פרקים'!B19,'תקציב 2020'!I:I)/1000</f>
        <v>5728.2041239999999</v>
      </c>
      <c r="G19" s="24">
        <f>SUMIF('תקציב 2020'!B:B,'ריכוז לפי פרקים'!B19,'תקציב 2020'!J:J)/1000</f>
        <v>5430</v>
      </c>
      <c r="H19" s="24">
        <f>SUMIF('תקציב 2020'!B:B,'ריכוז לפי פרקים'!B19,'תקציב 2020'!K:K)/1000</f>
        <v>5050</v>
      </c>
      <c r="I19" s="24">
        <f>SUMIF('תקציב 2020'!B:B,'ריכוז לפי פרקים'!B19,'תקציב 2020'!O:O)/1000</f>
        <v>5820.0292900000004</v>
      </c>
      <c r="J19" s="509">
        <f>SUMIF('תקציב 2020'!B:B,'ריכוז לפי פרקים'!B19,'תקציב 2020'!S:S)/1000</f>
        <v>4409.2250000000004</v>
      </c>
    </row>
    <row r="20" spans="2:10" ht="14" x14ac:dyDescent="0.3">
      <c r="B20" s="515" t="s">
        <v>633</v>
      </c>
      <c r="C20" s="511"/>
      <c r="D20" s="512">
        <f t="shared" ref="D20:J20" si="1">SUM(D13:D19)</f>
        <v>11348.349099999999</v>
      </c>
      <c r="E20" s="512">
        <f t="shared" si="1"/>
        <v>12161.409</v>
      </c>
      <c r="F20" s="512">
        <f t="shared" si="1"/>
        <v>12806.778419999999</v>
      </c>
      <c r="G20" s="512">
        <f t="shared" si="1"/>
        <v>12421.467400000001</v>
      </c>
      <c r="H20" s="512">
        <f t="shared" si="1"/>
        <v>11422.409</v>
      </c>
      <c r="I20" s="512">
        <f t="shared" si="1"/>
        <v>12149.898999999999</v>
      </c>
      <c r="J20" s="516">
        <f t="shared" si="1"/>
        <v>11214.309000000001</v>
      </c>
    </row>
    <row r="21" spans="2:10" ht="15.5" x14ac:dyDescent="0.3">
      <c r="B21" s="28" t="s">
        <v>634</v>
      </c>
      <c r="C21" s="20"/>
      <c r="D21" s="20"/>
      <c r="E21" s="10"/>
      <c r="F21" s="10"/>
      <c r="G21" s="10"/>
      <c r="H21" s="524"/>
      <c r="I21" s="524"/>
      <c r="J21" s="11"/>
    </row>
    <row r="22" spans="2:10" ht="15.5" x14ac:dyDescent="0.3">
      <c r="B22" s="510">
        <v>31</v>
      </c>
      <c r="C22" s="29" t="s">
        <v>635</v>
      </c>
      <c r="D22" s="23">
        <f>SUMIF('תקציב 2020'!B:B,'ריכוז לפי פרקים'!B22,'תקציב 2020'!G:G)/1000</f>
        <v>39044.300210000016</v>
      </c>
      <c r="E22" s="24">
        <f>SUMIF('תקציב 2020'!B:B,'ריכוז לפי פרקים'!B22,'תקציב 2020'!H:H)/1000</f>
        <v>38619.747909999998</v>
      </c>
      <c r="F22" s="24">
        <f>SUMIF('תקציב 2020'!B:B,'ריכוז לפי פרקים'!B22,'תקציב 2020'!I:I)/1000</f>
        <v>39752.295372</v>
      </c>
      <c r="G22" s="24">
        <f>SUMIF('תקציב 2020'!B:B,'ריכוז לפי פרקים'!B22,'תקציב 2020'!J:J)/1000</f>
        <v>39884.671502073375</v>
      </c>
      <c r="H22" s="24">
        <f>SUMIF('תקציב 2020'!B:B,'ריכוז לפי פרקים'!B22,'תקציב 2020'!K:K)/1000</f>
        <v>37832.890799999994</v>
      </c>
      <c r="I22" s="24">
        <f>SUMIF('תקציב 2020'!B:B,'ריכוז לפי פרקים'!B22,'תקציב 2020'!O:O)/1000</f>
        <v>39295.942940000008</v>
      </c>
      <c r="J22" s="509">
        <f>SUMIF('תקציב 2020'!B:B,'ריכוז לפי פרקים'!B22,'תקציב 2020'!S:S)/1000</f>
        <v>37991.115000000005</v>
      </c>
    </row>
    <row r="23" spans="2:10" ht="15.5" x14ac:dyDescent="0.3">
      <c r="B23" s="510">
        <v>32</v>
      </c>
      <c r="C23" s="29" t="s">
        <v>636</v>
      </c>
      <c r="D23" s="23">
        <f>SUMIF('תקציב 2020'!B:B,'ריכוז לפי פרקים'!B23,'תקציב 2020'!G:G)/1000</f>
        <v>2353.0322000000001</v>
      </c>
      <c r="E23" s="24">
        <f>SUMIF('תקציב 2020'!B:B,'ריכוז לפי פרקים'!B23,'תקציב 2020'!H:H)/1000</f>
        <v>2465.1554999999998</v>
      </c>
      <c r="F23" s="24">
        <f>SUMIF('תקציב 2020'!B:B,'ריכוז לפי פרקים'!B23,'תקציב 2020'!I:I)/1000</f>
        <v>1935.5425600000001</v>
      </c>
      <c r="G23" s="24">
        <f>SUMIF('תקציב 2020'!B:B,'ריכוז לפי פרקים'!B23,'תקציב 2020'!J:J)/1000</f>
        <v>2155.3209999999999</v>
      </c>
      <c r="H23" s="24">
        <f>SUMIF('תקציב 2020'!B:B,'ריכוז לפי פרקים'!B23,'תקציב 2020'!K:K)/1000</f>
        <v>2465.1554999999998</v>
      </c>
      <c r="I23" s="24">
        <f>SUMIF('תקציב 2020'!B:B,'ריכוז לפי פרקים'!B23,'תקציב 2020'!O:O)/1000</f>
        <v>2338.6178</v>
      </c>
      <c r="J23" s="509">
        <f>SUMIF('תקציב 2020'!B:B,'ריכוז לפי פרקים'!B23,'תקציב 2020'!S:S)/1000</f>
        <v>2116.9110000000001</v>
      </c>
    </row>
    <row r="24" spans="2:10" ht="15.5" x14ac:dyDescent="0.3">
      <c r="B24" s="510">
        <v>33</v>
      </c>
      <c r="C24" s="29" t="s">
        <v>637</v>
      </c>
      <c r="D24" s="23">
        <f>SUMIF('תקציב 2020'!B:B,'ריכוז לפי פרקים'!B24,'תקציב 2020'!G:G)/1000</f>
        <v>74.858500000000006</v>
      </c>
      <c r="E24" s="24">
        <f>SUMIF('תקציב 2020'!B:B,'ריכוז לפי פרקים'!B24,'תקציב 2020'!H:H)/1000</f>
        <v>69.004000000000005</v>
      </c>
      <c r="F24" s="24">
        <f>SUMIF('תקציב 2020'!B:B,'ריכוז לפי פרקים'!B24,'תקציב 2020'!I:I)/1000</f>
        <v>110.64006000000001</v>
      </c>
      <c r="G24" s="24">
        <f>SUMIF('תקציב 2020'!B:B,'ריכוז לפי פרקים'!B24,'תקציב 2020'!J:J)/1000</f>
        <v>69.004000000000005</v>
      </c>
      <c r="H24" s="24">
        <f>SUMIF('תקציב 2020'!B:B,'ריכוז לפי פרקים'!B24,'תקציב 2020'!K:K)/1000</f>
        <v>69.004000000000005</v>
      </c>
      <c r="I24" s="24">
        <f>SUMIF('תקציב 2020'!B:B,'ריכוז לפי פרקים'!B24,'תקציב 2020'!O:O)/1000</f>
        <v>142.88655</v>
      </c>
      <c r="J24" s="509">
        <f>SUMIF('תקציב 2020'!B:B,'ריכוז לפי פרקים'!B24,'תקציב 2020'!S:S)/1000</f>
        <v>143</v>
      </c>
    </row>
    <row r="25" spans="2:10" ht="15.5" x14ac:dyDescent="0.3">
      <c r="B25" s="510">
        <v>34</v>
      </c>
      <c r="C25" s="29" t="s">
        <v>638</v>
      </c>
      <c r="D25" s="23">
        <f>SUMIF('תקציב 2020'!B:B,'ריכוז לפי פרקים'!B25,'תקציב 2020'!G:G)/1000</f>
        <v>23742.252080000002</v>
      </c>
      <c r="E25" s="24">
        <f>SUMIF('תקציב 2020'!B:B,'ריכוז לפי פרקים'!B25,'תקציב 2020'!H:H)/1000</f>
        <v>23396.842809999998</v>
      </c>
      <c r="F25" s="24">
        <f>SUMIF('תקציב 2020'!B:B,'ריכוז לפי פרקים'!B25,'תקציב 2020'!I:I)/1000</f>
        <v>24556.476324000003</v>
      </c>
      <c r="G25" s="24">
        <f>SUMIF('תקציב 2020'!B:B,'ריכוז לפי פרקים'!B25,'תקציב 2020'!J:J)/1000</f>
        <v>24432.526972</v>
      </c>
      <c r="H25" s="24">
        <f>SUMIF('תקציב 2020'!B:B,'ריכוז לפי פרקים'!B25,'תקציב 2020'!K:K)/1000</f>
        <v>23396.842810000002</v>
      </c>
      <c r="I25" s="24">
        <f>SUMIF('תקציב 2020'!B:B,'ריכוז לפי פרקים'!B25,'תקציב 2020'!O:O)/1000</f>
        <v>24715.216410000001</v>
      </c>
      <c r="J25" s="509">
        <f>SUMIF('תקציב 2020'!B:B,'ריכוז לפי פרקים'!B25,'תקציב 2020'!S:S)/1000</f>
        <v>24642.673004675002</v>
      </c>
    </row>
    <row r="26" spans="2:10" ht="15.5" x14ac:dyDescent="0.3">
      <c r="B26" s="510">
        <v>36</v>
      </c>
      <c r="C26" s="29" t="s">
        <v>665</v>
      </c>
      <c r="D26" s="23">
        <f>SUMIF('תקציב 2020'!B:B,'ריכוז לפי פרקים'!B26,'תקציב 2020'!G:G)/1000</f>
        <v>690.74</v>
      </c>
      <c r="E26" s="24">
        <f>SUMIF('תקציב 2020'!B:B,'ריכוז לפי פרקים'!B26,'תקציב 2020'!H:H)/1000</f>
        <v>400</v>
      </c>
      <c r="F26" s="24">
        <f>SUMIF('תקציב 2020'!B:B,'ריכוז לפי פרקים'!B26,'תקציב 2020'!I:I)/1000</f>
        <v>-15.969599999999998</v>
      </c>
      <c r="G26" s="24">
        <f>SUMIF('תקציב 2020'!B:B,'ריכוז לפי פרקים'!B26,'תקציב 2020'!J:J)/1000</f>
        <v>300</v>
      </c>
      <c r="H26" s="24">
        <f>SUMIF('תקציב 2020'!B:B,'ריכוז לפי פרקים'!B26,'תקציב 2020'!K:K)/1000</f>
        <v>400</v>
      </c>
      <c r="I26" s="24">
        <f>SUMIF('תקציב 2020'!B:B,'ריכוז לפי פרקים'!B26,'תקציב 2020'!O:O)/1000</f>
        <v>166</v>
      </c>
      <c r="J26" s="509">
        <f>SUMIF('תקציב 2020'!B:B,'ריכוז לפי פרקים'!B26,'תקציב 2020'!S:S)/1000</f>
        <v>200</v>
      </c>
    </row>
    <row r="27" spans="2:10" ht="15.5" x14ac:dyDescent="0.3">
      <c r="B27" s="510">
        <v>37</v>
      </c>
      <c r="C27" s="29" t="s">
        <v>571</v>
      </c>
      <c r="D27" s="23">
        <f>SUMIF('תקציב 2020'!B:B,'ריכוז לפי פרקים'!B27,'תקציב 2020'!G:G)/1000</f>
        <v>2.95</v>
      </c>
      <c r="E27" s="24">
        <f>SUMIF('תקציב 2020'!B:B,'ריכוז לפי פרקים'!B27,'תקציב 2020'!H:H)/1000</f>
        <v>1287.4451999999999</v>
      </c>
      <c r="F27" s="24">
        <f>SUMIF('תקציב 2020'!B:B,'ריכוז לפי פרקים'!B27,'תקציב 2020'!I:I)/1000</f>
        <v>1307.9836</v>
      </c>
      <c r="G27" s="24">
        <f>SUMIF('תקציב 2020'!B:B,'ריכוז לפי פרקים'!B27,'תקציב 2020'!J:J)/1000</f>
        <v>1284.9449999999999</v>
      </c>
      <c r="H27" s="24">
        <f>SUMIF('תקציב 2020'!B:B,'ריכוז לפי פרקים'!B27,'תקציב 2020'!K:K)/1000</f>
        <v>1287.4449999999999</v>
      </c>
      <c r="I27" s="24">
        <f>SUMIF('תקציב 2020'!B:B,'ריכוז לפי פרקים'!B27,'תקציב 2020'!O:O)/1000</f>
        <v>1006.48</v>
      </c>
      <c r="J27" s="509">
        <f>SUMIF('תקציב 2020'!B:B,'ריכוז לפי פרקים'!B27,'תקציב 2020'!S:S)/1000</f>
        <v>1284.9449999999999</v>
      </c>
    </row>
    <row r="28" spans="2:10" ht="14" x14ac:dyDescent="0.3">
      <c r="B28" s="515" t="s">
        <v>639</v>
      </c>
      <c r="C28" s="511"/>
      <c r="D28" s="512">
        <f t="shared" ref="D28:J28" si="2">SUM(D22:D27)</f>
        <v>65908.132990000027</v>
      </c>
      <c r="E28" s="512">
        <f t="shared" si="2"/>
        <v>66238.195420000004</v>
      </c>
      <c r="F28" s="512">
        <f t="shared" si="2"/>
        <v>67646.968316000013</v>
      </c>
      <c r="G28" s="512">
        <f t="shared" si="2"/>
        <v>68126.468474073394</v>
      </c>
      <c r="H28" s="512">
        <f t="shared" si="2"/>
        <v>65451.338109999997</v>
      </c>
      <c r="I28" s="512">
        <f t="shared" si="2"/>
        <v>67665.143700000001</v>
      </c>
      <c r="J28" s="516">
        <f t="shared" si="2"/>
        <v>66378.644004675007</v>
      </c>
    </row>
    <row r="29" spans="2:10" ht="15.5" x14ac:dyDescent="0.3">
      <c r="B29" s="28" t="s">
        <v>640</v>
      </c>
      <c r="C29" s="20"/>
      <c r="D29" s="20"/>
      <c r="E29" s="10"/>
      <c r="F29" s="10"/>
      <c r="G29" s="10"/>
      <c r="H29" s="524"/>
      <c r="I29" s="524"/>
      <c r="J29" s="527"/>
    </row>
    <row r="30" spans="2:10" ht="15.5" x14ac:dyDescent="0.3">
      <c r="B30" s="510">
        <v>41</v>
      </c>
      <c r="C30" s="29" t="s">
        <v>253</v>
      </c>
      <c r="D30" s="23">
        <f>SUMIF('תקציב 2020'!B:B,'ריכוז לפי פרקים'!B30,'תקציב 2020'!G:G)/1000</f>
        <v>22.01821</v>
      </c>
      <c r="E30" s="24">
        <f>SUMIF('תקציב 2020'!B:B,'ריכוז לפי פרקים'!B30,'תקציב 2020'!H:H)/1000</f>
        <v>20</v>
      </c>
      <c r="F30" s="24">
        <f>SUMIF('תקציב 2020'!B:B,'ריכוז לפי פרקים'!B30,'תקציב 2020'!I:I)/1000</f>
        <v>5.1278160000000002</v>
      </c>
      <c r="G30" s="24">
        <f>SUMIF('תקציב 2020'!B:B,'ריכוז לפי פרקים'!B30,'תקציב 2020'!J:J)/1000</f>
        <v>5</v>
      </c>
      <c r="H30" s="24">
        <f>SUMIF('תקציב 2020'!B:B,'ריכוז לפי פרקים'!B30,'תקציב 2020'!K:K)/1000</f>
        <v>20</v>
      </c>
      <c r="I30" s="24">
        <f>SUMIF('תקציב 2020'!B:B,'ריכוז לפי פרקים'!B30,'תקציב 2020'!O:O)/1000</f>
        <v>5.1278160000000002</v>
      </c>
      <c r="J30" s="509">
        <f>SUMIF('תקציב 2020'!B:B,'ריכוז לפי פרקים'!B30,'תקציב 2020'!S:S)/1000</f>
        <v>5</v>
      </c>
    </row>
    <row r="31" spans="2:10" ht="15.5" x14ac:dyDescent="0.3">
      <c r="B31" s="510">
        <v>43</v>
      </c>
      <c r="C31" s="29" t="s">
        <v>641</v>
      </c>
      <c r="D31" s="23">
        <f>SUMIF('תקציב 2020'!B:B,'ריכוז לפי פרקים'!B31,'תקציב 2020'!G:G)/1000</f>
        <v>1162.7627399999999</v>
      </c>
      <c r="E31" s="24">
        <f>SUMIF('תקציב 2020'!B:B,'ריכוז לפי פרקים'!B31,'תקציב 2020'!H:H)/1000</f>
        <v>1164</v>
      </c>
      <c r="F31" s="24">
        <f>SUMIF('תקציב 2020'!B:B,'ריכוז לפי פרקים'!B31,'תקציב 2020'!I:I)/1000</f>
        <v>1235</v>
      </c>
      <c r="G31" s="24">
        <f>SUMIF('תקציב 2020'!B:B,'ריכוז לפי פרקים'!B31,'תקציב 2020'!J:J)/1000</f>
        <v>1865.9639999999999</v>
      </c>
      <c r="H31" s="24">
        <f>SUMIF('תקציב 2020'!B:B,'ריכוז לפי פרקים'!B31,'תקציב 2020'!K:K)/1000</f>
        <v>1364</v>
      </c>
      <c r="I31" s="24">
        <f>SUMIF('תקציב 2020'!B:B,'ריכוז לפי פרקים'!B31,'תקציב 2020'!O:O)/1000</f>
        <v>963.01199999999994</v>
      </c>
      <c r="J31" s="509">
        <f>SUMIF('תקציב 2020'!B:B,'ריכוז לפי פרקים'!B31,'תקציב 2020'!S:S)/1000</f>
        <v>1567.9639999999999</v>
      </c>
    </row>
    <row r="32" spans="2:10" ht="15.5" x14ac:dyDescent="0.3">
      <c r="B32" s="510">
        <v>47</v>
      </c>
      <c r="C32" s="29" t="s">
        <v>642</v>
      </c>
      <c r="D32" s="23">
        <f>SUMIF('תקציב 2020'!B:B,'ריכוז לפי פרקים'!B32,'תקציב 2020'!G:G)/1000</f>
        <v>463.69390000000004</v>
      </c>
      <c r="E32" s="24">
        <f>SUMIF('תקציב 2020'!B:B,'ריכוז לפי פרקים'!B32,'תקציב 2020'!H:H)/1000</f>
        <v>472.202</v>
      </c>
      <c r="F32" s="24">
        <f>SUMIF('תקציב 2020'!B:B,'ריכוז לפי פרקים'!B32,'תקציב 2020'!I:I)/1000</f>
        <v>745.41669200000001</v>
      </c>
      <c r="G32" s="24">
        <f>SUMIF('תקציב 2020'!B:B,'ריכוז לפי פרקים'!B32,'תקציב 2020'!J:J)/1000</f>
        <v>247</v>
      </c>
      <c r="H32" s="24">
        <f>SUMIF('תקציב 2020'!B:B,'ריכוז לפי פרקים'!B32,'תקציב 2020'!K:K)/1000</f>
        <v>472.202</v>
      </c>
      <c r="I32" s="24">
        <f>SUMIF('תקציב 2020'!B:B,'ריכוז לפי פרקים'!B32,'תקציב 2020'!O:O)/1000</f>
        <v>814.16489200000001</v>
      </c>
      <c r="J32" s="509">
        <f>SUMIF('תקציב 2020'!B:B,'ריכוז לפי פרקים'!B32,'תקציב 2020'!S:S)/1000</f>
        <v>470.702</v>
      </c>
    </row>
    <row r="33" spans="1:10" ht="14" x14ac:dyDescent="0.3">
      <c r="B33" s="515" t="s">
        <v>643</v>
      </c>
      <c r="C33" s="511"/>
      <c r="D33" s="512">
        <f t="shared" ref="D33:J33" si="3">SUM(D30:D32)</f>
        <v>1648.4748499999998</v>
      </c>
      <c r="E33" s="512">
        <f t="shared" si="3"/>
        <v>1656.202</v>
      </c>
      <c r="F33" s="512">
        <f t="shared" si="3"/>
        <v>1985.544508</v>
      </c>
      <c r="G33" s="512">
        <f t="shared" si="3"/>
        <v>2117.9639999999999</v>
      </c>
      <c r="H33" s="512">
        <f t="shared" si="3"/>
        <v>1856.202</v>
      </c>
      <c r="I33" s="512">
        <f t="shared" si="3"/>
        <v>1782.3047080000001</v>
      </c>
      <c r="J33" s="516">
        <f t="shared" si="3"/>
        <v>2043.6659999999999</v>
      </c>
    </row>
    <row r="34" spans="1:10" ht="15.5" x14ac:dyDescent="0.3">
      <c r="B34" s="28" t="s">
        <v>644</v>
      </c>
      <c r="C34" s="20"/>
      <c r="D34" s="20"/>
      <c r="E34" s="10"/>
      <c r="F34" s="10"/>
      <c r="G34" s="10"/>
      <c r="H34" s="524"/>
      <c r="I34" s="524"/>
      <c r="J34" s="527"/>
    </row>
    <row r="35" spans="1:10" ht="15.5" x14ac:dyDescent="0.3">
      <c r="B35" s="510">
        <v>59</v>
      </c>
      <c r="C35" s="29" t="s">
        <v>645</v>
      </c>
      <c r="D35" s="23">
        <f>SUMIF('תקציב 2020'!B:B,'ריכוז לפי פרקים'!B35,'תקציב 2020'!G:G)/1000</f>
        <v>6323.8886700000003</v>
      </c>
      <c r="E35" s="24">
        <f>SUMIF('תקציב 2020'!B:B,'ריכוז לפי פרקים'!B35,'תקציב 2020'!H:H)/1000</f>
        <v>12829.027269999999</v>
      </c>
      <c r="F35" s="24">
        <f>SUMIF('תקציב 2020'!B:B,'ריכוז לפי פרקים'!B35,'תקציב 2020'!I:I)/1000</f>
        <v>8907.5227559999985</v>
      </c>
      <c r="G35" s="24">
        <f>SUMIF('תקציב 2020'!B:B,'ריכוז לפי פרקים'!B35,'תקציב 2020'!J:J)/1000</f>
        <v>675</v>
      </c>
      <c r="H35" s="24">
        <f>SUMIF('תקציב 2020'!B:B,'ריכוז לפי פרקים'!B35,'תקציב 2020'!K:K)/1000</f>
        <v>1729.0272727272727</v>
      </c>
      <c r="I35" s="24">
        <f>SUMIF('תקציב 2020'!B:B,'ריכוז לפי פרקים'!B35,'תקציב 2020'!O:O)/1000</f>
        <v>8941.56783</v>
      </c>
      <c r="J35" s="509">
        <f>SUMIF('תקציב 2020'!B:B,'ריכוז לפי פרקים'!B35,'תקציב 2020'!S:S)/1000</f>
        <v>682</v>
      </c>
    </row>
    <row r="36" spans="1:10" ht="14" x14ac:dyDescent="0.3">
      <c r="B36" s="515" t="s">
        <v>646</v>
      </c>
      <c r="C36" s="511"/>
      <c r="D36" s="512">
        <f t="shared" ref="D36:J36" si="4">SUM(D35:D35)</f>
        <v>6323.8886700000003</v>
      </c>
      <c r="E36" s="512">
        <f t="shared" si="4"/>
        <v>12829.027269999999</v>
      </c>
      <c r="F36" s="512">
        <f t="shared" si="4"/>
        <v>8907.5227559999985</v>
      </c>
      <c r="G36" s="512">
        <f t="shared" si="4"/>
        <v>675</v>
      </c>
      <c r="H36" s="512">
        <f t="shared" si="4"/>
        <v>1729.0272727272727</v>
      </c>
      <c r="I36" s="512">
        <f t="shared" si="4"/>
        <v>8941.56783</v>
      </c>
      <c r="J36" s="516">
        <f t="shared" si="4"/>
        <v>682</v>
      </c>
    </row>
    <row r="37" spans="1:10" hidden="1" x14ac:dyDescent="0.3">
      <c r="B37" s="521"/>
      <c r="C37" s="513"/>
      <c r="D37" s="514"/>
      <c r="E37" s="514"/>
      <c r="F37" s="514"/>
      <c r="G37" s="514"/>
      <c r="H37" s="514"/>
      <c r="I37" s="514"/>
      <c r="J37" s="522"/>
    </row>
    <row r="38" spans="1:10" ht="14.5" thickBot="1" x14ac:dyDescent="0.35">
      <c r="B38" s="517" t="s">
        <v>647</v>
      </c>
      <c r="C38" s="518"/>
      <c r="D38" s="519">
        <f t="shared" ref="D38:J38" si="5">D36+D33+D28+D20+D11</f>
        <v>179763.43850000002</v>
      </c>
      <c r="E38" s="519">
        <f t="shared" si="5"/>
        <v>188618.27593</v>
      </c>
      <c r="F38" s="519">
        <f t="shared" si="5"/>
        <v>189962.335112</v>
      </c>
      <c r="G38" s="519">
        <f t="shared" si="5"/>
        <v>186327.29200945178</v>
      </c>
      <c r="H38" s="519">
        <f t="shared" si="5"/>
        <v>180715.63809674678</v>
      </c>
      <c r="I38" s="519">
        <f t="shared" si="5"/>
        <v>189763.91117799998</v>
      </c>
      <c r="J38" s="520">
        <f t="shared" si="5"/>
        <v>190632.57072467502</v>
      </c>
    </row>
    <row r="39" spans="1:10" x14ac:dyDescent="0.3">
      <c r="B39" s="14"/>
      <c r="C39" s="14"/>
      <c r="D39" s="14"/>
      <c r="E39" s="14"/>
      <c r="F39" s="14"/>
      <c r="G39" s="14"/>
      <c r="H39" s="15"/>
      <c r="I39" s="15"/>
      <c r="J39" s="15"/>
    </row>
    <row r="40" spans="1:10" ht="15.5" x14ac:dyDescent="0.3">
      <c r="B40" s="16"/>
      <c r="C40" s="17"/>
      <c r="D40" s="17"/>
      <c r="E40" s="17"/>
      <c r="F40" s="17"/>
      <c r="G40" s="17"/>
      <c r="H40" s="17"/>
      <c r="I40" s="17"/>
      <c r="J40" s="17"/>
    </row>
    <row r="41" spans="1:10" ht="36" customHeight="1" x14ac:dyDescent="0.3">
      <c r="B41" s="537"/>
      <c r="C41" s="537"/>
      <c r="D41" s="537"/>
      <c r="E41" s="537"/>
      <c r="F41" s="537"/>
      <c r="G41" s="537"/>
      <c r="H41" s="537"/>
      <c r="I41" s="507"/>
      <c r="J41" s="4"/>
    </row>
    <row r="42" spans="1:10" ht="18.5" thickBot="1" x14ac:dyDescent="0.35">
      <c r="B42" s="538" t="s">
        <v>711</v>
      </c>
      <c r="C42" s="539"/>
      <c r="D42" s="539"/>
      <c r="E42" s="539"/>
      <c r="F42" s="539"/>
      <c r="G42" s="539"/>
      <c r="H42" s="539"/>
      <c r="I42" s="539"/>
      <c r="J42" s="539"/>
    </row>
    <row r="43" spans="1:10" s="7" customFormat="1" ht="70.5" customHeight="1" thickBot="1" x14ac:dyDescent="0.3">
      <c r="A43" s="34"/>
      <c r="B43" s="2" t="s">
        <v>612</v>
      </c>
      <c r="C43" s="2" t="s">
        <v>621</v>
      </c>
      <c r="D43" s="2" t="s">
        <v>613</v>
      </c>
      <c r="E43" s="2" t="s">
        <v>614</v>
      </c>
      <c r="F43" s="2" t="s">
        <v>707</v>
      </c>
      <c r="G43" s="2" t="s">
        <v>611</v>
      </c>
      <c r="H43" s="2" t="s">
        <v>615</v>
      </c>
      <c r="I43" s="2" t="s">
        <v>707</v>
      </c>
      <c r="J43" s="2" t="s">
        <v>2149</v>
      </c>
    </row>
    <row r="44" spans="1:10" ht="15.5" x14ac:dyDescent="0.3">
      <c r="B44" s="30" t="s">
        <v>649</v>
      </c>
      <c r="C44" s="31"/>
      <c r="D44" s="31"/>
      <c r="E44" s="26"/>
      <c r="F44" s="26"/>
      <c r="G44" s="26"/>
      <c r="H44" s="523"/>
      <c r="I44" s="523"/>
      <c r="J44" s="526"/>
    </row>
    <row r="45" spans="1:10" ht="15.5" x14ac:dyDescent="0.3">
      <c r="B45" s="508">
        <v>61</v>
      </c>
      <c r="C45" s="32" t="s">
        <v>650</v>
      </c>
      <c r="D45" s="23">
        <f>SUMIF('תקציב 2020'!B:B,'ריכוז לפי פרקים'!B45,'תקציב 2020'!G:G)/1000</f>
        <v>9850.4538099999991</v>
      </c>
      <c r="E45" s="24">
        <f>SUMIF('תקציב 2020'!B:B,'ריכוז לפי פרקים'!B45,'תקציב 2020'!H:H)/1000</f>
        <v>9712.3857000000007</v>
      </c>
      <c r="F45" s="24">
        <f>SUMIF('תקציב 2020'!B:B,'ריכוז לפי פרקים'!B45,'תקציב 2020'!I:I)/1000</f>
        <v>9567.389672000003</v>
      </c>
      <c r="G45" s="24">
        <f>SUMIF('תקציב 2020'!B:B,'ריכוז לפי פרקים'!B45,'תקציב 2020'!J:J)/1000</f>
        <v>10840.923420354166</v>
      </c>
      <c r="H45" s="24">
        <f>SUMIF('תקציב 2020'!B:B,'ריכוז לפי פרקים'!B45,'תקציב 2020'!K:K)/1000</f>
        <v>9567.6958519352665</v>
      </c>
      <c r="I45" s="24">
        <f>SUMIF('תקציב 2020'!B:B,'ריכוז לפי פרקים'!B45,'תקציב 2020'!O:O)/1000</f>
        <v>9752.324184000001</v>
      </c>
      <c r="J45" s="509">
        <f>SUMIF('תקציב 2020'!B:B,'ריכוז לפי פרקים'!B45,'תקציב 2020'!S:S)/1000</f>
        <v>10195.335902010582</v>
      </c>
    </row>
    <row r="46" spans="1:10" ht="15.5" x14ac:dyDescent="0.3">
      <c r="B46" s="508">
        <v>62</v>
      </c>
      <c r="C46" s="32" t="s">
        <v>651</v>
      </c>
      <c r="D46" s="23">
        <f>SUMIF('תקציב 2020'!B:B,'ריכוז לפי פרקים'!B46,'תקציב 2020'!G:G)/1000</f>
        <v>5193.1852200000003</v>
      </c>
      <c r="E46" s="24">
        <f>SUMIF('תקציב 2020'!B:B,'ריכוז לפי פרקים'!B46,'תקציב 2020'!H:H)/1000</f>
        <v>5520.4080999999996</v>
      </c>
      <c r="F46" s="24">
        <f>SUMIF('תקציב 2020'!B:B,'ריכוז לפי פרקים'!B46,'תקציב 2020'!I:I)/1000</f>
        <v>5652.9072920000008</v>
      </c>
      <c r="G46" s="24">
        <f>SUMIF('תקציב 2020'!B:B,'ריכוז לפי פרקים'!B46,'תקציב 2020'!J:J)/1000</f>
        <v>6181.964246649999</v>
      </c>
      <c r="H46" s="24">
        <f>SUMIF('תקציב 2020'!B:B,'ריכוז לפי פרקים'!B46,'תקציב 2020'!K:K)/1000</f>
        <v>5208.0210081295063</v>
      </c>
      <c r="I46" s="24">
        <f>SUMIF('תקציב 2020'!B:B,'ריכוז לפי פרקים'!B46,'תקציב 2020'!O:O)/1000</f>
        <v>5349.3692719999999</v>
      </c>
      <c r="J46" s="509">
        <f>SUMIF('תקציב 2020'!B:B,'ריכוז לפי פרקים'!B46,'תקציב 2020'!S:S)/1000</f>
        <v>5309.4650000000001</v>
      </c>
    </row>
    <row r="47" spans="1:10" ht="15.5" x14ac:dyDescent="0.3">
      <c r="B47" s="508">
        <v>63</v>
      </c>
      <c r="C47" s="32" t="s">
        <v>19</v>
      </c>
      <c r="D47" s="23">
        <f>SUMIF('תקציב 2020'!B:B,'ריכוז לפי פרקים'!B47,'תקציב 2020'!G:G)/1000</f>
        <v>862.61497999999995</v>
      </c>
      <c r="E47" s="24">
        <f>SUMIF('תקציב 2020'!B:B,'ריכוז לפי פרקים'!B47,'תקציב 2020'!H:H)/1000</f>
        <v>888</v>
      </c>
      <c r="F47" s="24">
        <f>SUMIF('תקציב 2020'!B:B,'ריכוז לפי פרקים'!B47,'תקציב 2020'!I:I)/1000</f>
        <v>833.89624800000001</v>
      </c>
      <c r="G47" s="24">
        <f>SUMIF('תקציב 2020'!B:B,'ריכוז לפי פרקים'!B47,'תקציב 2020'!J:J)/1000</f>
        <v>841</v>
      </c>
      <c r="H47" s="24">
        <f>SUMIF('תקציב 2020'!B:B,'ריכוז לפי פרקים'!B47,'תקציב 2020'!K:K)/1000</f>
        <v>888</v>
      </c>
      <c r="I47" s="24">
        <f>SUMIF('תקציב 2020'!B:B,'ריכוז לפי פרקים'!B47,'תקציב 2020'!O:O)/1000</f>
        <v>908.08253999999999</v>
      </c>
      <c r="J47" s="509">
        <f>SUMIF('תקציב 2020'!B:B,'ריכוז לפי פרקים'!B47,'תקציב 2020'!S:S)/1000</f>
        <v>852</v>
      </c>
    </row>
    <row r="48" spans="1:10" ht="15.5" x14ac:dyDescent="0.3">
      <c r="B48" s="508">
        <v>64</v>
      </c>
      <c r="C48" s="32" t="s">
        <v>300</v>
      </c>
      <c r="D48" s="23">
        <f>SUMIF('תקציב 2020'!B:B,'ריכוז לפי פרקים'!B48,'תקציב 2020'!G:G)/1000</f>
        <v>6801.0207499999997</v>
      </c>
      <c r="E48" s="24">
        <f>SUMIF('תקציב 2020'!B:B,'ריכוז לפי פרקים'!B48,'תקציב 2020'!H:H)/1000</f>
        <v>7395.3446599999997</v>
      </c>
      <c r="F48" s="24">
        <f>SUMIF('תקציב 2020'!B:B,'ריכוז לפי פרקים'!B48,'תקציב 2020'!I:I)/1000</f>
        <v>7498.2610440000008</v>
      </c>
      <c r="G48" s="24">
        <f>SUMIF('תקציב 2020'!B:B,'ריכוז לפי פרקים'!B48,'תקציב 2020'!J:J)/1000</f>
        <v>2065.6319699999999</v>
      </c>
      <c r="H48" s="24">
        <f>SUMIF('תקציב 2020'!B:B,'ריכוז לפי פרקים'!B48,'תקציב 2020'!K:K)/1000</f>
        <v>2760.2897331143527</v>
      </c>
      <c r="I48" s="24">
        <f>SUMIF('תקציב 2020'!B:B,'ריכוז לפי פרקים'!B48,'תקציב 2020'!O:O)/1000</f>
        <v>6418.2610439999999</v>
      </c>
      <c r="J48" s="509">
        <f>SUMIF('תקציב 2020'!B:B,'ריכוז לפי פרקים'!B48,'תקציב 2020'!S:S)/1000</f>
        <v>1872</v>
      </c>
    </row>
    <row r="49" spans="2:10" ht="14" x14ac:dyDescent="0.3">
      <c r="B49" s="515" t="s">
        <v>652</v>
      </c>
      <c r="C49" s="511"/>
      <c r="D49" s="512">
        <f t="shared" ref="D49:J49" si="6">SUM(D45:D48)</f>
        <v>22707.27476</v>
      </c>
      <c r="E49" s="512">
        <f t="shared" si="6"/>
        <v>23516.138459999998</v>
      </c>
      <c r="F49" s="512">
        <f t="shared" si="6"/>
        <v>23552.454256000005</v>
      </c>
      <c r="G49" s="512">
        <f t="shared" si="6"/>
        <v>19929.519637004163</v>
      </c>
      <c r="H49" s="512">
        <f t="shared" si="6"/>
        <v>18424.006593179125</v>
      </c>
      <c r="I49" s="512">
        <f t="shared" si="6"/>
        <v>22428.037039999999</v>
      </c>
      <c r="J49" s="516">
        <f t="shared" si="6"/>
        <v>18228.800902010582</v>
      </c>
    </row>
    <row r="50" spans="2:10" ht="15.5" x14ac:dyDescent="0.3">
      <c r="B50" s="28" t="s">
        <v>653</v>
      </c>
      <c r="C50" s="20"/>
      <c r="D50" s="20"/>
      <c r="E50" s="13"/>
      <c r="F50" s="13"/>
      <c r="G50" s="13"/>
      <c r="H50" s="525"/>
      <c r="I50" s="525"/>
      <c r="J50" s="528"/>
    </row>
    <row r="51" spans="2:10" ht="15.5" x14ac:dyDescent="0.3">
      <c r="B51" s="508">
        <v>71</v>
      </c>
      <c r="C51" s="32" t="s">
        <v>628</v>
      </c>
      <c r="D51" s="23">
        <f>SUMIF('תקציב 2020'!B:B,'ריכוז לפי פרקים'!B51,'תקציב 2020'!G:G)/1000</f>
        <v>11092.249250000001</v>
      </c>
      <c r="E51" s="24">
        <f>SUMIF('תקציב 2020'!B:B,'ריכוז לפי פרקים'!B51,'תקציב 2020'!H:H)/1000</f>
        <v>12784.420579999998</v>
      </c>
      <c r="F51" s="24">
        <f>SUMIF('תקציב 2020'!B:B,'ריכוז לפי פרקים'!B51,'תקציב 2020'!I:I)/1000</f>
        <v>13984.218004560002</v>
      </c>
      <c r="G51" s="24">
        <f>SUMIF('תקציב 2020'!B:B,'ריכוז לפי פרקים'!B51,'תקציב 2020'!J:J)/1000</f>
        <v>13441.495776758333</v>
      </c>
      <c r="H51" s="24">
        <f>SUMIF('תקציב 2020'!B:B,'ריכוז לפי פרקים'!B51,'תקציב 2020'!K:K)/1000</f>
        <v>12812.506239563372</v>
      </c>
      <c r="I51" s="24">
        <f>SUMIF('תקציב 2020'!B:B,'ריכוז לפי פרקים'!B51,'תקציב 2020'!O:O)/1000</f>
        <v>12971.309369999999</v>
      </c>
      <c r="J51" s="509">
        <f>SUMIF('תקציב 2020'!B:B,'ריכוז לפי פרקים'!B51,'תקציב 2020'!S:S)/1000</f>
        <v>13647.208000000001</v>
      </c>
    </row>
    <row r="52" spans="2:10" ht="15.5" x14ac:dyDescent="0.3">
      <c r="B52" s="508">
        <v>72</v>
      </c>
      <c r="C52" s="32" t="s">
        <v>654</v>
      </c>
      <c r="D52" s="23">
        <f>SUMIF('תקציב 2020'!B:B,'ריכוז לפי פרקים'!B52,'תקציב 2020'!G:G)/1000</f>
        <v>2942.3575299999998</v>
      </c>
      <c r="E52" s="24">
        <f>SUMIF('תקציב 2020'!B:B,'ריכוז לפי פרקים'!B52,'תקציב 2020'!H:H)/1000</f>
        <v>3096.9122899999998</v>
      </c>
      <c r="F52" s="24">
        <f>SUMIF('תקציב 2020'!B:B,'ריכוז לפי פרקים'!B52,'תקציב 2020'!I:I)/1000</f>
        <v>2693.6824456800005</v>
      </c>
      <c r="G52" s="24">
        <f>SUMIF('תקציב 2020'!B:B,'ריכוז לפי פרקים'!B52,'תקציב 2020'!J:J)/1000</f>
        <v>2395.0769502166668</v>
      </c>
      <c r="H52" s="24">
        <f>SUMIF('תקציב 2020'!B:B,'ריכוז לפי פרקים'!B52,'תקציב 2020'!K:K)/1000</f>
        <v>2587.7865228835617</v>
      </c>
      <c r="I52" s="24">
        <f>SUMIF('תקציב 2020'!B:B,'ריכוז לפי פרקים'!B52,'תקציב 2020'!O:O)/1000</f>
        <v>3092.0406599999992</v>
      </c>
      <c r="J52" s="509">
        <f>SUMIF('תקציב 2020'!B:B,'ריכוז לפי פרקים'!B52,'תקציב 2020'!S:S)/1000</f>
        <v>2430.0920000000001</v>
      </c>
    </row>
    <row r="53" spans="2:10" ht="15.5" x14ac:dyDescent="0.3">
      <c r="B53" s="508">
        <v>73</v>
      </c>
      <c r="C53" s="32" t="s">
        <v>630</v>
      </c>
      <c r="D53" s="23">
        <f>SUMIF('תקציב 2020'!B:B,'ריכוז לפי פרקים'!B53,'תקציב 2020'!G:G)/1000</f>
        <v>3115.8206600000008</v>
      </c>
      <c r="E53" s="24">
        <f>SUMIF('תקציב 2020'!B:B,'ריכוז לפי פרקים'!B53,'תקציב 2020'!H:H)/1000</f>
        <v>3852.3598499999998</v>
      </c>
      <c r="F53" s="24">
        <f>SUMIF('תקציב 2020'!B:B,'ריכוז לפי פרקים'!B53,'תקציב 2020'!I:I)/1000</f>
        <v>3439.205524</v>
      </c>
      <c r="G53" s="24">
        <f>SUMIF('תקציב 2020'!B:B,'ריכוז לפי פרקים'!B53,'תקציב 2020'!J:J)/1000</f>
        <v>4199.0144261079995</v>
      </c>
      <c r="H53" s="24">
        <f>SUMIF('תקציב 2020'!B:B,'ריכוז לפי פרקים'!B53,'תקציב 2020'!K:K)/1000</f>
        <v>4020.9481118126769</v>
      </c>
      <c r="I53" s="24">
        <f>SUMIF('תקציב 2020'!B:B,'ריכוז לפי פרקים'!B53,'תקציב 2020'!O:O)/1000</f>
        <v>3584.3705199999999</v>
      </c>
      <c r="J53" s="509">
        <f>SUMIF('תקציב 2020'!B:B,'ריכוז לפי פרקים'!B53,'תקציב 2020'!S:S)/1000</f>
        <v>4108.1000000000004</v>
      </c>
    </row>
    <row r="54" spans="2:10" ht="15.5" x14ac:dyDescent="0.3">
      <c r="B54" s="508">
        <v>74</v>
      </c>
      <c r="C54" s="32" t="s">
        <v>631</v>
      </c>
      <c r="D54" s="23">
        <f>SUMIF('תקציב 2020'!B:B,'ריכוז לפי פרקים'!B54,'תקציב 2020'!G:G)/1000</f>
        <v>6644.4103399999995</v>
      </c>
      <c r="E54" s="24">
        <f>SUMIF('תקציב 2020'!B:B,'ריכוז לפי פרקים'!B54,'תקציב 2020'!H:H)/1000</f>
        <v>6198.6841100000001</v>
      </c>
      <c r="F54" s="24">
        <f>SUMIF('תקציב 2020'!B:B,'ריכוז לפי פרקים'!B54,'תקציב 2020'!I:I)/1000</f>
        <v>6709.3422844799998</v>
      </c>
      <c r="G54" s="24">
        <f>SUMIF('תקציב 2020'!B:B,'ריכוז לפי פרקים'!B54,'תקציב 2020'!J:J)/1000</f>
        <v>7054.3230802999997</v>
      </c>
      <c r="H54" s="24">
        <f>SUMIF('תקציב 2020'!B:B,'ריכוז לפי פרקים'!B54,'תקציב 2020'!K:K)/1000</f>
        <v>5692.4549519615466</v>
      </c>
      <c r="I54" s="24">
        <f>SUMIF('תקציב 2020'!B:B,'ריכוז לפי פרקים'!B54,'תקציב 2020'!O:O)/1000</f>
        <v>6960.9657699999989</v>
      </c>
      <c r="J54" s="509">
        <f>SUMIF('תקציב 2020'!B:B,'ריכוז לפי פרקים'!B54,'תקציב 2020'!S:S)/1000</f>
        <v>7266.42</v>
      </c>
    </row>
    <row r="55" spans="2:10" ht="15.5" x14ac:dyDescent="0.3">
      <c r="B55" s="508">
        <v>75</v>
      </c>
      <c r="C55" s="32" t="s">
        <v>655</v>
      </c>
      <c r="D55" s="23">
        <f>SUMIF('תקציב 2020'!B:B,'ריכוז לפי פרקים'!B55,'תקציב 2020'!G:G)/1000</f>
        <v>1911.9043799999999</v>
      </c>
      <c r="E55" s="24">
        <f>SUMIF('תקציב 2020'!B:B,'ריכוז לפי פרקים'!B55,'תקציב 2020'!H:H)/1000</f>
        <v>754.24</v>
      </c>
      <c r="F55" s="24">
        <f>SUMIF('תקציב 2020'!B:B,'ריכוז לפי פרקים'!B55,'תקציב 2020'!I:I)/1000</f>
        <v>1653.79648</v>
      </c>
      <c r="G55" s="24">
        <f>SUMIF('תקציב 2020'!B:B,'ריכוז לפי פרקים'!B55,'תקציב 2020'!J:J)/1000</f>
        <v>1657.24</v>
      </c>
      <c r="H55" s="24">
        <f>SUMIF('תקציב 2020'!B:B,'ריכוז לפי פרקים'!B55,'תקציב 2020'!K:K)/1000</f>
        <v>754.24</v>
      </c>
      <c r="I55" s="24">
        <f>SUMIF('תקציב 2020'!B:B,'ריכוז לפי פרקים'!B55,'תקציב 2020'!O:O)/1000</f>
        <v>816.48682999999994</v>
      </c>
      <c r="J55" s="509">
        <f>SUMIF('תקציב 2020'!B:B,'ריכוז לפי פרקים'!B55,'תקציב 2020'!S:S)/1000</f>
        <v>552.24</v>
      </c>
    </row>
    <row r="56" spans="2:10" ht="15.5" x14ac:dyDescent="0.3">
      <c r="B56" s="508">
        <v>76</v>
      </c>
      <c r="C56" s="32" t="s">
        <v>632</v>
      </c>
      <c r="D56" s="23">
        <f>SUMIF('תקציב 2020'!B:B,'ריכוז לפי פרקים'!B56,'תקציב 2020'!G:G)/1000</f>
        <v>1252.85832</v>
      </c>
      <c r="E56" s="24">
        <f>SUMIF('תקציב 2020'!B:B,'ריכוז לפי פרקים'!B56,'תקציב 2020'!H:H)/1000</f>
        <v>1235.0250000000001</v>
      </c>
      <c r="F56" s="24">
        <f>SUMIF('תקציב 2020'!B:B,'ריכוז לפי פרקים'!B56,'תקציב 2020'!I:I)/1000</f>
        <v>1133.6254120000001</v>
      </c>
      <c r="G56" s="24">
        <f>SUMIF('תקציב 2020'!B:B,'ריכוז לפי פרקים'!B56,'תקציב 2020'!J:J)/1000</f>
        <v>1355.98</v>
      </c>
      <c r="H56" s="24">
        <f>SUMIF('תקציב 2020'!B:B,'ריכוז לפי פרקים'!B56,'תקציב 2020'!K:K)/1000</f>
        <v>1235.0250000000001</v>
      </c>
      <c r="I56" s="24">
        <f>SUMIF('תקציב 2020'!B:B,'ריכוז לפי פרקים'!B56,'תקציב 2020'!O:O)/1000</f>
        <v>1683.9871499999999</v>
      </c>
      <c r="J56" s="509">
        <f>SUMIF('תקציב 2020'!B:B,'ריכוז לפי פרקים'!B56,'תקציב 2020'!S:S)/1000</f>
        <v>1342</v>
      </c>
    </row>
    <row r="57" spans="2:10" ht="15.5" x14ac:dyDescent="0.3">
      <c r="B57" s="508">
        <v>77</v>
      </c>
      <c r="C57" s="32" t="s">
        <v>656</v>
      </c>
      <c r="D57" s="23">
        <f>SUMIF('תקציב 2020'!B:B,'ריכוז לפי פרקים'!B57,'תקציב 2020'!G:G)/1000</f>
        <v>3118.1340700000005</v>
      </c>
      <c r="E57" s="24">
        <f>SUMIF('תקציב 2020'!B:B,'ריכוז לפי פרקים'!B57,'תקציב 2020'!H:H)/1000</f>
        <v>3708.5035800000001</v>
      </c>
      <c r="F57" s="24">
        <f>SUMIF('תקציב 2020'!B:B,'ריכוז לפי פרקים'!B57,'תקציב 2020'!I:I)/1000</f>
        <v>3990.8746719999999</v>
      </c>
      <c r="G57" s="24">
        <f>SUMIF('תקציב 2020'!B:B,'ריכוז לפי פרקים'!B57,'תקציב 2020'!J:J)/1000</f>
        <v>3550.1575459999995</v>
      </c>
      <c r="H57" s="24">
        <f>SUMIF('תקציב 2020'!B:B,'ריכוז לפי פרקים'!B57,'תקציב 2020'!K:K)/1000</f>
        <v>3442.3397276258925</v>
      </c>
      <c r="I57" s="24">
        <f>SUMIF('תקציב 2020'!B:B,'ריכוז לפי פרקים'!B57,'תקציב 2020'!O:O)/1000</f>
        <v>3632.4013300000001</v>
      </c>
      <c r="J57" s="509">
        <f>SUMIF('תקציב 2020'!B:B,'ריכוז לפי פרקים'!B57,'תקציב 2020'!S:S)/1000</f>
        <v>3593.06792</v>
      </c>
    </row>
    <row r="58" spans="2:10" ht="15.5" x14ac:dyDescent="0.3">
      <c r="B58" s="508">
        <v>78</v>
      </c>
      <c r="C58" s="32" t="s">
        <v>657</v>
      </c>
      <c r="D58" s="23">
        <f>SUMIF('תקציב 2020'!B:B,'ריכוז לפי פרקים'!B58,'תקציב 2020'!G:G)/1000</f>
        <v>2669.2565100000002</v>
      </c>
      <c r="E58" s="24">
        <f>SUMIF('תקציב 2020'!B:B,'ריכוז לפי פרקים'!B58,'תקציב 2020'!H:H)/1000</f>
        <v>2359.2581600000003</v>
      </c>
      <c r="F58" s="24">
        <f>SUMIF('תקציב 2020'!B:B,'ריכוז לפי פרקים'!B58,'תקציב 2020'!I:I)/1000</f>
        <v>2302.8539640000004</v>
      </c>
      <c r="G58" s="24">
        <f>SUMIF('תקציב 2020'!B:B,'ריכוז לפי פרקים'!B58,'תקציב 2020'!J:J)/1000</f>
        <v>2558.5747296500003</v>
      </c>
      <c r="H58" s="24">
        <f>SUMIF('תקציב 2020'!B:B,'ריכוז לפי פרקים'!B58,'תקציב 2020'!K:K)/1000</f>
        <v>2351.6575587065199</v>
      </c>
      <c r="I58" s="24">
        <f>SUMIF('תקציב 2020'!B:B,'ריכוז לפי פרקים'!B58,'תקציב 2020'!O:O)/1000</f>
        <v>2337.9579699999999</v>
      </c>
      <c r="J58" s="509">
        <f>SUMIF('תקציב 2020'!B:B,'ריכוז לפי פרקים'!B58,'תקציב 2020'!S:S)/1000</f>
        <v>2488.8651999999997</v>
      </c>
    </row>
    <row r="59" spans="2:10" ht="14" x14ac:dyDescent="0.3">
      <c r="B59" s="515" t="s">
        <v>633</v>
      </c>
      <c r="C59" s="511"/>
      <c r="D59" s="512">
        <f t="shared" ref="D59:J59" si="7">SUM(D51:D58)</f>
        <v>32746.991059999997</v>
      </c>
      <c r="E59" s="512">
        <f t="shared" si="7"/>
        <v>33989.403570000002</v>
      </c>
      <c r="F59" s="512">
        <f t="shared" si="7"/>
        <v>35907.598786720009</v>
      </c>
      <c r="G59" s="512">
        <f t="shared" si="7"/>
        <v>36211.862509032995</v>
      </c>
      <c r="H59" s="512">
        <f t="shared" si="7"/>
        <v>32896.95811255357</v>
      </c>
      <c r="I59" s="512">
        <f t="shared" si="7"/>
        <v>35079.5196</v>
      </c>
      <c r="J59" s="516">
        <f t="shared" si="7"/>
        <v>35427.993119999999</v>
      </c>
    </row>
    <row r="60" spans="2:10" ht="15.5" x14ac:dyDescent="0.3">
      <c r="B60" s="28" t="s">
        <v>658</v>
      </c>
      <c r="C60" s="20"/>
      <c r="D60" s="20"/>
      <c r="E60" s="13"/>
      <c r="F60" s="13"/>
      <c r="G60" s="13"/>
      <c r="H60" s="525"/>
      <c r="I60" s="525"/>
      <c r="J60" s="528"/>
    </row>
    <row r="61" spans="2:10" ht="15.5" x14ac:dyDescent="0.3">
      <c r="B61" s="510">
        <v>81</v>
      </c>
      <c r="C61" s="29" t="s">
        <v>635</v>
      </c>
      <c r="D61" s="23">
        <f>SUMIF('תקציב 2020'!B:B,'ריכוז לפי פרקים'!B61,'תקציב 2020'!G:G)/1000</f>
        <v>55735.807980000027</v>
      </c>
      <c r="E61" s="24">
        <f>SUMIF('תקציב 2020'!B:B,'ריכוז לפי פרקים'!B61,'תקציב 2020'!H:H)/1000</f>
        <v>54520.212570000003</v>
      </c>
      <c r="F61" s="24">
        <f>SUMIF('תקציב 2020'!B:B,'ריכוז לפי פרקים'!B61,'תקציב 2020'!I:I)/1000</f>
        <v>56667.615088319995</v>
      </c>
      <c r="G61" s="24">
        <f>SUMIF('תקציב 2020'!B:B,'ריכוז לפי פרקים'!B61,'תקציב 2020'!J:J)/1000</f>
        <v>55410.023412777708</v>
      </c>
      <c r="H61" s="24">
        <f>SUMIF('תקציב 2020'!B:B,'ריכוז לפי פרקים'!B61,'תקציב 2020'!K:K)/1000</f>
        <v>51729.075701725473</v>
      </c>
      <c r="I61" s="24">
        <f>SUMIF('תקציב 2020'!B:B,'ריכוז לפי פרקים'!B61,'תקציב 2020'!O:O)/1000</f>
        <v>56966.448197920014</v>
      </c>
      <c r="J61" s="509">
        <f>SUMIF('תקציב 2020'!B:B,'ריכוז לפי פרקים'!B61,'תקציב 2020'!S:S)/1000</f>
        <v>53799.297218333333</v>
      </c>
    </row>
    <row r="62" spans="2:10" ht="15.5" x14ac:dyDescent="0.3">
      <c r="B62" s="510">
        <v>82</v>
      </c>
      <c r="C62" s="29" t="s">
        <v>636</v>
      </c>
      <c r="D62" s="23">
        <f>SUMIF('תקציב 2020'!B:B,'ריכוז לפי פרקים'!B62,'תקציב 2020'!G:G)/1000</f>
        <v>5081.2649100000017</v>
      </c>
      <c r="E62" s="24">
        <f>SUMIF('תקציב 2020'!B:B,'ריכוז לפי פרקים'!B62,'תקציב 2020'!H:H)/1000</f>
        <v>5726.0161500000004</v>
      </c>
      <c r="F62" s="24">
        <f>SUMIF('תקציב 2020'!B:B,'ריכוז לפי פרקים'!B62,'תקציב 2020'!I:I)/1000</f>
        <v>5266.1634720000011</v>
      </c>
      <c r="G62" s="24">
        <f>SUMIF('תקציב 2020'!B:B,'ריכוז לפי פרקים'!B62,'תקציב 2020'!J:J)/1000</f>
        <v>6003.3784940250007</v>
      </c>
      <c r="H62" s="24">
        <f>SUMIF('תקציב 2020'!B:B,'ריכוז לפי פרקים'!B62,'תקציב 2020'!K:K)/1000</f>
        <v>5316.6365508764829</v>
      </c>
      <c r="I62" s="24">
        <f>SUMIF('תקציב 2020'!B:B,'ריכוז לפי פרקים'!B62,'תקציב 2020'!O:O)/1000</f>
        <v>5621.9053099999992</v>
      </c>
      <c r="J62" s="509">
        <f>SUMIF('תקציב 2020'!B:B,'ריכוז לפי פרקים'!B62,'תקציב 2020'!S:S)/1000</f>
        <v>6338.4758000000011</v>
      </c>
    </row>
    <row r="63" spans="2:10" ht="15.5" x14ac:dyDescent="0.3">
      <c r="B63" s="510">
        <v>83</v>
      </c>
      <c r="C63" s="29" t="s">
        <v>637</v>
      </c>
      <c r="D63" s="23">
        <f>SUMIF('תקציב 2020'!B:B,'ריכוז לפי פרקים'!B63,'תקציב 2020'!G:G)/1000</f>
        <v>274.73349999999999</v>
      </c>
      <c r="E63" s="24">
        <f>SUMIF('תקציב 2020'!B:B,'ריכוז לפי פרקים'!B63,'תקציב 2020'!H:H)/1000</f>
        <v>264.00400000000002</v>
      </c>
      <c r="F63" s="24">
        <f>SUMIF('תקציב 2020'!B:B,'ריכוז לפי פרקים'!B63,'תקציב 2020'!I:I)/1000</f>
        <v>293</v>
      </c>
      <c r="G63" s="24">
        <f>SUMIF('תקציב 2020'!B:B,'ריכוז לפי פרקים'!B63,'תקציב 2020'!J:J)/1000</f>
        <v>274.00400000000002</v>
      </c>
      <c r="H63" s="24">
        <f>SUMIF('תקציב 2020'!B:B,'ריכוז לפי פרקים'!B63,'תקציב 2020'!K:K)/1000</f>
        <v>264.00400000000002</v>
      </c>
      <c r="I63" s="24">
        <f>SUMIF('תקציב 2020'!B:B,'ריכוז לפי פרקים'!B63,'תקציב 2020'!O:O)/1000</f>
        <v>350.15735999999998</v>
      </c>
      <c r="J63" s="509">
        <f>SUMIF('תקציב 2020'!B:B,'ריכוז לפי פרקים'!B63,'תקציב 2020'!S:S)/1000</f>
        <v>350</v>
      </c>
    </row>
    <row r="64" spans="2:10" ht="15.5" x14ac:dyDescent="0.3">
      <c r="B64" s="510">
        <v>84</v>
      </c>
      <c r="C64" s="29" t="s">
        <v>638</v>
      </c>
      <c r="D64" s="23">
        <f>SUMIF('תקציב 2020'!B:B,'ריכוז לפי פרקים'!B64,'תקציב 2020'!G:G)/1000</f>
        <v>31305.663459999992</v>
      </c>
      <c r="E64" s="24">
        <f>SUMIF('תקציב 2020'!B:B,'ריכוז לפי פרקים'!B64,'תקציב 2020'!H:H)/1000</f>
        <v>31346.934160000001</v>
      </c>
      <c r="F64" s="24">
        <f>SUMIF('תקציב 2020'!B:B,'ריכוז לפי פרקים'!B64,'תקציב 2020'!I:I)/1000</f>
        <v>31978.014976719998</v>
      </c>
      <c r="G64" s="24">
        <f>SUMIF('תקציב 2020'!B:B,'ריכוז לפי פרקים'!B64,'תקציב 2020'!J:J)/1000</f>
        <v>31385.591309250001</v>
      </c>
      <c r="H64" s="24">
        <f>SUMIF('תקציב 2020'!B:B,'ריכוז לפי פרקים'!B64,'תקציב 2020'!K:K)/1000</f>
        <v>32051.638603698815</v>
      </c>
      <c r="I64" s="24">
        <f>SUMIF('תקציב 2020'!B:B,'ריכוז לפי פרקים'!B64,'תקציב 2020'!O:O)/1000</f>
        <v>32665.9084</v>
      </c>
      <c r="J64" s="509">
        <f>SUMIF('תקציב 2020'!B:B,'ריכוז לפי פרקים'!B64,'תקציב 2020'!S:S)/1000</f>
        <v>32622.868120000003</v>
      </c>
    </row>
    <row r="65" spans="2:10" ht="15.5" x14ac:dyDescent="0.3">
      <c r="B65" s="510">
        <v>85</v>
      </c>
      <c r="C65" s="29" t="s">
        <v>659</v>
      </c>
      <c r="D65" s="23">
        <f>SUMIF('תקציב 2020'!B:B,'ריכוז לפי פרקים'!B65,'תקציב 2020'!G:G)/1000</f>
        <v>1582.116</v>
      </c>
      <c r="E65" s="24">
        <f>SUMIF('תקציב 2020'!B:B,'ריכוז לפי פרקים'!B65,'תקציב 2020'!H:H)/1000</f>
        <v>1378.1179999999999</v>
      </c>
      <c r="F65" s="24">
        <f>SUMIF('תקציב 2020'!B:B,'ריכוז לפי פרקים'!B65,'תקציב 2020'!I:I)/1000</f>
        <v>1378.6320000000001</v>
      </c>
      <c r="G65" s="24">
        <f>SUMIF('תקציב 2020'!B:B,'ריכוז לפי פרקים'!B65,'תקציב 2020'!J:J)/1000</f>
        <v>1378.1179999999999</v>
      </c>
      <c r="H65" s="24">
        <f>SUMIF('תקציב 2020'!B:B,'ריכוז לפי פרקים'!B65,'תקציב 2020'!K:K)/1000</f>
        <v>1582.1179999999999</v>
      </c>
      <c r="I65" s="24">
        <f>SUMIF('תקציב 2020'!B:B,'ריכוז לפי פרקים'!B65,'תקציב 2020'!O:O)/1000</f>
        <v>1378.6320000000001</v>
      </c>
      <c r="J65" s="509">
        <f>SUMIF('תקציב 2020'!B:B,'ריכוז לפי פרקים'!B65,'תקציב 2020'!S:S)/1000</f>
        <v>1378.1179999999999</v>
      </c>
    </row>
    <row r="66" spans="2:10" ht="15.5" x14ac:dyDescent="0.3">
      <c r="B66" s="510">
        <v>86</v>
      </c>
      <c r="C66" s="29" t="s">
        <v>665</v>
      </c>
      <c r="D66" s="23">
        <f>SUMIF('תקציב 2020'!B:B,'ריכוז לפי פרקים'!B66,'תקציב 2020'!G:G)/1000</f>
        <v>875.5894199999999</v>
      </c>
      <c r="E66" s="24">
        <f>SUMIF('תקציב 2020'!B:B,'ריכוז לפי פרקים'!B66,'תקציב 2020'!H:H)/1000</f>
        <v>469.22571000000005</v>
      </c>
      <c r="F66" s="24">
        <f>SUMIF('תקציב 2020'!B:B,'ריכוז לפי פרקים'!B66,'תקציב 2020'!I:I)/1000</f>
        <v>213.68159999999997</v>
      </c>
      <c r="G66" s="24">
        <f>SUMIF('תקציב 2020'!B:B,'ריכוז לפי פרקים'!B66,'תקציב 2020'!J:J)/1000</f>
        <v>377.05096420000001</v>
      </c>
      <c r="H66" s="24">
        <f>SUMIF('תקציב 2020'!B:B,'ריכוז לפי פרקים'!B66,'תקציב 2020'!K:K)/1000</f>
        <v>470.72791057772383</v>
      </c>
      <c r="I66" s="24">
        <f>SUMIF('תקציב 2020'!B:B,'ריכוז לפי פרקים'!B66,'תקציב 2020'!O:O)/1000</f>
        <v>194.09021999999999</v>
      </c>
      <c r="J66" s="509">
        <f>SUMIF('תקציב 2020'!B:B,'ריכוז לפי פרקים'!B66,'תקציב 2020'!S:S)/1000</f>
        <v>307.63600000000002</v>
      </c>
    </row>
    <row r="67" spans="2:10" ht="15.5" x14ac:dyDescent="0.3">
      <c r="B67" s="510">
        <v>87</v>
      </c>
      <c r="C67" s="29" t="s">
        <v>571</v>
      </c>
      <c r="D67" s="23">
        <f>SUMIF('תקציב 2020'!B:B,'ריכוז לפי פרקים'!B67,'תקציב 2020'!G:G)/1000</f>
        <v>674.78814999999997</v>
      </c>
      <c r="E67" s="24">
        <f>SUMIF('תקציב 2020'!B:B,'ריכוז לפי פרקים'!B67,'תקציב 2020'!H:H)/1000</f>
        <v>709.33051</v>
      </c>
      <c r="F67" s="24">
        <f>SUMIF('תקציב 2020'!B:B,'ריכוז לפי פרקים'!B67,'תקציב 2020'!I:I)/1000</f>
        <v>1106.2255439999999</v>
      </c>
      <c r="G67" s="24">
        <f>SUMIF('תקציב 2020'!B:B,'ריכוז לפי פרקים'!B67,'תקציב 2020'!J:J)/1000</f>
        <v>1179.8457255999997</v>
      </c>
      <c r="H67" s="24">
        <f>SUMIF('תקציב 2020'!B:B,'ריכוז לפי פרקים'!B67,'תקציב 2020'!K:K)/1000</f>
        <v>719.9489801053362</v>
      </c>
      <c r="I67" s="24">
        <f>SUMIF('תקציב 2020'!B:B,'ריכוז לפי פרקים'!B67,'תקציב 2020'!O:O)/1000</f>
        <v>1103.334944</v>
      </c>
      <c r="J67" s="509">
        <f>SUMIF('תקציב 2020'!B:B,'ריכוז לפי פרקים'!B67,'תקציב 2020'!S:S)/1000</f>
        <v>1156.2876400000002</v>
      </c>
    </row>
    <row r="68" spans="2:10" ht="14" x14ac:dyDescent="0.3">
      <c r="B68" s="515" t="s">
        <v>639</v>
      </c>
      <c r="C68" s="511"/>
      <c r="D68" s="512">
        <f t="shared" ref="D68:J68" si="8">SUM(D61:D67)</f>
        <v>95529.963420000015</v>
      </c>
      <c r="E68" s="512">
        <f t="shared" si="8"/>
        <v>94413.841100000005</v>
      </c>
      <c r="F68" s="512">
        <f t="shared" si="8"/>
        <v>96903.332681039989</v>
      </c>
      <c r="G68" s="512">
        <f t="shared" si="8"/>
        <v>96008.011905852705</v>
      </c>
      <c r="H68" s="512">
        <f t="shared" si="8"/>
        <v>92134.149746983836</v>
      </c>
      <c r="I68" s="512">
        <f t="shared" si="8"/>
        <v>98280.476431920019</v>
      </c>
      <c r="J68" s="516">
        <f t="shared" si="8"/>
        <v>95952.682778333328</v>
      </c>
    </row>
    <row r="69" spans="2:10" ht="15.5" x14ac:dyDescent="0.3">
      <c r="B69" s="28" t="s">
        <v>660</v>
      </c>
      <c r="C69" s="20"/>
      <c r="D69" s="20"/>
      <c r="E69" s="13"/>
      <c r="F69" s="13"/>
      <c r="G69" s="13"/>
      <c r="H69" s="525"/>
      <c r="I69" s="525"/>
      <c r="J69" s="528"/>
    </row>
    <row r="70" spans="2:10" ht="15.5" x14ac:dyDescent="0.3">
      <c r="B70" s="510">
        <v>93</v>
      </c>
      <c r="C70" s="29" t="s">
        <v>661</v>
      </c>
      <c r="D70" s="23">
        <f>SUMIF('תקציב 2020'!B:B,'ריכוז לפי פרקים'!B70,'תקציב 2020'!G:G)/1000</f>
        <v>36.552879999999995</v>
      </c>
      <c r="E70" s="24">
        <f>SUMIF('תקציב 2020'!B:B,'ריכוז לפי פרקים'!B70,'תקציב 2020'!H:H)/1000</f>
        <v>50</v>
      </c>
      <c r="F70" s="24">
        <f>SUMIF('תקציב 2020'!B:B,'ריכוז לפי פרקים'!B70,'תקציב 2020'!I:I)/1000</f>
        <v>31.898400000000002</v>
      </c>
      <c r="G70" s="24">
        <f>SUMIF('תקציב 2020'!B:B,'ריכוז לפי פרקים'!B70,'תקציב 2020'!J:J)/1000</f>
        <v>49.723999999999997</v>
      </c>
      <c r="H70" s="24">
        <f>SUMIF('תקציב 2020'!B:B,'ריכוז לפי פרקים'!B70,'תקציב 2020'!K:K)/1000</f>
        <v>50</v>
      </c>
      <c r="I70" s="24">
        <f>SUMIF('תקציב 2020'!B:B,'ריכוז לפי פרקים'!B70,'תקציב 2020'!O:O)/1000</f>
        <v>34.475169999999999</v>
      </c>
      <c r="J70" s="509">
        <f>SUMIF('תקציב 2020'!B:B,'ריכוז לפי פרקים'!B70,'תקציב 2020'!S:S)/1000</f>
        <v>35</v>
      </c>
    </row>
    <row r="71" spans="2:10" ht="15.5" x14ac:dyDescent="0.3">
      <c r="B71" s="510">
        <v>97</v>
      </c>
      <c r="C71" s="29" t="s">
        <v>642</v>
      </c>
      <c r="D71" s="23">
        <f>SUMIF('תקציב 2020'!B:B,'ריכוז לפי פרקים'!B71,'תקציב 2020'!G:G)/1000</f>
        <v>851.05069000000003</v>
      </c>
      <c r="E71" s="24">
        <f>SUMIF('תקציב 2020'!B:B,'ריכוז לפי פרקים'!B71,'תקציב 2020'!H:H)/1000</f>
        <v>896.70495999999991</v>
      </c>
      <c r="F71" s="24">
        <f>SUMIF('תקציב 2020'!B:B,'ריכוז לפי פרקים'!B71,'תקציב 2020'!I:I)/1000</f>
        <v>968.38343999999995</v>
      </c>
      <c r="G71" s="24">
        <f>SUMIF('תקציב 2020'!B:B,'ריכוז לפי פרקים'!B71,'תקציב 2020'!J:J)/1000</f>
        <v>66.16</v>
      </c>
      <c r="H71" s="24">
        <f>SUMIF('תקציב 2020'!B:B,'ריכוז לפי פרקים'!B71,'תקציב 2020'!K:K)/1000</f>
        <v>75</v>
      </c>
      <c r="I71" s="24">
        <f>SUMIF('תקציב 2020'!B:B,'ריכוז לפי פרקים'!B71,'תקציב 2020'!O:O)/1000</f>
        <v>815.48</v>
      </c>
      <c r="J71" s="509">
        <f>SUMIF('תקציב 2020'!B:B,'ריכוז לפי פרקים'!B71,'תקציב 2020'!S:S)/1000</f>
        <v>55</v>
      </c>
    </row>
    <row r="72" spans="2:10" ht="15.5" x14ac:dyDescent="0.3">
      <c r="B72" s="510">
        <v>99</v>
      </c>
      <c r="C72" s="29" t="s">
        <v>662</v>
      </c>
      <c r="D72" s="23">
        <f>SUMIF('תקציב 2020'!B:B,'ריכוז לפי פרקים'!B72,'תקציב 2020'!G:G)/1000</f>
        <v>40400.735810000006</v>
      </c>
      <c r="E72" s="24">
        <f>SUMIF('תקציב 2020'!B:B,'ריכוז לפי פרקים'!B72,'תקציב 2020'!H:H)/1000</f>
        <v>53710.084320000002</v>
      </c>
      <c r="F72" s="24">
        <f>SUMIF('תקציב 2020'!B:B,'ריכוז לפי פרקים'!B72,'תקציב 2020'!I:I)/1000</f>
        <v>46765.972307999997</v>
      </c>
      <c r="G72" s="24">
        <f>SUMIF('תקציב 2020'!B:B,'ריכוז לפי פרקים'!B72,'תקציב 2020'!J:J)/1000</f>
        <v>40740.181448721691</v>
      </c>
      <c r="H72" s="24">
        <f>SUMIF('תקציב 2020'!B:B,'ריכוז לפי פרקים'!B72,'תקציב 2020'!K:K)/1000</f>
        <v>40395.835759816531</v>
      </c>
      <c r="I72" s="24">
        <f>SUMIF('תקציב 2020'!B:B,'ריכוז לפי פרקים'!B72,'תקציב 2020'!O:O)/1000</f>
        <v>46939.091489999999</v>
      </c>
      <c r="J72" s="509">
        <f>SUMIF('תקציב 2020'!B:B,'ריכוז לפי פרקים'!B72,'תקציב 2020'!S:S)/1000</f>
        <v>49531.701540000038</v>
      </c>
    </row>
    <row r="73" spans="2:10" ht="14" x14ac:dyDescent="0.3">
      <c r="B73" s="515" t="s">
        <v>643</v>
      </c>
      <c r="C73" s="511"/>
      <c r="D73" s="512">
        <f t="shared" ref="D73:J73" si="9">SUM(D70:D72)</f>
        <v>41288.339380000005</v>
      </c>
      <c r="E73" s="512">
        <f t="shared" si="9"/>
        <v>54656.789280000005</v>
      </c>
      <c r="F73" s="512">
        <f t="shared" si="9"/>
        <v>47766.254148</v>
      </c>
      <c r="G73" s="512">
        <f t="shared" si="9"/>
        <v>40856.065448721689</v>
      </c>
      <c r="H73" s="512">
        <f t="shared" si="9"/>
        <v>40520.835759816531</v>
      </c>
      <c r="I73" s="512">
        <f t="shared" si="9"/>
        <v>47789.04666</v>
      </c>
      <c r="J73" s="516">
        <f t="shared" si="9"/>
        <v>49621.701540000038</v>
      </c>
    </row>
    <row r="74" spans="2:10" ht="14.5" thickBot="1" x14ac:dyDescent="0.35">
      <c r="B74" s="517" t="s">
        <v>663</v>
      </c>
      <c r="C74" s="518"/>
      <c r="D74" s="519">
        <f t="shared" ref="D74:J74" si="10">D73+D68+D59+D49</f>
        <v>192272.56862000001</v>
      </c>
      <c r="E74" s="519">
        <f t="shared" si="10"/>
        <v>206576.17241</v>
      </c>
      <c r="F74" s="519">
        <f t="shared" si="10"/>
        <v>204129.63987176001</v>
      </c>
      <c r="G74" s="519">
        <f t="shared" si="10"/>
        <v>193005.45950061156</v>
      </c>
      <c r="H74" s="519">
        <f t="shared" si="10"/>
        <v>183975.95021253306</v>
      </c>
      <c r="I74" s="519">
        <f t="shared" si="10"/>
        <v>203577.07973192001</v>
      </c>
      <c r="J74" s="520">
        <f t="shared" si="10"/>
        <v>199231.17834034393</v>
      </c>
    </row>
    <row r="75" spans="2:10" ht="13.5" thickBot="1" x14ac:dyDescent="0.35">
      <c r="B75" s="12"/>
      <c r="C75" s="13"/>
      <c r="D75" s="13"/>
      <c r="E75" s="13"/>
      <c r="F75" s="13"/>
      <c r="G75" s="13"/>
      <c r="H75" s="13"/>
      <c r="I75" s="13"/>
      <c r="J75" s="529"/>
    </row>
    <row r="76" spans="2:10" ht="14.5" thickBot="1" x14ac:dyDescent="0.35">
      <c r="B76" s="8" t="s">
        <v>664</v>
      </c>
      <c r="C76" s="9"/>
      <c r="D76" s="21">
        <f t="shared" ref="D76:J76" si="11">D38-D74</f>
        <v>-12509.130119999987</v>
      </c>
      <c r="E76" s="21">
        <f t="shared" si="11"/>
        <v>-17957.896479999996</v>
      </c>
      <c r="F76" s="21">
        <f t="shared" si="11"/>
        <v>-14167.304759760009</v>
      </c>
      <c r="G76" s="22">
        <f t="shared" si="11"/>
        <v>-6678.1674911597802</v>
      </c>
      <c r="H76" s="22">
        <f t="shared" si="11"/>
        <v>-3260.312115786277</v>
      </c>
      <c r="I76" s="22">
        <f t="shared" si="11"/>
        <v>-13813.168553920026</v>
      </c>
      <c r="J76" s="22">
        <f t="shared" si="11"/>
        <v>-8598.6076156689087</v>
      </c>
    </row>
    <row r="77" spans="2:10" x14ac:dyDescent="0.3">
      <c r="B77" s="14"/>
      <c r="C77" s="14"/>
      <c r="D77" s="14"/>
      <c r="E77" s="14"/>
      <c r="F77" s="14"/>
      <c r="G77" s="14"/>
      <c r="H77" s="15"/>
      <c r="I77" s="15"/>
      <c r="J77" s="15"/>
    </row>
    <row r="78" spans="2:10" x14ac:dyDescent="0.3">
      <c r="B78" s="14"/>
      <c r="C78" s="14"/>
      <c r="D78" s="14"/>
      <c r="E78" s="14"/>
      <c r="F78" s="14"/>
      <c r="G78" s="14"/>
      <c r="H78" s="15"/>
      <c r="I78" s="15"/>
      <c r="J78" s="15"/>
    </row>
    <row r="84" spans="6:6" x14ac:dyDescent="0.3">
      <c r="F84" s="18"/>
    </row>
  </sheetData>
  <mergeCells count="4">
    <mergeCell ref="B41:H41"/>
    <mergeCell ref="B5:J5"/>
    <mergeCell ref="B42:J42"/>
    <mergeCell ref="B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3" orientation="landscape" useFirstPageNumber="1" r:id="rId1"/>
  <headerFooter>
    <oddHeader>&amp;C&amp;"David,מודגש"&amp;16עיריית קריית שמונה
הצעת תקציב לשנת 2020</oddHead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130"/>
  <sheetViews>
    <sheetView rightToLeft="1" view="pageBreakPreview" zoomScale="85" zoomScaleNormal="100" zoomScaleSheetLayoutView="85" workbookViewId="0">
      <selection activeCell="C159" sqref="C159"/>
    </sheetView>
  </sheetViews>
  <sheetFormatPr defaultColWidth="9" defaultRowHeight="15.5" x14ac:dyDescent="0.35"/>
  <cols>
    <col min="1" max="3" width="9" style="38"/>
    <col min="4" max="4" width="27.58203125" style="38" customWidth="1"/>
    <col min="5" max="5" width="10.75" style="38" customWidth="1"/>
    <col min="6" max="6" width="13.75" style="38" customWidth="1"/>
    <col min="7" max="16384" width="9" style="38"/>
  </cols>
  <sheetData>
    <row r="5" spans="4:7" ht="18" x14ac:dyDescent="0.4">
      <c r="D5" s="541" t="s">
        <v>677</v>
      </c>
      <c r="E5" s="541"/>
      <c r="F5" s="541"/>
      <c r="G5" s="541"/>
    </row>
    <row r="7" spans="4:7" x14ac:dyDescent="0.35">
      <c r="D7" s="40" t="s">
        <v>678</v>
      </c>
      <c r="E7" s="40" t="s">
        <v>680</v>
      </c>
      <c r="F7" s="40"/>
      <c r="G7" s="40" t="s">
        <v>681</v>
      </c>
    </row>
    <row r="8" spans="4:7" x14ac:dyDescent="0.35">
      <c r="F8" s="41"/>
    </row>
    <row r="9" spans="4:7" x14ac:dyDescent="0.35">
      <c r="D9" s="38" t="s">
        <v>708</v>
      </c>
      <c r="E9" s="42">
        <f>'ריכוז תקציב 2020'!J21/1000-גרפים!E10</f>
        <v>94542.648053333338</v>
      </c>
      <c r="F9" s="43"/>
      <c r="G9" s="44">
        <f>E9/E12</f>
        <v>0.49594173594751811</v>
      </c>
    </row>
    <row r="10" spans="4:7" ht="16" thickBot="1" x14ac:dyDescent="0.4">
      <c r="D10" s="38" t="s">
        <v>679</v>
      </c>
      <c r="E10" s="45">
        <f>('ריכוז תקציב 2020'!J11+'ריכוז תקציב 2020'!J12+'ריכוז תקציב 2020'!J13+'ריכוז תקציב 2020'!J14+'ריכוז תקציב 2020'!J15+'ריכוז תקציב 2020'!J16)/1000</f>
        <v>96089.922671341657</v>
      </c>
      <c r="F10" s="43"/>
      <c r="G10" s="46">
        <f>E10/E12</f>
        <v>0.50405826405248189</v>
      </c>
    </row>
    <row r="11" spans="4:7" x14ac:dyDescent="0.35">
      <c r="F11" s="41"/>
    </row>
    <row r="12" spans="4:7" ht="16" thickBot="1" x14ac:dyDescent="0.4">
      <c r="D12" s="47" t="s">
        <v>616</v>
      </c>
      <c r="E12" s="48">
        <f>SUM(E9:E10)</f>
        <v>190632.570724675</v>
      </c>
      <c r="F12" s="49"/>
      <c r="G12" s="50">
        <f>SUM(G9:G10)</f>
        <v>1</v>
      </c>
    </row>
    <row r="13" spans="4:7" ht="16" thickTop="1" x14ac:dyDescent="0.35"/>
    <row r="39" spans="4:7" ht="18" x14ac:dyDescent="0.4">
      <c r="D39" s="541" t="s">
        <v>682</v>
      </c>
      <c r="E39" s="541"/>
      <c r="F39" s="541"/>
      <c r="G39" s="541"/>
    </row>
    <row r="41" spans="4:7" x14ac:dyDescent="0.35">
      <c r="D41" s="40" t="s">
        <v>678</v>
      </c>
      <c r="E41" s="40" t="s">
        <v>680</v>
      </c>
      <c r="F41" s="51"/>
      <c r="G41" s="40" t="s">
        <v>681</v>
      </c>
    </row>
    <row r="42" spans="4:7" x14ac:dyDescent="0.35">
      <c r="F42" s="41"/>
    </row>
    <row r="43" spans="4:7" x14ac:dyDescent="0.35">
      <c r="D43" s="38" t="s">
        <v>2</v>
      </c>
      <c r="E43" s="42">
        <f>'ריכוז תקציב 2020'!J6/1000</f>
        <v>51967.526399999995</v>
      </c>
      <c r="F43" s="43"/>
      <c r="G43" s="44">
        <f t="shared" ref="G43:G49" si="0">E43/$E$51</f>
        <v>0.272605705323332</v>
      </c>
    </row>
    <row r="44" spans="4:7" x14ac:dyDescent="0.35">
      <c r="D44" s="38" t="s">
        <v>3554</v>
      </c>
      <c r="E44" s="42">
        <f>E51-E43-E45-E46-E47-E48-E49</f>
        <v>42575.121653333335</v>
      </c>
      <c r="F44" s="43"/>
      <c r="G44" s="44">
        <f t="shared" si="0"/>
        <v>0.22333603062418608</v>
      </c>
    </row>
    <row r="45" spans="4:7" x14ac:dyDescent="0.35">
      <c r="D45" s="38" t="s">
        <v>683</v>
      </c>
      <c r="E45" s="42">
        <f>'ריכוז תקציב 2020'!J11/1000</f>
        <v>29028.041666666664</v>
      </c>
      <c r="F45" s="43"/>
      <c r="G45" s="44">
        <f t="shared" si="0"/>
        <v>0.15227220383336806</v>
      </c>
    </row>
    <row r="46" spans="4:7" x14ac:dyDescent="0.35">
      <c r="D46" s="38" t="s">
        <v>684</v>
      </c>
      <c r="E46" s="42">
        <f>'ריכוז תקציב 2020'!J12/1000</f>
        <v>24367.673004675002</v>
      </c>
      <c r="F46" s="43"/>
      <c r="G46" s="44">
        <f t="shared" si="0"/>
        <v>0.1278253391434799</v>
      </c>
    </row>
    <row r="47" spans="4:7" x14ac:dyDescent="0.35">
      <c r="D47" s="38" t="s">
        <v>685</v>
      </c>
      <c r="E47" s="42">
        <f>'ריכוז תקציב 2020'!J15/1000</f>
        <v>29979</v>
      </c>
      <c r="F47" s="43"/>
      <c r="G47" s="44">
        <f t="shared" si="0"/>
        <v>0.15726063959604147</v>
      </c>
    </row>
    <row r="48" spans="4:7" x14ac:dyDescent="0.35">
      <c r="D48" s="38" t="s">
        <v>5</v>
      </c>
      <c r="E48" s="42">
        <f>'ריכוז תקציב 2020'!J14/1000+'ריכוז תקציב 2020'!J16/1000</f>
        <v>7940.866</v>
      </c>
      <c r="F48" s="43"/>
      <c r="G48" s="44">
        <f t="shared" si="0"/>
        <v>4.1655347613544794E-2</v>
      </c>
    </row>
    <row r="49" spans="4:7" ht="16" thickBot="1" x14ac:dyDescent="0.4">
      <c r="D49" s="38" t="s">
        <v>686</v>
      </c>
      <c r="E49" s="45">
        <f>'ריכוז תקציב 2020'!J13/1000</f>
        <v>4774.3419999999996</v>
      </c>
      <c r="F49" s="43"/>
      <c r="G49" s="46">
        <f t="shared" si="0"/>
        <v>2.5044733866047691E-2</v>
      </c>
    </row>
    <row r="50" spans="4:7" x14ac:dyDescent="0.35">
      <c r="F50" s="41"/>
    </row>
    <row r="51" spans="4:7" ht="16" thickBot="1" x14ac:dyDescent="0.4">
      <c r="D51" s="47" t="s">
        <v>616</v>
      </c>
      <c r="E51" s="48">
        <f>'ריכוז תקציב 2020'!J21/1000</f>
        <v>190632.570724675</v>
      </c>
      <c r="F51" s="49"/>
      <c r="G51" s="52">
        <f>SUM(G43:G49)</f>
        <v>1.0000000000000002</v>
      </c>
    </row>
    <row r="52" spans="4:7" ht="16" thickTop="1" x14ac:dyDescent="0.35"/>
    <row r="82" spans="4:7" ht="18" x14ac:dyDescent="0.4">
      <c r="D82" s="541" t="s">
        <v>687</v>
      </c>
      <c r="E82" s="541"/>
      <c r="F82" s="541"/>
      <c r="G82" s="541"/>
    </row>
    <row r="84" spans="4:7" x14ac:dyDescent="0.35">
      <c r="D84" s="40" t="s">
        <v>678</v>
      </c>
      <c r="E84" s="53" t="s">
        <v>680</v>
      </c>
      <c r="F84" s="54"/>
      <c r="G84" s="53" t="s">
        <v>681</v>
      </c>
    </row>
    <row r="85" spans="4:7" x14ac:dyDescent="0.35">
      <c r="F85" s="41"/>
    </row>
    <row r="86" spans="4:7" x14ac:dyDescent="0.35">
      <c r="D86" s="38" t="s">
        <v>583</v>
      </c>
      <c r="E86" s="42">
        <f>('ריכוז תקציב 2020'!J24+'ריכוז תקציב 2020'!J27+'ריכוז תקציב 2020'!J29+'ריכוז תקציב 2020'!J30)/1000</f>
        <v>86185.933382010626</v>
      </c>
      <c r="F86" s="43"/>
      <c r="G86" s="44">
        <f>E86/$E$92</f>
        <v>0.43259259971238212</v>
      </c>
    </row>
    <row r="87" spans="4:7" x14ac:dyDescent="0.35">
      <c r="D87" s="38" t="s">
        <v>688</v>
      </c>
      <c r="E87" s="42">
        <f>E92-E86-E89-E90-E88</f>
        <v>103744.07095833334</v>
      </c>
      <c r="F87" s="43"/>
      <c r="G87" s="44">
        <f>E87/$E$92</f>
        <v>0.52072206680978783</v>
      </c>
    </row>
    <row r="88" spans="4:7" x14ac:dyDescent="0.35">
      <c r="D88" s="38" t="s">
        <v>3555</v>
      </c>
      <c r="E88" s="42">
        <f>'ריכוז תקציב 2020'!J36/1000</f>
        <v>6577.174</v>
      </c>
      <c r="F88" s="43"/>
      <c r="G88" s="44">
        <f>E88/$E$92</f>
        <v>3.3012774681100872E-2</v>
      </c>
    </row>
    <row r="89" spans="4:7" x14ac:dyDescent="0.35">
      <c r="D89" s="38" t="s">
        <v>300</v>
      </c>
      <c r="E89" s="42">
        <f>(+'ריכוז תקציב 2020'!J32+'ריכוז תקציב 2020'!J33)/1000</f>
        <v>1872</v>
      </c>
      <c r="F89" s="43"/>
      <c r="G89" s="44">
        <f>E89/$E$92</f>
        <v>9.3961197017170036E-3</v>
      </c>
    </row>
    <row r="90" spans="4:7" ht="16" thickBot="1" x14ac:dyDescent="0.4">
      <c r="D90" s="38" t="s">
        <v>19</v>
      </c>
      <c r="E90" s="45">
        <f>+'ריכוז תקציב 2020'!J34/1000</f>
        <v>852</v>
      </c>
      <c r="F90" s="43"/>
      <c r="G90" s="46">
        <f>E90/$E$92</f>
        <v>4.2764390950122263E-3</v>
      </c>
    </row>
    <row r="91" spans="4:7" x14ac:dyDescent="0.35">
      <c r="F91" s="41"/>
    </row>
    <row r="92" spans="4:7" ht="16" thickBot="1" x14ac:dyDescent="0.4">
      <c r="D92" s="47" t="s">
        <v>618</v>
      </c>
      <c r="E92" s="48">
        <f>'ריכוז תקציב 2020'!J38/1000</f>
        <v>199231.17834034396</v>
      </c>
      <c r="F92" s="49"/>
      <c r="G92" s="52">
        <f>SUM(G86:G90)</f>
        <v>1</v>
      </c>
    </row>
    <row r="93" spans="4:7" ht="16" thickTop="1" x14ac:dyDescent="0.35">
      <c r="E93" s="55"/>
      <c r="F93" s="55"/>
      <c r="G93" s="56"/>
    </row>
    <row r="94" spans="4:7" x14ac:dyDescent="0.35">
      <c r="E94" s="55"/>
      <c r="F94" s="55"/>
      <c r="G94" s="56"/>
    </row>
    <row r="95" spans="4:7" x14ac:dyDescent="0.35">
      <c r="E95" s="55"/>
      <c r="F95" s="55"/>
      <c r="G95" s="56"/>
    </row>
    <row r="96" spans="4:7" x14ac:dyDescent="0.35">
      <c r="E96" s="55"/>
      <c r="F96" s="55"/>
      <c r="G96" s="56"/>
    </row>
    <row r="119" spans="4:7" ht="18" x14ac:dyDescent="0.4">
      <c r="D119" s="541" t="s">
        <v>689</v>
      </c>
      <c r="E119" s="541"/>
      <c r="F119" s="541"/>
      <c r="G119" s="541"/>
    </row>
    <row r="121" spans="4:7" x14ac:dyDescent="0.35">
      <c r="D121" s="40" t="s">
        <v>678</v>
      </c>
      <c r="E121" s="53" t="s">
        <v>680</v>
      </c>
      <c r="F121" s="54"/>
      <c r="G121" s="53" t="s">
        <v>681</v>
      </c>
    </row>
    <row r="122" spans="4:7" x14ac:dyDescent="0.35">
      <c r="F122" s="41"/>
    </row>
    <row r="123" spans="4:7" x14ac:dyDescent="0.35">
      <c r="D123" s="38" t="s">
        <v>690</v>
      </c>
      <c r="E123" s="42">
        <f>'ריכוז לפי פרקים'!J45+'ריכוז לפי פרקים'!J46</f>
        <v>15504.800902010582</v>
      </c>
      <c r="F123" s="43"/>
      <c r="G123" s="44">
        <f>E123/$E$92</f>
        <v>7.7823165185139528E-2</v>
      </c>
    </row>
    <row r="124" spans="4:7" x14ac:dyDescent="0.35">
      <c r="D124" s="38" t="s">
        <v>691</v>
      </c>
      <c r="E124" s="42">
        <f>'ריכוז לפי פרקים'!J59</f>
        <v>35427.993119999999</v>
      </c>
      <c r="F124" s="43"/>
      <c r="G124" s="44">
        <f>E124/$E$92</f>
        <v>0.17782353854013166</v>
      </c>
    </row>
    <row r="125" spans="4:7" x14ac:dyDescent="0.35">
      <c r="D125" s="38" t="s">
        <v>692</v>
      </c>
      <c r="E125" s="42">
        <f>'ריכוז לפי פרקים'!J68</f>
        <v>95952.682778333328</v>
      </c>
      <c r="F125" s="43"/>
      <c r="G125" s="44">
        <f>E125/$E$92</f>
        <v>0.48161479331522417</v>
      </c>
    </row>
    <row r="126" spans="4:7" x14ac:dyDescent="0.35">
      <c r="D126" s="38" t="s">
        <v>693</v>
      </c>
      <c r="E126" s="43">
        <f>'ריכוז לפי פרקים'!J73</f>
        <v>49621.701540000038</v>
      </c>
      <c r="F126" s="43"/>
      <c r="G126" s="44">
        <f>E126/$E$92</f>
        <v>0.2490659441627753</v>
      </c>
    </row>
    <row r="127" spans="4:7" ht="16" thickBot="1" x14ac:dyDescent="0.4">
      <c r="D127" s="38" t="s">
        <v>694</v>
      </c>
      <c r="E127" s="45">
        <f>'ריכוז לפי פרקים'!J47+'ריכוז לפי פרקים'!J48</f>
        <v>2724</v>
      </c>
      <c r="F127" s="43"/>
      <c r="G127" s="46">
        <f>E127/$E$92</f>
        <v>1.3672558796729231E-2</v>
      </c>
    </row>
    <row r="128" spans="4:7" x14ac:dyDescent="0.35">
      <c r="F128" s="41"/>
    </row>
    <row r="129" spans="4:7" ht="16" thickBot="1" x14ac:dyDescent="0.4">
      <c r="D129" s="47" t="s">
        <v>618</v>
      </c>
      <c r="E129" s="48">
        <f>SUM(E123:E127)</f>
        <v>199231.17834034393</v>
      </c>
      <c r="F129" s="49"/>
      <c r="G129" s="52">
        <f>SUM(G123:G127)</f>
        <v>0.99999999999999989</v>
      </c>
    </row>
    <row r="130" spans="4:7" ht="16" thickTop="1" x14ac:dyDescent="0.35"/>
  </sheetData>
  <mergeCells count="4">
    <mergeCell ref="D5:G5"/>
    <mergeCell ref="D39:G39"/>
    <mergeCell ref="D82:G82"/>
    <mergeCell ref="D119:G11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&amp;C&amp;"David,מודגש"&amp;16עיריית קריית שמונה
הצעת תקציב לשנת 2020</oddHeader>
    <oddFooter>עמוד &amp;P מתוך &amp;N</oddFooter>
  </headerFooter>
  <rowBreaks count="3" manualBreakCount="3">
    <brk id="34" max="16383" man="1"/>
    <brk id="77" max="16383" man="1"/>
    <brk id="11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97"/>
  <sheetViews>
    <sheetView rightToLeft="1" tabSelected="1" view="pageBreakPreview" zoomScale="50" zoomScaleNormal="70" zoomScaleSheetLayoutView="50" workbookViewId="0">
      <pane ySplit="1" topLeftCell="A644" activePane="bottomLeft" state="frozen"/>
      <selection activeCell="F1" sqref="F1"/>
      <selection pane="bottomLeft" activeCell="W650" sqref="W650"/>
    </sheetView>
  </sheetViews>
  <sheetFormatPr defaultColWidth="9" defaultRowHeight="27.5" x14ac:dyDescent="0.55000000000000004"/>
  <cols>
    <col min="1" max="1" width="21.33203125" style="74" customWidth="1"/>
    <col min="2" max="2" width="10.83203125" style="75" customWidth="1"/>
    <col min="3" max="3" width="40.08203125" style="74" customWidth="1"/>
    <col min="4" max="4" width="15.08203125" style="74" customWidth="1"/>
    <col min="5" max="5" width="18.33203125" style="74" hidden="1" customWidth="1"/>
    <col min="6" max="6" width="35.75" style="74" customWidth="1"/>
    <col min="7" max="7" width="19.75" style="76" hidden="1" customWidth="1"/>
    <col min="8" max="8" width="21.58203125" style="76" customWidth="1"/>
    <col min="9" max="10" width="21.58203125" style="76" hidden="1" customWidth="1"/>
    <col min="11" max="11" width="23.83203125" style="76" hidden="1" customWidth="1"/>
    <col min="12" max="12" width="17.08203125" style="77" hidden="1" customWidth="1"/>
    <col min="13" max="13" width="15.08203125" style="77" hidden="1" customWidth="1"/>
    <col min="14" max="14" width="21.08203125" style="77" hidden="1" customWidth="1"/>
    <col min="15" max="15" width="22.08203125" style="76" customWidth="1"/>
    <col min="16" max="16" width="23.58203125" style="76" hidden="1" customWidth="1"/>
    <col min="17" max="17" width="15.25" style="76" hidden="1" customWidth="1"/>
    <col min="18" max="18" width="14.08203125" style="76" hidden="1" customWidth="1"/>
    <col min="19" max="19" width="31.58203125" style="76" customWidth="1"/>
    <col min="20" max="22" width="31.58203125" style="395" hidden="1" customWidth="1"/>
    <col min="23" max="23" width="84.33203125" style="153" customWidth="1"/>
    <col min="24" max="24" width="68.08203125" style="239" customWidth="1"/>
    <col min="25" max="25" width="9" style="239" customWidth="1"/>
    <col min="26" max="16384" width="9" style="239"/>
  </cols>
  <sheetData>
    <row r="1" spans="1:24" ht="84.75" customHeight="1" thickBot="1" x14ac:dyDescent="0.35">
      <c r="A1" s="458" t="s">
        <v>0</v>
      </c>
      <c r="B1" s="57" t="s">
        <v>612</v>
      </c>
      <c r="C1" s="458" t="s">
        <v>34</v>
      </c>
      <c r="D1" s="57" t="s">
        <v>31</v>
      </c>
      <c r="E1" s="57" t="s">
        <v>709</v>
      </c>
      <c r="F1" s="458" t="s">
        <v>34</v>
      </c>
      <c r="G1" s="57" t="s">
        <v>604</v>
      </c>
      <c r="H1" s="458" t="s">
        <v>605</v>
      </c>
      <c r="I1" s="58" t="s">
        <v>608</v>
      </c>
      <c r="J1" s="506" t="s">
        <v>611</v>
      </c>
      <c r="K1" s="458" t="s">
        <v>606</v>
      </c>
      <c r="L1" s="58" t="s">
        <v>609</v>
      </c>
      <c r="M1" s="458" t="s">
        <v>610</v>
      </c>
      <c r="N1" s="506" t="s">
        <v>2144</v>
      </c>
      <c r="O1" s="458" t="s">
        <v>713</v>
      </c>
      <c r="P1" s="459" t="s">
        <v>3552</v>
      </c>
      <c r="Q1" s="58" t="s">
        <v>715</v>
      </c>
      <c r="R1" s="506" t="s">
        <v>716</v>
      </c>
      <c r="S1" s="459" t="s">
        <v>611</v>
      </c>
      <c r="T1" s="460" t="s">
        <v>3502</v>
      </c>
      <c r="U1" s="389" t="s">
        <v>3503</v>
      </c>
      <c r="V1" s="459" t="s">
        <v>3504</v>
      </c>
      <c r="W1" s="389" t="s">
        <v>756</v>
      </c>
      <c r="X1" s="389" t="s">
        <v>757</v>
      </c>
    </row>
    <row r="2" spans="1:24" ht="50.15" customHeight="1" x14ac:dyDescent="0.35">
      <c r="A2" s="465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333"/>
      <c r="N2" s="118"/>
      <c r="O2" s="118"/>
      <c r="P2" s="318"/>
      <c r="Q2" s="118"/>
      <c r="R2" s="118"/>
      <c r="S2" s="466"/>
      <c r="T2" s="461"/>
      <c r="U2" s="391"/>
      <c r="V2" s="391"/>
    </row>
    <row r="3" spans="1:24" ht="50.15" customHeight="1" x14ac:dyDescent="0.6">
      <c r="A3" s="61">
        <v>1111100100</v>
      </c>
      <c r="B3" s="60">
        <v>11</v>
      </c>
      <c r="C3" s="61" t="s">
        <v>2</v>
      </c>
      <c r="D3" s="61" t="s">
        <v>32</v>
      </c>
      <c r="E3" s="61"/>
      <c r="F3" s="61" t="s">
        <v>35</v>
      </c>
      <c r="G3" s="62">
        <v>43918101.630000003</v>
      </c>
      <c r="H3" s="62">
        <v>46189108.579999998</v>
      </c>
      <c r="I3" s="62">
        <v>47100000</v>
      </c>
      <c r="J3" s="62">
        <v>51814531.135378398</v>
      </c>
      <c r="K3" s="62">
        <v>50038489.032137603</v>
      </c>
      <c r="L3" s="63"/>
      <c r="M3" s="63"/>
      <c r="N3" s="63"/>
      <c r="O3" s="332">
        <v>46977410.960000001</v>
      </c>
      <c r="P3" s="62">
        <f>גבייה!C7+גבייה!C13</f>
        <v>49767526.399999999</v>
      </c>
      <c r="Q3" s="62">
        <v>12</v>
      </c>
      <c r="R3" s="62">
        <v>12</v>
      </c>
      <c r="S3" s="62">
        <f>P3-5600000</f>
        <v>44167526.399999999</v>
      </c>
      <c r="T3" s="432">
        <f>P3-K3</f>
        <v>-270962.63213760406</v>
      </c>
      <c r="U3" s="62">
        <f>S3-K3</f>
        <v>-5870962.6321376041</v>
      </c>
      <c r="V3" s="62">
        <f>S3-P3</f>
        <v>-5600000</v>
      </c>
      <c r="W3" s="337" t="s">
        <v>954</v>
      </c>
      <c r="X3" s="240" t="s">
        <v>1029</v>
      </c>
    </row>
    <row r="4" spans="1:24" ht="50.15" customHeight="1" x14ac:dyDescent="0.6">
      <c r="A4" s="61">
        <v>1111200100</v>
      </c>
      <c r="B4" s="60">
        <v>11</v>
      </c>
      <c r="C4" s="61" t="s">
        <v>2</v>
      </c>
      <c r="D4" s="61" t="s">
        <v>32</v>
      </c>
      <c r="E4" s="61"/>
      <c r="F4" s="61" t="s">
        <v>36</v>
      </c>
      <c r="G4" s="62">
        <v>4101041.79</v>
      </c>
      <c r="H4" s="62">
        <v>4000000</v>
      </c>
      <c r="I4" s="62">
        <v>5300000</v>
      </c>
      <c r="J4" s="62">
        <v>5120000</v>
      </c>
      <c r="K4" s="62">
        <v>4000000</v>
      </c>
      <c r="L4" s="63"/>
      <c r="M4" s="63"/>
      <c r="N4" s="63"/>
      <c r="O4" s="242">
        <v>5763419.6399999997</v>
      </c>
      <c r="P4" s="62">
        <f>גבייה!C9+גבייה!C11</f>
        <v>7800000</v>
      </c>
      <c r="Q4" s="62">
        <v>12</v>
      </c>
      <c r="R4" s="62">
        <v>12</v>
      </c>
      <c r="S4" s="62">
        <f>P4*Q4/R4</f>
        <v>7800000</v>
      </c>
      <c r="T4" s="432">
        <f>P4-K4</f>
        <v>3800000</v>
      </c>
      <c r="U4" s="62">
        <f>S4-K4</f>
        <v>3800000</v>
      </c>
      <c r="V4" s="62">
        <f>S4-P4</f>
        <v>0</v>
      </c>
      <c r="W4" s="337" t="s">
        <v>953</v>
      </c>
    </row>
    <row r="5" spans="1:24" ht="50.15" customHeight="1" x14ac:dyDescent="0.6">
      <c r="A5" s="61" t="s">
        <v>1</v>
      </c>
      <c r="B5" s="60">
        <v>11</v>
      </c>
      <c r="C5" s="61" t="s">
        <v>29</v>
      </c>
      <c r="D5" s="61"/>
      <c r="E5" s="61"/>
      <c r="F5" s="61" t="s">
        <v>3574</v>
      </c>
      <c r="G5" s="62"/>
      <c r="H5" s="62"/>
      <c r="I5" s="62"/>
      <c r="J5" s="62"/>
      <c r="K5" s="62">
        <v>0</v>
      </c>
      <c r="L5" s="63"/>
      <c r="M5" s="63"/>
      <c r="N5" s="63"/>
      <c r="O5" s="242">
        <v>0</v>
      </c>
      <c r="P5" s="62"/>
      <c r="Q5" s="62"/>
      <c r="R5" s="62"/>
      <c r="S5" s="62">
        <v>500000</v>
      </c>
      <c r="T5" s="432"/>
      <c r="U5" s="62">
        <v>0</v>
      </c>
      <c r="V5" s="62">
        <v>0</v>
      </c>
      <c r="W5" s="337"/>
    </row>
    <row r="6" spans="1:24" ht="50.15" customHeight="1" x14ac:dyDescent="0.6">
      <c r="A6" s="61">
        <v>1111300100</v>
      </c>
      <c r="B6" s="60">
        <v>11</v>
      </c>
      <c r="C6" s="61" t="s">
        <v>3</v>
      </c>
      <c r="D6" s="61" t="s">
        <v>32</v>
      </c>
      <c r="E6" s="61"/>
      <c r="F6" s="61" t="s">
        <v>3</v>
      </c>
      <c r="G6" s="62">
        <v>11656437</v>
      </c>
      <c r="H6" s="62">
        <v>11751641</v>
      </c>
      <c r="I6" s="62">
        <v>11916000</v>
      </c>
      <c r="J6" s="62">
        <v>12000000</v>
      </c>
      <c r="K6" s="62">
        <v>13043480.021881904</v>
      </c>
      <c r="L6" s="63"/>
      <c r="M6" s="63"/>
      <c r="N6" s="63"/>
      <c r="O6" s="242">
        <v>12466175</v>
      </c>
      <c r="P6" s="62">
        <v>13000000</v>
      </c>
      <c r="Q6" s="62">
        <v>12</v>
      </c>
      <c r="R6" s="62">
        <v>12</v>
      </c>
      <c r="S6" s="62">
        <f>P6+5600000</f>
        <v>18600000</v>
      </c>
      <c r="T6" s="432">
        <f>P6-K6</f>
        <v>-43480.021881904453</v>
      </c>
      <c r="U6" s="62">
        <f>S6-K6</f>
        <v>5556519.9781180955</v>
      </c>
      <c r="V6" s="62">
        <f>S6-P6</f>
        <v>5600000</v>
      </c>
      <c r="W6" s="338" t="s">
        <v>955</v>
      </c>
      <c r="X6" s="240" t="s">
        <v>760</v>
      </c>
    </row>
    <row r="7" spans="1:24" ht="50.15" customHeight="1" thickBot="1" x14ac:dyDescent="0.65">
      <c r="A7" s="429"/>
      <c r="B7" s="330"/>
      <c r="C7" s="331"/>
      <c r="D7" s="331"/>
      <c r="E7" s="331"/>
      <c r="F7" s="331" t="s">
        <v>666</v>
      </c>
      <c r="G7" s="119">
        <f t="shared" ref="G7:M7" si="0">SUM(G3:G6)</f>
        <v>59675580.420000002</v>
      </c>
      <c r="H7" s="119">
        <f t="shared" si="0"/>
        <v>61940749.579999998</v>
      </c>
      <c r="I7" s="119">
        <f t="shared" si="0"/>
        <v>64316000</v>
      </c>
      <c r="J7" s="119">
        <f t="shared" si="0"/>
        <v>68934531.135378391</v>
      </c>
      <c r="K7" s="119">
        <f t="shared" si="0"/>
        <v>67081969.054019511</v>
      </c>
      <c r="L7" s="119">
        <f t="shared" si="0"/>
        <v>0</v>
      </c>
      <c r="M7" s="119">
        <f t="shared" si="0"/>
        <v>0</v>
      </c>
      <c r="N7" s="119"/>
      <c r="O7" s="119">
        <f t="shared" ref="O7:U7" si="1">SUM(O3:O6)</f>
        <v>65207005.600000001</v>
      </c>
      <c r="P7" s="119">
        <f t="shared" si="1"/>
        <v>70567526.400000006</v>
      </c>
      <c r="Q7" s="119">
        <f t="shared" si="1"/>
        <v>36</v>
      </c>
      <c r="R7" s="119">
        <f t="shared" si="1"/>
        <v>36</v>
      </c>
      <c r="S7" s="119">
        <f t="shared" si="1"/>
        <v>71067526.400000006</v>
      </c>
      <c r="T7" s="398">
        <f t="shared" si="1"/>
        <v>3485557.3459804915</v>
      </c>
      <c r="U7" s="393">
        <f t="shared" si="1"/>
        <v>3485557.3459804915</v>
      </c>
      <c r="V7" s="393">
        <f>SUM(V3:V6)</f>
        <v>0</v>
      </c>
    </row>
    <row r="8" spans="1:24" ht="50.15" customHeight="1" x14ac:dyDescent="0.35">
      <c r="A8" s="465" t="s">
        <v>624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333"/>
      <c r="N8" s="118"/>
      <c r="O8" s="118"/>
      <c r="P8" s="318"/>
      <c r="Q8" s="118"/>
      <c r="R8" s="118"/>
      <c r="S8" s="466"/>
      <c r="T8" s="461"/>
      <c r="U8" s="391"/>
      <c r="V8" s="391"/>
    </row>
    <row r="9" spans="1:24" ht="50.15" customHeight="1" x14ac:dyDescent="0.6">
      <c r="A9" s="59">
        <v>1121000220</v>
      </c>
      <c r="B9" s="60">
        <v>12</v>
      </c>
      <c r="C9" s="61" t="s">
        <v>4</v>
      </c>
      <c r="D9" s="61" t="s">
        <v>32</v>
      </c>
      <c r="E9" s="61"/>
      <c r="F9" s="61" t="s">
        <v>37</v>
      </c>
      <c r="G9" s="62">
        <v>20039.97</v>
      </c>
      <c r="H9" s="62">
        <v>54600</v>
      </c>
      <c r="I9" s="62">
        <v>14000</v>
      </c>
      <c r="J9" s="62">
        <v>53150</v>
      </c>
      <c r="K9" s="62">
        <v>53600</v>
      </c>
      <c r="L9" s="63"/>
      <c r="M9" s="63"/>
      <c r="N9" s="63"/>
      <c r="O9" s="242">
        <v>9319</v>
      </c>
      <c r="P9" s="62">
        <v>53150</v>
      </c>
      <c r="Q9" s="62">
        <v>12</v>
      </c>
      <c r="R9" s="62">
        <v>12</v>
      </c>
      <c r="S9" s="467">
        <f>P9*Q9/R9</f>
        <v>53150</v>
      </c>
      <c r="T9" s="432">
        <f>P9-K9</f>
        <v>-450</v>
      </c>
      <c r="U9" s="62">
        <f>S9-K9</f>
        <v>-450</v>
      </c>
      <c r="V9" s="62">
        <f>S9-P9</f>
        <v>0</v>
      </c>
      <c r="X9" s="240" t="s">
        <v>761</v>
      </c>
    </row>
    <row r="10" spans="1:24" ht="50.15" customHeight="1" x14ac:dyDescent="0.6">
      <c r="A10" s="59">
        <v>1122000220</v>
      </c>
      <c r="B10" s="60">
        <v>12</v>
      </c>
      <c r="C10" s="61" t="s">
        <v>4</v>
      </c>
      <c r="D10" s="61" t="s">
        <v>32</v>
      </c>
      <c r="E10" s="61"/>
      <c r="F10" s="61" t="s">
        <v>2147</v>
      </c>
      <c r="G10" s="62">
        <v>915061.36</v>
      </c>
      <c r="H10" s="62">
        <v>1050000</v>
      </c>
      <c r="I10" s="62">
        <v>1278645.852</v>
      </c>
      <c r="J10" s="62">
        <v>1280000</v>
      </c>
      <c r="K10" s="62">
        <v>1050000</v>
      </c>
      <c r="L10" s="63"/>
      <c r="M10" s="63"/>
      <c r="N10" s="63"/>
      <c r="O10" s="242">
        <v>1234316.02</v>
      </c>
      <c r="P10" s="62">
        <v>1280000</v>
      </c>
      <c r="Q10" s="62">
        <v>12</v>
      </c>
      <c r="R10" s="62">
        <v>12</v>
      </c>
      <c r="S10" s="467">
        <f>P10*Q10/R10</f>
        <v>1280000</v>
      </c>
      <c r="T10" s="432">
        <f>P10-K10</f>
        <v>230000</v>
      </c>
      <c r="U10" s="62">
        <f>S10-K10</f>
        <v>230000</v>
      </c>
      <c r="V10" s="62">
        <f>S10-P10</f>
        <v>0</v>
      </c>
      <c r="W10" s="153" t="s">
        <v>758</v>
      </c>
      <c r="X10" s="240" t="s">
        <v>761</v>
      </c>
    </row>
    <row r="11" spans="1:24" ht="50.15" customHeight="1" x14ac:dyDescent="0.6">
      <c r="A11" s="59">
        <v>1124000220</v>
      </c>
      <c r="B11" s="60">
        <v>12</v>
      </c>
      <c r="C11" s="61" t="s">
        <v>4</v>
      </c>
      <c r="D11" s="61" t="s">
        <v>32</v>
      </c>
      <c r="E11" s="61"/>
      <c r="F11" s="61" t="s">
        <v>39</v>
      </c>
      <c r="G11" s="62">
        <v>11100</v>
      </c>
      <c r="H11" s="62">
        <v>20000</v>
      </c>
      <c r="I11" s="62">
        <v>0</v>
      </c>
      <c r="J11" s="62">
        <v>0</v>
      </c>
      <c r="K11" s="62">
        <v>20000</v>
      </c>
      <c r="L11" s="63"/>
      <c r="M11" s="63"/>
      <c r="N11" s="63"/>
      <c r="O11" s="62">
        <v>20000</v>
      </c>
      <c r="P11" s="62">
        <v>20000</v>
      </c>
      <c r="Q11" s="62">
        <v>12</v>
      </c>
      <c r="R11" s="62">
        <v>12</v>
      </c>
      <c r="S11" s="467">
        <f>P11*Q11/R11</f>
        <v>20000</v>
      </c>
      <c r="T11" s="432">
        <f>P11-K11</f>
        <v>0</v>
      </c>
      <c r="U11" s="62">
        <f>S11-K11</f>
        <v>0</v>
      </c>
      <c r="V11" s="62">
        <f>S11-P11</f>
        <v>0</v>
      </c>
      <c r="W11" s="153" t="s">
        <v>758</v>
      </c>
      <c r="X11" s="240"/>
    </row>
    <row r="12" spans="1:24" ht="50.15" customHeight="1" x14ac:dyDescent="0.6">
      <c r="A12" s="59">
        <v>1129000220</v>
      </c>
      <c r="B12" s="60">
        <v>12</v>
      </c>
      <c r="C12" s="61" t="s">
        <v>4</v>
      </c>
      <c r="D12" s="61" t="s">
        <v>32</v>
      </c>
      <c r="E12" s="61"/>
      <c r="F12" s="61" t="s">
        <v>40</v>
      </c>
      <c r="G12" s="62">
        <v>237827.44</v>
      </c>
      <c r="H12" s="62">
        <v>150000</v>
      </c>
      <c r="I12" s="62">
        <v>197071.98</v>
      </c>
      <c r="J12" s="62">
        <v>200000</v>
      </c>
      <c r="K12" s="62">
        <v>150000</v>
      </c>
      <c r="L12" s="63"/>
      <c r="M12" s="63"/>
      <c r="N12" s="63"/>
      <c r="O12" s="242">
        <v>223409.32</v>
      </c>
      <c r="P12" s="62">
        <v>223409.32</v>
      </c>
      <c r="Q12" s="62">
        <v>12</v>
      </c>
      <c r="R12" s="62">
        <v>12</v>
      </c>
      <c r="S12" s="467">
        <f>P12*Q12/R12</f>
        <v>223409.31999999998</v>
      </c>
      <c r="T12" s="432">
        <f>P12-K12</f>
        <v>73409.320000000007</v>
      </c>
      <c r="U12" s="62">
        <f>S12-K12</f>
        <v>73409.319999999978</v>
      </c>
      <c r="V12" s="62">
        <f>S12-P12</f>
        <v>0</v>
      </c>
      <c r="W12" s="153" t="s">
        <v>758</v>
      </c>
      <c r="X12" s="240" t="s">
        <v>761</v>
      </c>
    </row>
    <row r="13" spans="1:24" ht="50.15" customHeight="1" thickBot="1" x14ac:dyDescent="0.65">
      <c r="A13" s="59">
        <v>1129000221</v>
      </c>
      <c r="B13" s="60">
        <v>12</v>
      </c>
      <c r="C13" s="61" t="s">
        <v>4</v>
      </c>
      <c r="D13" s="61" t="s">
        <v>32</v>
      </c>
      <c r="E13" s="61"/>
      <c r="F13" s="61" t="s">
        <v>41</v>
      </c>
      <c r="G13" s="62">
        <v>423.7</v>
      </c>
      <c r="H13" s="62">
        <v>200</v>
      </c>
      <c r="I13" s="62">
        <v>0</v>
      </c>
      <c r="J13" s="62">
        <v>0</v>
      </c>
      <c r="K13" s="62">
        <v>200</v>
      </c>
      <c r="L13" s="63"/>
      <c r="M13" s="63"/>
      <c r="N13" s="63"/>
      <c r="O13" s="62">
        <v>0</v>
      </c>
      <c r="P13" s="62">
        <v>0</v>
      </c>
      <c r="Q13" s="62">
        <v>8</v>
      </c>
      <c r="R13" s="62">
        <v>12</v>
      </c>
      <c r="S13" s="467">
        <f>P13*Q13/R13</f>
        <v>0</v>
      </c>
      <c r="T13" s="432">
        <f>P13-K13</f>
        <v>-200</v>
      </c>
      <c r="U13" s="62">
        <f>S13-K13</f>
        <v>-200</v>
      </c>
      <c r="V13" s="62">
        <f>S13-P13</f>
        <v>0</v>
      </c>
    </row>
    <row r="14" spans="1:24" ht="50.15" customHeight="1" thickBot="1" x14ac:dyDescent="0.65">
      <c r="A14" s="407"/>
      <c r="B14" s="64"/>
      <c r="C14" s="402"/>
      <c r="D14" s="65"/>
      <c r="E14" s="65"/>
      <c r="F14" s="403" t="s">
        <v>667</v>
      </c>
      <c r="G14" s="408">
        <f t="shared" ref="G14:M14" si="2">SUM(G9:G13)</f>
        <v>1184452.47</v>
      </c>
      <c r="H14" s="66">
        <f t="shared" si="2"/>
        <v>1274800</v>
      </c>
      <c r="I14" s="66">
        <f t="shared" si="2"/>
        <v>1489717.8319999999</v>
      </c>
      <c r="J14" s="66">
        <f t="shared" si="2"/>
        <v>1533150</v>
      </c>
      <c r="K14" s="66">
        <f t="shared" si="2"/>
        <v>1273800</v>
      </c>
      <c r="L14" s="66">
        <f t="shared" si="2"/>
        <v>0</v>
      </c>
      <c r="M14" s="66">
        <f t="shared" si="2"/>
        <v>0</v>
      </c>
      <c r="N14" s="66"/>
      <c r="O14" s="66">
        <f t="shared" ref="O14:V14" si="3">SUM(O9:O13)</f>
        <v>1487044.34</v>
      </c>
      <c r="P14" s="66">
        <f t="shared" si="3"/>
        <v>1576559.32</v>
      </c>
      <c r="Q14" s="66">
        <f t="shared" si="3"/>
        <v>56</v>
      </c>
      <c r="R14" s="66">
        <f t="shared" si="3"/>
        <v>60</v>
      </c>
      <c r="S14" s="66">
        <f t="shared" si="3"/>
        <v>1576559.32</v>
      </c>
      <c r="T14" s="398">
        <f t="shared" si="3"/>
        <v>302759.32</v>
      </c>
      <c r="U14" s="393">
        <f t="shared" si="3"/>
        <v>302759.31999999995</v>
      </c>
      <c r="V14" s="66">
        <f t="shared" si="3"/>
        <v>0</v>
      </c>
    </row>
    <row r="15" spans="1:24" ht="50.15" customHeight="1" x14ac:dyDescent="0.35">
      <c r="A15" s="470" t="s">
        <v>668</v>
      </c>
      <c r="B15" s="328"/>
      <c r="C15" s="328"/>
      <c r="D15" s="118"/>
      <c r="E15" s="118"/>
      <c r="F15" s="328"/>
      <c r="G15" s="118"/>
      <c r="H15" s="118"/>
      <c r="I15" s="118"/>
      <c r="J15" s="118"/>
      <c r="K15" s="118"/>
      <c r="L15" s="118"/>
      <c r="M15" s="333"/>
      <c r="N15" s="118"/>
      <c r="O15" s="118"/>
      <c r="P15" s="329"/>
      <c r="Q15" s="328"/>
      <c r="R15" s="328"/>
      <c r="S15" s="471"/>
      <c r="T15" s="461"/>
      <c r="U15" s="391"/>
      <c r="V15" s="400"/>
    </row>
    <row r="16" spans="1:24" ht="50.15" customHeight="1" x14ac:dyDescent="0.6">
      <c r="A16" s="59">
        <v>1190000910</v>
      </c>
      <c r="B16" s="60">
        <v>19</v>
      </c>
      <c r="C16" s="61" t="s">
        <v>5</v>
      </c>
      <c r="D16" s="61" t="s">
        <v>32</v>
      </c>
      <c r="E16" s="61"/>
      <c r="F16" s="61" t="s">
        <v>43</v>
      </c>
      <c r="G16" s="62">
        <v>206990</v>
      </c>
      <c r="H16" s="62">
        <v>541878.66</v>
      </c>
      <c r="I16" s="62">
        <v>147379.20000000001</v>
      </c>
      <c r="J16" s="62">
        <v>292400</v>
      </c>
      <c r="K16" s="62">
        <v>1281878.6600000001</v>
      </c>
      <c r="L16" s="63"/>
      <c r="M16" s="63"/>
      <c r="N16" s="63"/>
      <c r="O16" s="242">
        <v>103480</v>
      </c>
      <c r="P16" s="62">
        <v>292400</v>
      </c>
      <c r="Q16" s="62">
        <v>12</v>
      </c>
      <c r="R16" s="62">
        <v>12</v>
      </c>
      <c r="S16" s="467">
        <f t="shared" ref="S16:S82" si="4">P16*Q16/R16</f>
        <v>292400</v>
      </c>
      <c r="T16" s="432">
        <f>P16-K16</f>
        <v>-989478.66000000015</v>
      </c>
      <c r="U16" s="62">
        <f>S16-K16</f>
        <v>-989478.66000000015</v>
      </c>
      <c r="V16" s="62">
        <f t="shared" ref="V16:V27" si="5">S16-P16</f>
        <v>0</v>
      </c>
      <c r="W16" s="338" t="s">
        <v>762</v>
      </c>
    </row>
    <row r="17" spans="1:24" ht="50.15" customHeight="1" x14ac:dyDescent="0.6">
      <c r="A17" s="59">
        <v>1191000910</v>
      </c>
      <c r="B17" s="60">
        <v>19</v>
      </c>
      <c r="C17" s="61" t="s">
        <v>6</v>
      </c>
      <c r="D17" s="61" t="s">
        <v>32</v>
      </c>
      <c r="E17" s="61"/>
      <c r="F17" s="61" t="s">
        <v>6</v>
      </c>
      <c r="G17" s="62">
        <v>29979119</v>
      </c>
      <c r="H17" s="62">
        <v>29979000</v>
      </c>
      <c r="I17" s="62">
        <v>29979000</v>
      </c>
      <c r="J17" s="62">
        <v>29979000</v>
      </c>
      <c r="K17" s="62">
        <v>28879000</v>
      </c>
      <c r="L17" s="63"/>
      <c r="M17" s="63"/>
      <c r="N17" s="63"/>
      <c r="O17" s="62">
        <v>29979000</v>
      </c>
      <c r="P17" s="62">
        <v>29979000</v>
      </c>
      <c r="Q17" s="62">
        <v>12</v>
      </c>
      <c r="R17" s="62">
        <v>12</v>
      </c>
      <c r="S17" s="467">
        <f t="shared" si="4"/>
        <v>29979000</v>
      </c>
      <c r="T17" s="432">
        <f t="shared" ref="T17:T27" si="6">P17-K17</f>
        <v>1100000</v>
      </c>
      <c r="U17" s="62">
        <f t="shared" ref="U17:U27" si="7">S17-K17</f>
        <v>1100000</v>
      </c>
      <c r="V17" s="62">
        <f t="shared" si="5"/>
        <v>0</v>
      </c>
    </row>
    <row r="18" spans="1:24" ht="50.15" customHeight="1" x14ac:dyDescent="0.6">
      <c r="A18" s="59">
        <v>1191000912</v>
      </c>
      <c r="B18" s="60">
        <v>19</v>
      </c>
      <c r="C18" s="61" t="s">
        <v>7</v>
      </c>
      <c r="D18" s="61" t="s">
        <v>32</v>
      </c>
      <c r="E18" s="61"/>
      <c r="F18" s="61" t="s">
        <v>44</v>
      </c>
      <c r="G18" s="62">
        <v>1350000</v>
      </c>
      <c r="H18" s="62">
        <v>0</v>
      </c>
      <c r="I18" s="62">
        <v>604000</v>
      </c>
      <c r="J18" s="62">
        <v>0</v>
      </c>
      <c r="K18" s="62">
        <v>0</v>
      </c>
      <c r="L18" s="63"/>
      <c r="M18" s="63"/>
      <c r="N18" s="63"/>
      <c r="O18" s="62">
        <v>225000</v>
      </c>
      <c r="P18" s="62">
        <v>0</v>
      </c>
      <c r="Q18" s="62">
        <v>12</v>
      </c>
      <c r="R18" s="62">
        <v>12</v>
      </c>
      <c r="S18" s="467">
        <f t="shared" si="4"/>
        <v>0</v>
      </c>
      <c r="T18" s="432">
        <f t="shared" si="6"/>
        <v>0</v>
      </c>
      <c r="U18" s="62">
        <f t="shared" si="7"/>
        <v>0</v>
      </c>
      <c r="V18" s="62">
        <f t="shared" si="5"/>
        <v>0</v>
      </c>
      <c r="W18" s="153" t="s">
        <v>763</v>
      </c>
    </row>
    <row r="19" spans="1:24" s="497" customFormat="1" ht="50.15" customHeight="1" x14ac:dyDescent="0.6">
      <c r="A19" s="440">
        <v>1191000914</v>
      </c>
      <c r="B19" s="120">
        <v>19</v>
      </c>
      <c r="C19" s="121" t="s">
        <v>7</v>
      </c>
      <c r="D19" s="61" t="s">
        <v>32</v>
      </c>
      <c r="E19" s="121"/>
      <c r="F19" s="121" t="s">
        <v>1023</v>
      </c>
      <c r="G19" s="122"/>
      <c r="H19" s="122"/>
      <c r="I19" s="122"/>
      <c r="J19" s="122"/>
      <c r="K19" s="122"/>
      <c r="L19" s="123"/>
      <c r="M19" s="123"/>
      <c r="N19" s="123"/>
      <c r="O19" s="122"/>
      <c r="P19" s="122"/>
      <c r="Q19" s="122"/>
      <c r="R19" s="122"/>
      <c r="S19" s="441">
        <v>620000</v>
      </c>
      <c r="T19" s="462">
        <f t="shared" si="6"/>
        <v>0</v>
      </c>
      <c r="U19" s="122">
        <f t="shared" si="7"/>
        <v>620000</v>
      </c>
      <c r="V19" s="122">
        <f t="shared" si="5"/>
        <v>620000</v>
      </c>
      <c r="W19" s="496" t="s">
        <v>1034</v>
      </c>
    </row>
    <row r="20" spans="1:24" ht="50.15" customHeight="1" x14ac:dyDescent="0.6">
      <c r="A20" s="59">
        <v>1191000915</v>
      </c>
      <c r="B20" s="60">
        <v>19</v>
      </c>
      <c r="C20" s="61" t="s">
        <v>7</v>
      </c>
      <c r="D20" s="61" t="s">
        <v>32</v>
      </c>
      <c r="E20" s="61"/>
      <c r="F20" s="61" t="s">
        <v>1023</v>
      </c>
      <c r="G20" s="62"/>
      <c r="H20" s="62">
        <v>0</v>
      </c>
      <c r="I20" s="62">
        <v>0</v>
      </c>
      <c r="J20" s="62">
        <v>0</v>
      </c>
      <c r="K20" s="62">
        <v>0</v>
      </c>
      <c r="L20" s="63"/>
      <c r="M20" s="63"/>
      <c r="N20" s="63"/>
      <c r="O20" s="62">
        <v>0</v>
      </c>
      <c r="P20" s="62">
        <v>0</v>
      </c>
      <c r="Q20" s="62">
        <v>12</v>
      </c>
      <c r="R20" s="62">
        <v>12</v>
      </c>
      <c r="S20" s="467">
        <f>4930000-S21</f>
        <v>3718384</v>
      </c>
      <c r="T20" s="432">
        <f t="shared" si="6"/>
        <v>0</v>
      </c>
      <c r="U20" s="62">
        <f t="shared" si="7"/>
        <v>3718384</v>
      </c>
      <c r="V20" s="62">
        <f t="shared" si="5"/>
        <v>3718384</v>
      </c>
      <c r="W20" s="153" t="s">
        <v>1022</v>
      </c>
    </row>
    <row r="21" spans="1:24" ht="50.15" customHeight="1" x14ac:dyDescent="0.6">
      <c r="A21" s="59">
        <v>1191000916</v>
      </c>
      <c r="B21" s="60">
        <v>19</v>
      </c>
      <c r="C21" s="61" t="s">
        <v>7</v>
      </c>
      <c r="D21" s="61" t="s">
        <v>32</v>
      </c>
      <c r="E21" s="61"/>
      <c r="F21" s="61" t="s">
        <v>1024</v>
      </c>
      <c r="G21" s="62"/>
      <c r="H21" s="62">
        <v>0</v>
      </c>
      <c r="I21" s="62">
        <v>0</v>
      </c>
      <c r="J21" s="62">
        <v>0</v>
      </c>
      <c r="K21" s="62">
        <v>0</v>
      </c>
      <c r="L21" s="63"/>
      <c r="M21" s="63"/>
      <c r="N21" s="63"/>
      <c r="O21" s="62">
        <v>0</v>
      </c>
      <c r="P21" s="62">
        <v>0</v>
      </c>
      <c r="Q21" s="62">
        <v>12</v>
      </c>
      <c r="R21" s="62">
        <v>12</v>
      </c>
      <c r="S21" s="467">
        <v>1211616</v>
      </c>
      <c r="T21" s="432">
        <f t="shared" si="6"/>
        <v>0</v>
      </c>
      <c r="U21" s="62">
        <f t="shared" si="7"/>
        <v>1211616</v>
      </c>
      <c r="V21" s="62">
        <f t="shared" si="5"/>
        <v>1211616</v>
      </c>
      <c r="W21" s="153" t="s">
        <v>1025</v>
      </c>
    </row>
    <row r="22" spans="1:24" ht="50.15" customHeight="1" x14ac:dyDescent="0.6">
      <c r="A22" s="59">
        <v>1191000913</v>
      </c>
      <c r="B22" s="60">
        <v>19</v>
      </c>
      <c r="C22" s="61" t="s">
        <v>5</v>
      </c>
      <c r="D22" s="61" t="s">
        <v>32</v>
      </c>
      <c r="E22" s="61"/>
      <c r="F22" s="61" t="s">
        <v>45</v>
      </c>
      <c r="G22" s="62">
        <v>1908079</v>
      </c>
      <c r="H22" s="62">
        <v>1777703</v>
      </c>
      <c r="I22" s="62">
        <v>2029024.08</v>
      </c>
      <c r="J22" s="62">
        <v>2029000</v>
      </c>
      <c r="K22" s="62">
        <v>1520703</v>
      </c>
      <c r="L22" s="63"/>
      <c r="M22" s="63"/>
      <c r="N22" s="63"/>
      <c r="O22" s="62">
        <v>2172000</v>
      </c>
      <c r="P22" s="62">
        <f>144000*12</f>
        <v>1728000</v>
      </c>
      <c r="Q22" s="62">
        <v>12</v>
      </c>
      <c r="R22" s="62">
        <v>12</v>
      </c>
      <c r="S22" s="467">
        <f t="shared" si="4"/>
        <v>1728000</v>
      </c>
      <c r="T22" s="432">
        <f t="shared" si="6"/>
        <v>207297</v>
      </c>
      <c r="U22" s="62">
        <f t="shared" si="7"/>
        <v>207297</v>
      </c>
      <c r="V22" s="62">
        <f t="shared" si="5"/>
        <v>0</v>
      </c>
      <c r="W22" s="153" t="s">
        <v>764</v>
      </c>
    </row>
    <row r="23" spans="1:24" ht="50.15" customHeight="1" x14ac:dyDescent="0.6">
      <c r="A23" s="59">
        <v>1192000911</v>
      </c>
      <c r="B23" s="60">
        <v>19</v>
      </c>
      <c r="C23" s="61" t="s">
        <v>5</v>
      </c>
      <c r="D23" s="61" t="s">
        <v>32</v>
      </c>
      <c r="E23" s="61"/>
      <c r="F23" s="61" t="s">
        <v>46</v>
      </c>
      <c r="G23" s="62">
        <v>0</v>
      </c>
      <c r="H23" s="62">
        <v>173311</v>
      </c>
      <c r="I23" s="62">
        <v>0</v>
      </c>
      <c r="J23" s="62">
        <v>173311</v>
      </c>
      <c r="K23" s="62">
        <v>173311</v>
      </c>
      <c r="L23" s="63"/>
      <c r="M23" s="63"/>
      <c r="N23" s="63"/>
      <c r="O23" s="62">
        <v>0</v>
      </c>
      <c r="P23" s="62"/>
      <c r="Q23" s="62">
        <v>12</v>
      </c>
      <c r="R23" s="62">
        <v>12</v>
      </c>
      <c r="S23" s="467">
        <f t="shared" si="4"/>
        <v>0</v>
      </c>
      <c r="T23" s="432">
        <f t="shared" si="6"/>
        <v>-173311</v>
      </c>
      <c r="U23" s="62">
        <f t="shared" si="7"/>
        <v>-173311</v>
      </c>
      <c r="V23" s="62">
        <f t="shared" si="5"/>
        <v>0</v>
      </c>
      <c r="W23" s="338" t="s">
        <v>840</v>
      </c>
    </row>
    <row r="24" spans="1:24" ht="50.15" customHeight="1" x14ac:dyDescent="0.6">
      <c r="A24" s="59">
        <v>1192000912</v>
      </c>
      <c r="B24" s="60">
        <v>19</v>
      </c>
      <c r="C24" s="61" t="s">
        <v>8</v>
      </c>
      <c r="D24" s="61" t="s">
        <v>32</v>
      </c>
      <c r="E24" s="61"/>
      <c r="F24" s="61" t="s">
        <v>47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3"/>
      <c r="M24" s="63"/>
      <c r="N24" s="63"/>
      <c r="O24" s="62">
        <v>0</v>
      </c>
      <c r="P24" s="62">
        <v>0</v>
      </c>
      <c r="Q24" s="62">
        <v>12</v>
      </c>
      <c r="R24" s="62">
        <v>12</v>
      </c>
      <c r="S24" s="467">
        <f t="shared" si="4"/>
        <v>0</v>
      </c>
      <c r="T24" s="432">
        <f t="shared" si="6"/>
        <v>0</v>
      </c>
      <c r="U24" s="62">
        <f t="shared" si="7"/>
        <v>0</v>
      </c>
      <c r="V24" s="62">
        <f t="shared" si="5"/>
        <v>0</v>
      </c>
    </row>
    <row r="25" spans="1:24" ht="50.15" customHeight="1" x14ac:dyDescent="0.6">
      <c r="A25" s="59">
        <v>1192000915</v>
      </c>
      <c r="B25" s="60">
        <v>19</v>
      </c>
      <c r="C25" s="61" t="s">
        <v>5</v>
      </c>
      <c r="D25" s="61" t="s">
        <v>32</v>
      </c>
      <c r="E25" s="61"/>
      <c r="F25" s="61" t="s">
        <v>48</v>
      </c>
      <c r="G25" s="62">
        <v>24061</v>
      </c>
      <c r="H25" s="62">
        <v>26000</v>
      </c>
      <c r="I25" s="62">
        <v>26400</v>
      </c>
      <c r="J25" s="62">
        <v>25000</v>
      </c>
      <c r="K25" s="62">
        <v>26000</v>
      </c>
      <c r="L25" s="63"/>
      <c r="M25" s="63"/>
      <c r="N25" s="63"/>
      <c r="O25" s="242">
        <v>35589</v>
      </c>
      <c r="P25" s="62">
        <v>35589</v>
      </c>
      <c r="Q25" s="62">
        <v>12</v>
      </c>
      <c r="R25" s="62">
        <v>12</v>
      </c>
      <c r="S25" s="467">
        <f t="shared" si="4"/>
        <v>35589</v>
      </c>
      <c r="T25" s="432">
        <f t="shared" si="6"/>
        <v>9589</v>
      </c>
      <c r="U25" s="62">
        <f t="shared" si="7"/>
        <v>9589</v>
      </c>
      <c r="V25" s="62">
        <f t="shared" si="5"/>
        <v>0</v>
      </c>
      <c r="W25" s="153" t="s">
        <v>608</v>
      </c>
    </row>
    <row r="26" spans="1:24" ht="50.15" customHeight="1" x14ac:dyDescent="0.6">
      <c r="A26" s="59">
        <v>1192000916</v>
      </c>
      <c r="B26" s="60">
        <v>19</v>
      </c>
      <c r="C26" s="61" t="s">
        <v>5</v>
      </c>
      <c r="D26" s="61" t="s">
        <v>32</v>
      </c>
      <c r="E26" s="61"/>
      <c r="F26" s="61" t="s">
        <v>1051</v>
      </c>
      <c r="G26" s="62">
        <v>187140</v>
      </c>
      <c r="H26" s="62">
        <v>0</v>
      </c>
      <c r="I26" s="62">
        <v>0</v>
      </c>
      <c r="J26" s="62">
        <v>0</v>
      </c>
      <c r="K26" s="62">
        <v>0</v>
      </c>
      <c r="L26" s="63"/>
      <c r="M26" s="63"/>
      <c r="N26" s="63"/>
      <c r="O26" s="62">
        <v>0</v>
      </c>
      <c r="P26" s="62">
        <v>69000</v>
      </c>
      <c r="Q26" s="62">
        <v>12</v>
      </c>
      <c r="R26" s="62">
        <v>12</v>
      </c>
      <c r="S26" s="467">
        <f t="shared" si="4"/>
        <v>69000</v>
      </c>
      <c r="T26" s="432">
        <f t="shared" si="6"/>
        <v>69000</v>
      </c>
      <c r="U26" s="62">
        <f t="shared" si="7"/>
        <v>69000</v>
      </c>
      <c r="V26" s="62">
        <f t="shared" si="5"/>
        <v>0</v>
      </c>
      <c r="W26" s="153" t="s">
        <v>1050</v>
      </c>
    </row>
    <row r="27" spans="1:24" ht="50.15" customHeight="1" thickBot="1" x14ac:dyDescent="0.65">
      <c r="A27" s="468">
        <v>1194000911</v>
      </c>
      <c r="B27" s="404">
        <v>19</v>
      </c>
      <c r="C27" s="405" t="s">
        <v>5</v>
      </c>
      <c r="D27" s="405" t="s">
        <v>32</v>
      </c>
      <c r="E27" s="405"/>
      <c r="F27" s="405" t="s">
        <v>50</v>
      </c>
      <c r="G27" s="399">
        <v>19171</v>
      </c>
      <c r="H27" s="399">
        <v>20000</v>
      </c>
      <c r="I27" s="399">
        <v>24000</v>
      </c>
      <c r="J27" s="399">
        <v>20000</v>
      </c>
      <c r="K27" s="399">
        <v>20000</v>
      </c>
      <c r="L27" s="427"/>
      <c r="M27" s="427"/>
      <c r="N27" s="427"/>
      <c r="O27" s="428">
        <v>15877</v>
      </c>
      <c r="P27" s="399">
        <v>15877</v>
      </c>
      <c r="Q27" s="399">
        <v>12</v>
      </c>
      <c r="R27" s="399">
        <v>12</v>
      </c>
      <c r="S27" s="469">
        <f t="shared" si="4"/>
        <v>15877</v>
      </c>
      <c r="T27" s="432">
        <f t="shared" si="6"/>
        <v>-4123</v>
      </c>
      <c r="U27" s="62">
        <f t="shared" si="7"/>
        <v>-4123</v>
      </c>
      <c r="V27" s="399">
        <f t="shared" si="5"/>
        <v>0</v>
      </c>
      <c r="W27" s="153" t="s">
        <v>608</v>
      </c>
    </row>
    <row r="28" spans="1:24" ht="50.15" customHeight="1" thickBot="1" x14ac:dyDescent="0.65">
      <c r="A28" s="407"/>
      <c r="B28" s="64"/>
      <c r="C28" s="402"/>
      <c r="D28" s="65"/>
      <c r="E28" s="65"/>
      <c r="F28" s="403"/>
      <c r="G28" s="408">
        <f t="shared" ref="G28:M28" si="8">SUM(G16:G27)</f>
        <v>33674560</v>
      </c>
      <c r="H28" s="66">
        <f t="shared" si="8"/>
        <v>32517892.66</v>
      </c>
      <c r="I28" s="66">
        <f t="shared" si="8"/>
        <v>32809803.280000001</v>
      </c>
      <c r="J28" s="66">
        <f t="shared" si="8"/>
        <v>32518711</v>
      </c>
      <c r="K28" s="66">
        <f t="shared" si="8"/>
        <v>31900892.66</v>
      </c>
      <c r="L28" s="66">
        <f t="shared" si="8"/>
        <v>0</v>
      </c>
      <c r="M28" s="66">
        <f t="shared" si="8"/>
        <v>0</v>
      </c>
      <c r="N28" s="66"/>
      <c r="O28" s="66">
        <f t="shared" ref="O28:V28" si="9">SUM(O16:O27)</f>
        <v>32530946</v>
      </c>
      <c r="P28" s="66">
        <f t="shared" si="9"/>
        <v>32119866</v>
      </c>
      <c r="Q28" s="66">
        <f t="shared" si="9"/>
        <v>132</v>
      </c>
      <c r="R28" s="66">
        <f t="shared" si="9"/>
        <v>132</v>
      </c>
      <c r="S28" s="66">
        <f t="shared" si="9"/>
        <v>37669866</v>
      </c>
      <c r="T28" s="398">
        <f t="shared" si="9"/>
        <v>218973.33999999985</v>
      </c>
      <c r="U28" s="393">
        <f t="shared" si="9"/>
        <v>5768973.3399999999</v>
      </c>
      <c r="V28" s="66">
        <f t="shared" si="9"/>
        <v>5550000</v>
      </c>
    </row>
    <row r="29" spans="1:24" ht="50.15" customHeight="1" x14ac:dyDescent="0.35">
      <c r="A29" s="470" t="s">
        <v>669</v>
      </c>
      <c r="B29" s="328"/>
      <c r="C29" s="328"/>
      <c r="D29" s="118"/>
      <c r="E29" s="118"/>
      <c r="F29" s="328"/>
      <c r="G29" s="118"/>
      <c r="H29" s="118"/>
      <c r="I29" s="118"/>
      <c r="J29" s="118"/>
      <c r="K29" s="118"/>
      <c r="L29" s="118"/>
      <c r="M29" s="333"/>
      <c r="N29" s="118"/>
      <c r="O29" s="118"/>
      <c r="P29" s="329"/>
      <c r="Q29" s="328"/>
      <c r="R29" s="328"/>
      <c r="S29" s="471"/>
      <c r="T29" s="461"/>
      <c r="U29" s="391"/>
      <c r="V29" s="400"/>
    </row>
    <row r="30" spans="1:24" ht="50.15" customHeight="1" x14ac:dyDescent="0.6">
      <c r="A30" s="440">
        <v>1210000990</v>
      </c>
      <c r="B30" s="120">
        <v>21</v>
      </c>
      <c r="C30" s="121" t="s">
        <v>9</v>
      </c>
      <c r="D30" s="121" t="s">
        <v>32</v>
      </c>
      <c r="E30" s="121"/>
      <c r="F30" s="121" t="s">
        <v>51</v>
      </c>
      <c r="G30" s="122">
        <v>79135</v>
      </c>
      <c r="H30" s="122">
        <v>0</v>
      </c>
      <c r="I30" s="122">
        <v>0</v>
      </c>
      <c r="J30" s="122">
        <v>0</v>
      </c>
      <c r="K30" s="122">
        <v>0</v>
      </c>
      <c r="L30" s="123"/>
      <c r="M30" s="123"/>
      <c r="N30" s="123"/>
      <c r="O30" s="122">
        <v>0</v>
      </c>
      <c r="P30" s="122">
        <v>0</v>
      </c>
      <c r="Q30" s="122">
        <v>8</v>
      </c>
      <c r="R30" s="122">
        <v>12</v>
      </c>
      <c r="S30" s="441">
        <f t="shared" si="4"/>
        <v>0</v>
      </c>
      <c r="T30" s="432">
        <f>P30-K30</f>
        <v>0</v>
      </c>
      <c r="U30" s="62">
        <f>S30-K30</f>
        <v>0</v>
      </c>
      <c r="V30" s="62">
        <f t="shared" ref="V30:V62" si="10">S30-P30</f>
        <v>0</v>
      </c>
    </row>
    <row r="31" spans="1:24" ht="50.15" customHeight="1" x14ac:dyDescent="0.6">
      <c r="A31" s="440">
        <v>1212300610</v>
      </c>
      <c r="B31" s="120">
        <v>21</v>
      </c>
      <c r="C31" s="121" t="s">
        <v>4</v>
      </c>
      <c r="D31" s="121" t="s">
        <v>32</v>
      </c>
      <c r="E31" s="121"/>
      <c r="F31" s="121" t="s">
        <v>52</v>
      </c>
      <c r="G31" s="122">
        <v>242537.60000000001</v>
      </c>
      <c r="H31" s="122">
        <v>200000</v>
      </c>
      <c r="I31" s="122">
        <v>384473.22</v>
      </c>
      <c r="J31" s="122">
        <v>398300</v>
      </c>
      <c r="K31" s="122">
        <v>200000</v>
      </c>
      <c r="L31" s="123"/>
      <c r="M31" s="123"/>
      <c r="N31" s="123"/>
      <c r="O31" s="226">
        <v>190394.35</v>
      </c>
      <c r="P31" s="122">
        <v>200000</v>
      </c>
      <c r="Q31" s="122">
        <v>12</v>
      </c>
      <c r="R31" s="122">
        <v>12</v>
      </c>
      <c r="S31" s="441">
        <f t="shared" si="4"/>
        <v>200000</v>
      </c>
      <c r="T31" s="432">
        <f t="shared" ref="T31:T62" si="11">P31-K31</f>
        <v>0</v>
      </c>
      <c r="U31" s="62">
        <f t="shared" ref="U31:U62" si="12">S31-K31</f>
        <v>0</v>
      </c>
      <c r="V31" s="62">
        <f t="shared" si="10"/>
        <v>0</v>
      </c>
      <c r="W31" s="153" t="s">
        <v>608</v>
      </c>
      <c r="X31" s="240" t="s">
        <v>761</v>
      </c>
    </row>
    <row r="32" spans="1:24" ht="50.15" customHeight="1" x14ac:dyDescent="0.6">
      <c r="A32" s="440">
        <v>1214200220</v>
      </c>
      <c r="B32" s="120">
        <v>21</v>
      </c>
      <c r="C32" s="121" t="s">
        <v>4</v>
      </c>
      <c r="D32" s="121" t="s">
        <v>32</v>
      </c>
      <c r="E32" s="121"/>
      <c r="F32" s="121" t="s">
        <v>53</v>
      </c>
      <c r="G32" s="122">
        <v>1191.55</v>
      </c>
      <c r="H32" s="122">
        <v>1000</v>
      </c>
      <c r="I32" s="122">
        <v>0</v>
      </c>
      <c r="J32" s="122">
        <v>0</v>
      </c>
      <c r="K32" s="122">
        <v>1000</v>
      </c>
      <c r="L32" s="123"/>
      <c r="M32" s="123"/>
      <c r="N32" s="123"/>
      <c r="O32" s="122">
        <v>0</v>
      </c>
      <c r="P32" s="122">
        <v>0</v>
      </c>
      <c r="Q32" s="122">
        <v>12</v>
      </c>
      <c r="R32" s="122">
        <v>12</v>
      </c>
      <c r="S32" s="441">
        <f t="shared" si="4"/>
        <v>0</v>
      </c>
      <c r="T32" s="432">
        <f t="shared" si="11"/>
        <v>-1000</v>
      </c>
      <c r="U32" s="62">
        <f t="shared" si="12"/>
        <v>-1000</v>
      </c>
      <c r="V32" s="62">
        <f t="shared" si="10"/>
        <v>0</v>
      </c>
    </row>
    <row r="33" spans="1:24" ht="50.15" customHeight="1" x14ac:dyDescent="0.6">
      <c r="A33" s="440">
        <v>1214210220</v>
      </c>
      <c r="B33" s="120">
        <v>21</v>
      </c>
      <c r="C33" s="121" t="s">
        <v>4</v>
      </c>
      <c r="D33" s="121" t="s">
        <v>32</v>
      </c>
      <c r="E33" s="121"/>
      <c r="F33" s="121" t="s">
        <v>54</v>
      </c>
      <c r="G33" s="122">
        <v>52169</v>
      </c>
      <c r="H33" s="122">
        <v>40000</v>
      </c>
      <c r="I33" s="122">
        <v>175734</v>
      </c>
      <c r="J33" s="122">
        <v>100000</v>
      </c>
      <c r="K33" s="122">
        <v>40000</v>
      </c>
      <c r="L33" s="123"/>
      <c r="M33" s="123"/>
      <c r="N33" s="123"/>
      <c r="O33" s="226">
        <v>167390</v>
      </c>
      <c r="P33" s="122">
        <v>80000</v>
      </c>
      <c r="Q33" s="122">
        <v>12</v>
      </c>
      <c r="R33" s="122">
        <v>12</v>
      </c>
      <c r="S33" s="441">
        <f t="shared" si="4"/>
        <v>80000</v>
      </c>
      <c r="T33" s="432">
        <f t="shared" si="11"/>
        <v>40000</v>
      </c>
      <c r="U33" s="62">
        <f t="shared" si="12"/>
        <v>40000</v>
      </c>
      <c r="V33" s="62">
        <f t="shared" si="10"/>
        <v>0</v>
      </c>
      <c r="W33" s="153" t="s">
        <v>765</v>
      </c>
    </row>
    <row r="34" spans="1:24" ht="50.15" customHeight="1" x14ac:dyDescent="0.6">
      <c r="A34" s="440">
        <v>1214300220</v>
      </c>
      <c r="B34" s="120">
        <v>21</v>
      </c>
      <c r="C34" s="121" t="s">
        <v>8</v>
      </c>
      <c r="D34" s="121" t="s">
        <v>8</v>
      </c>
      <c r="E34" s="121"/>
      <c r="F34" s="121" t="s">
        <v>55</v>
      </c>
      <c r="G34" s="122">
        <v>0</v>
      </c>
      <c r="H34" s="122">
        <v>0</v>
      </c>
      <c r="I34" s="122">
        <v>0</v>
      </c>
      <c r="J34" s="122">
        <v>0</v>
      </c>
      <c r="K34" s="122">
        <v>0</v>
      </c>
      <c r="L34" s="123"/>
      <c r="M34" s="123"/>
      <c r="N34" s="123"/>
      <c r="O34" s="122">
        <v>0</v>
      </c>
      <c r="P34" s="122">
        <v>0</v>
      </c>
      <c r="Q34" s="122">
        <v>12</v>
      </c>
      <c r="R34" s="122">
        <v>12</v>
      </c>
      <c r="S34" s="441">
        <f t="shared" si="4"/>
        <v>0</v>
      </c>
      <c r="T34" s="432">
        <f t="shared" si="11"/>
        <v>0</v>
      </c>
      <c r="U34" s="62">
        <f t="shared" si="12"/>
        <v>0</v>
      </c>
      <c r="V34" s="62">
        <f t="shared" si="10"/>
        <v>0</v>
      </c>
    </row>
    <row r="35" spans="1:24" ht="50.15" customHeight="1" x14ac:dyDescent="0.6">
      <c r="A35" s="440">
        <v>1215000980</v>
      </c>
      <c r="B35" s="120">
        <v>21</v>
      </c>
      <c r="C35" s="121" t="s">
        <v>9</v>
      </c>
      <c r="D35" s="121" t="s">
        <v>32</v>
      </c>
      <c r="E35" s="121"/>
      <c r="F35" s="121" t="s">
        <v>56</v>
      </c>
      <c r="G35" s="122">
        <v>62862</v>
      </c>
      <c r="H35" s="122">
        <v>0</v>
      </c>
      <c r="I35" s="122">
        <v>19075.199999999997</v>
      </c>
      <c r="J35" s="122">
        <v>0</v>
      </c>
      <c r="K35" s="122">
        <v>0</v>
      </c>
      <c r="L35" s="123"/>
      <c r="M35" s="123"/>
      <c r="N35" s="123"/>
      <c r="O35" s="122">
        <v>50000</v>
      </c>
      <c r="P35" s="122">
        <v>50000</v>
      </c>
      <c r="Q35" s="122">
        <v>12</v>
      </c>
      <c r="R35" s="122">
        <v>12</v>
      </c>
      <c r="S35" s="441">
        <f t="shared" si="4"/>
        <v>50000</v>
      </c>
      <c r="T35" s="432">
        <f t="shared" si="11"/>
        <v>50000</v>
      </c>
      <c r="U35" s="62">
        <f t="shared" si="12"/>
        <v>50000</v>
      </c>
      <c r="V35" s="62">
        <f t="shared" si="10"/>
        <v>0</v>
      </c>
      <c r="W35" s="153" t="s">
        <v>766</v>
      </c>
    </row>
    <row r="36" spans="1:24" ht="50.15" customHeight="1" x14ac:dyDescent="0.6">
      <c r="A36" s="440">
        <v>1215100980</v>
      </c>
      <c r="B36" s="120">
        <v>21</v>
      </c>
      <c r="C36" s="121" t="s">
        <v>9</v>
      </c>
      <c r="D36" s="121" t="s">
        <v>32</v>
      </c>
      <c r="E36" s="121"/>
      <c r="F36" s="121" t="s">
        <v>57</v>
      </c>
      <c r="G36" s="122">
        <v>240377</v>
      </c>
      <c r="H36" s="122">
        <v>142486</v>
      </c>
      <c r="I36" s="122">
        <v>134854.79999999999</v>
      </c>
      <c r="J36" s="122">
        <v>142486</v>
      </c>
      <c r="K36" s="122">
        <v>142486</v>
      </c>
      <c r="L36" s="123"/>
      <c r="M36" s="123"/>
      <c r="N36" s="123"/>
      <c r="O36" s="226">
        <v>112379</v>
      </c>
      <c r="P36" s="122">
        <v>142486</v>
      </c>
      <c r="Q36" s="122">
        <v>12</v>
      </c>
      <c r="R36" s="122">
        <v>12</v>
      </c>
      <c r="S36" s="441">
        <f t="shared" si="4"/>
        <v>142486</v>
      </c>
      <c r="T36" s="432">
        <f t="shared" si="11"/>
        <v>0</v>
      </c>
      <c r="U36" s="62">
        <f t="shared" si="12"/>
        <v>0</v>
      </c>
      <c r="V36" s="62">
        <f t="shared" si="10"/>
        <v>0</v>
      </c>
      <c r="W36" s="338" t="s">
        <v>2146</v>
      </c>
    </row>
    <row r="37" spans="1:24" ht="50.15" customHeight="1" x14ac:dyDescent="0.6">
      <c r="A37" s="440">
        <v>1215200980</v>
      </c>
      <c r="B37" s="120">
        <v>21</v>
      </c>
      <c r="C37" s="121" t="s">
        <v>9</v>
      </c>
      <c r="D37" s="121" t="s">
        <v>32</v>
      </c>
      <c r="E37" s="121"/>
      <c r="F37" s="121" t="s">
        <v>58</v>
      </c>
      <c r="G37" s="122">
        <v>59600</v>
      </c>
      <c r="H37" s="122">
        <v>0</v>
      </c>
      <c r="I37" s="122">
        <v>32760</v>
      </c>
      <c r="J37" s="122">
        <v>0</v>
      </c>
      <c r="K37" s="122">
        <v>0</v>
      </c>
      <c r="L37" s="123"/>
      <c r="M37" s="123"/>
      <c r="N37" s="123"/>
      <c r="O37" s="226">
        <v>27300</v>
      </c>
      <c r="P37" s="122">
        <v>27300</v>
      </c>
      <c r="Q37" s="122">
        <v>12</v>
      </c>
      <c r="R37" s="122">
        <v>12</v>
      </c>
      <c r="S37" s="441">
        <f t="shared" si="4"/>
        <v>27300</v>
      </c>
      <c r="T37" s="432">
        <f t="shared" si="11"/>
        <v>27300</v>
      </c>
      <c r="U37" s="62">
        <f t="shared" si="12"/>
        <v>27300</v>
      </c>
      <c r="V37" s="62">
        <f t="shared" si="10"/>
        <v>0</v>
      </c>
      <c r="W37" s="153" t="s">
        <v>767</v>
      </c>
    </row>
    <row r="38" spans="1:24" ht="50.15" customHeight="1" x14ac:dyDescent="0.6">
      <c r="A38" s="440">
        <v>1222000910</v>
      </c>
      <c r="B38" s="120">
        <v>22</v>
      </c>
      <c r="C38" s="121" t="s">
        <v>8</v>
      </c>
      <c r="D38" s="121" t="s">
        <v>8</v>
      </c>
      <c r="E38" s="121"/>
      <c r="F38" s="121" t="s">
        <v>59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3"/>
      <c r="M38" s="123"/>
      <c r="N38" s="123"/>
      <c r="O38" s="122">
        <v>0</v>
      </c>
      <c r="P38" s="122">
        <v>0</v>
      </c>
      <c r="Q38" s="122">
        <v>12</v>
      </c>
      <c r="R38" s="122">
        <v>12</v>
      </c>
      <c r="S38" s="441">
        <f t="shared" si="4"/>
        <v>0</v>
      </c>
      <c r="T38" s="432">
        <f t="shared" si="11"/>
        <v>0</v>
      </c>
      <c r="U38" s="62">
        <f t="shared" si="12"/>
        <v>0</v>
      </c>
      <c r="V38" s="62">
        <f t="shared" si="10"/>
        <v>0</v>
      </c>
    </row>
    <row r="39" spans="1:24" ht="50.15" customHeight="1" x14ac:dyDescent="0.6">
      <c r="A39" s="440">
        <v>1227000970</v>
      </c>
      <c r="B39" s="120">
        <v>22</v>
      </c>
      <c r="C39" s="121" t="s">
        <v>9</v>
      </c>
      <c r="D39" s="121" t="s">
        <v>32</v>
      </c>
      <c r="E39" s="121"/>
      <c r="F39" s="121" t="s">
        <v>60</v>
      </c>
      <c r="G39" s="122">
        <v>92401</v>
      </c>
      <c r="H39" s="122">
        <v>92401</v>
      </c>
      <c r="I39" s="122">
        <v>88872.9</v>
      </c>
      <c r="J39" s="122">
        <v>95746</v>
      </c>
      <c r="K39" s="122">
        <v>92401</v>
      </c>
      <c r="L39" s="123"/>
      <c r="M39" s="123"/>
      <c r="N39" s="123"/>
      <c r="O39" s="226">
        <f>46000+2444.2</f>
        <v>48444.2</v>
      </c>
      <c r="P39" s="122">
        <v>50000</v>
      </c>
      <c r="Q39" s="122">
        <v>12</v>
      </c>
      <c r="R39" s="122">
        <v>12</v>
      </c>
      <c r="S39" s="441">
        <f t="shared" si="4"/>
        <v>50000</v>
      </c>
      <c r="T39" s="432">
        <f t="shared" si="11"/>
        <v>-42401</v>
      </c>
      <c r="U39" s="62">
        <f t="shared" si="12"/>
        <v>-42401</v>
      </c>
      <c r="V39" s="62">
        <f t="shared" si="10"/>
        <v>0</v>
      </c>
      <c r="W39" s="338" t="s">
        <v>768</v>
      </c>
    </row>
    <row r="40" spans="1:24" ht="50.15" customHeight="1" x14ac:dyDescent="0.6">
      <c r="A40" s="440">
        <v>1231000220</v>
      </c>
      <c r="B40" s="120">
        <v>23</v>
      </c>
      <c r="C40" s="121" t="s">
        <v>4</v>
      </c>
      <c r="D40" s="121" t="s">
        <v>32</v>
      </c>
      <c r="E40" s="121"/>
      <c r="F40" s="121" t="s">
        <v>61</v>
      </c>
      <c r="G40" s="122">
        <v>24000</v>
      </c>
      <c r="H40" s="122">
        <v>20000</v>
      </c>
      <c r="I40" s="122">
        <v>37920</v>
      </c>
      <c r="J40" s="122">
        <v>40000</v>
      </c>
      <c r="K40" s="122">
        <v>20000</v>
      </c>
      <c r="L40" s="123"/>
      <c r="M40" s="123"/>
      <c r="N40" s="123"/>
      <c r="O40" s="122">
        <v>17920</v>
      </c>
      <c r="P40" s="122">
        <v>20000</v>
      </c>
      <c r="Q40" s="122">
        <v>12</v>
      </c>
      <c r="R40" s="122">
        <v>12</v>
      </c>
      <c r="S40" s="441">
        <f t="shared" si="4"/>
        <v>20000</v>
      </c>
      <c r="T40" s="432">
        <f t="shared" si="11"/>
        <v>0</v>
      </c>
      <c r="U40" s="62">
        <f t="shared" si="12"/>
        <v>0</v>
      </c>
      <c r="V40" s="62">
        <f t="shared" si="10"/>
        <v>0</v>
      </c>
      <c r="W40" s="153" t="s">
        <v>608</v>
      </c>
    </row>
    <row r="41" spans="1:24" ht="50.15" customHeight="1" x14ac:dyDescent="0.6">
      <c r="A41" s="440">
        <v>1231000221</v>
      </c>
      <c r="B41" s="120">
        <v>23</v>
      </c>
      <c r="C41" s="121" t="s">
        <v>4</v>
      </c>
      <c r="D41" s="121" t="s">
        <v>32</v>
      </c>
      <c r="E41" s="121"/>
      <c r="F41" s="121" t="s">
        <v>62</v>
      </c>
      <c r="G41" s="122">
        <v>19341</v>
      </c>
      <c r="H41" s="122">
        <v>15000</v>
      </c>
      <c r="I41" s="122">
        <v>30352.800000000003</v>
      </c>
      <c r="J41" s="122">
        <v>30000</v>
      </c>
      <c r="K41" s="122">
        <v>15000</v>
      </c>
      <c r="L41" s="123"/>
      <c r="M41" s="123"/>
      <c r="N41" s="123"/>
      <c r="O41" s="226">
        <v>25294</v>
      </c>
      <c r="P41" s="122">
        <v>25000</v>
      </c>
      <c r="Q41" s="122">
        <v>12</v>
      </c>
      <c r="R41" s="122">
        <v>12</v>
      </c>
      <c r="S41" s="441">
        <f t="shared" si="4"/>
        <v>25000</v>
      </c>
      <c r="T41" s="432">
        <f t="shared" si="11"/>
        <v>10000</v>
      </c>
      <c r="U41" s="62">
        <f t="shared" si="12"/>
        <v>10000</v>
      </c>
      <c r="V41" s="62">
        <f t="shared" si="10"/>
        <v>0</v>
      </c>
      <c r="W41" s="338" t="s">
        <v>769</v>
      </c>
    </row>
    <row r="42" spans="1:24" ht="50.15" customHeight="1" x14ac:dyDescent="0.6">
      <c r="A42" s="440">
        <v>1231000591</v>
      </c>
      <c r="B42" s="120">
        <v>23</v>
      </c>
      <c r="C42" s="121" t="s">
        <v>4</v>
      </c>
      <c r="D42" s="121" t="s">
        <v>32</v>
      </c>
      <c r="E42" s="121"/>
      <c r="F42" s="121" t="s">
        <v>63</v>
      </c>
      <c r="G42" s="122">
        <v>690485</v>
      </c>
      <c r="H42" s="122">
        <v>650000</v>
      </c>
      <c r="I42" s="122">
        <v>650000</v>
      </c>
      <c r="J42" s="122">
        <v>650000</v>
      </c>
      <c r="K42" s="122">
        <v>650000</v>
      </c>
      <c r="L42" s="123"/>
      <c r="M42" s="123"/>
      <c r="N42" s="123"/>
      <c r="O42" s="226">
        <v>793308.29</v>
      </c>
      <c r="P42" s="122">
        <f>674798+750000</f>
        <v>1424798</v>
      </c>
      <c r="Q42" s="122">
        <v>12</v>
      </c>
      <c r="R42" s="122">
        <v>12</v>
      </c>
      <c r="S42" s="441">
        <f t="shared" si="4"/>
        <v>1424798</v>
      </c>
      <c r="T42" s="432">
        <f t="shared" si="11"/>
        <v>774798</v>
      </c>
      <c r="U42" s="62">
        <f t="shared" si="12"/>
        <v>774798</v>
      </c>
      <c r="V42" s="62">
        <f t="shared" si="10"/>
        <v>0</v>
      </c>
      <c r="W42" s="337" t="s">
        <v>770</v>
      </c>
    </row>
    <row r="43" spans="1:24" ht="50.15" customHeight="1" x14ac:dyDescent="0.6">
      <c r="A43" s="440">
        <v>1232000590</v>
      </c>
      <c r="B43" s="120">
        <v>23</v>
      </c>
      <c r="C43" s="121" t="s">
        <v>4</v>
      </c>
      <c r="D43" s="121" t="s">
        <v>32</v>
      </c>
      <c r="E43" s="121"/>
      <c r="F43" s="121" t="s">
        <v>64</v>
      </c>
      <c r="G43" s="122">
        <v>159634</v>
      </c>
      <c r="H43" s="122">
        <v>476100</v>
      </c>
      <c r="I43" s="122">
        <v>529000</v>
      </c>
      <c r="J43" s="122">
        <v>626974</v>
      </c>
      <c r="K43" s="122">
        <v>476100</v>
      </c>
      <c r="L43" s="123"/>
      <c r="M43" s="123"/>
      <c r="N43" s="123"/>
      <c r="O43" s="122">
        <v>341000</v>
      </c>
      <c r="P43" s="122">
        <f>165000*2</f>
        <v>330000</v>
      </c>
      <c r="Q43" s="122">
        <v>12</v>
      </c>
      <c r="R43" s="122">
        <v>12</v>
      </c>
      <c r="S43" s="441">
        <f t="shared" si="4"/>
        <v>330000</v>
      </c>
      <c r="T43" s="432">
        <f t="shared" si="11"/>
        <v>-146100</v>
      </c>
      <c r="U43" s="62">
        <f t="shared" si="12"/>
        <v>-146100</v>
      </c>
      <c r="V43" s="62">
        <f t="shared" si="10"/>
        <v>0</v>
      </c>
      <c r="W43" s="338" t="s">
        <v>958</v>
      </c>
    </row>
    <row r="44" spans="1:24" ht="50.15" customHeight="1" x14ac:dyDescent="0.6">
      <c r="A44" s="440">
        <v>1233100220</v>
      </c>
      <c r="B44" s="120">
        <v>23</v>
      </c>
      <c r="C44" s="121" t="s">
        <v>4</v>
      </c>
      <c r="D44" s="121" t="s">
        <v>32</v>
      </c>
      <c r="E44" s="121"/>
      <c r="F44" s="121" t="s">
        <v>65</v>
      </c>
      <c r="G44" s="122">
        <v>1321302.2</v>
      </c>
      <c r="H44" s="122">
        <v>1100000</v>
      </c>
      <c r="I44" s="122">
        <v>1247720.3640000001</v>
      </c>
      <c r="J44" s="122">
        <v>1500000</v>
      </c>
      <c r="K44" s="122">
        <v>1100000</v>
      </c>
      <c r="L44" s="123"/>
      <c r="M44" s="123"/>
      <c r="N44" s="123"/>
      <c r="O44" s="226">
        <v>1282486.3799999999</v>
      </c>
      <c r="P44" s="122">
        <v>1500000</v>
      </c>
      <c r="Q44" s="122">
        <v>12</v>
      </c>
      <c r="R44" s="122">
        <v>12</v>
      </c>
      <c r="S44" s="441">
        <f t="shared" si="4"/>
        <v>1500000</v>
      </c>
      <c r="T44" s="432">
        <f t="shared" si="11"/>
        <v>400000</v>
      </c>
      <c r="U44" s="62">
        <f t="shared" si="12"/>
        <v>400000</v>
      </c>
      <c r="V44" s="62">
        <f t="shared" si="10"/>
        <v>0</v>
      </c>
      <c r="W44" s="154" t="s">
        <v>771</v>
      </c>
    </row>
    <row r="45" spans="1:24" ht="50.15" customHeight="1" x14ac:dyDescent="0.6">
      <c r="A45" s="440">
        <v>1244000980</v>
      </c>
      <c r="B45" s="120">
        <v>24</v>
      </c>
      <c r="C45" s="121" t="s">
        <v>9</v>
      </c>
      <c r="D45" s="121" t="s">
        <v>32</v>
      </c>
      <c r="E45" s="121"/>
      <c r="F45" s="121" t="s">
        <v>66</v>
      </c>
      <c r="G45" s="122">
        <v>38000</v>
      </c>
      <c r="H45" s="122">
        <v>44000</v>
      </c>
      <c r="I45" s="122">
        <v>25800</v>
      </c>
      <c r="J45" s="122">
        <v>37000</v>
      </c>
      <c r="K45" s="122">
        <v>44000</v>
      </c>
      <c r="L45" s="123"/>
      <c r="M45" s="123"/>
      <c r="N45" s="123"/>
      <c r="O45" s="226">
        <v>32931</v>
      </c>
      <c r="P45" s="122">
        <v>37000</v>
      </c>
      <c r="Q45" s="122">
        <v>12</v>
      </c>
      <c r="R45" s="122">
        <v>12</v>
      </c>
      <c r="S45" s="441">
        <f t="shared" si="4"/>
        <v>37000</v>
      </c>
      <c r="T45" s="432">
        <f t="shared" si="11"/>
        <v>-7000</v>
      </c>
      <c r="U45" s="62">
        <f t="shared" si="12"/>
        <v>-7000</v>
      </c>
      <c r="V45" s="62">
        <f t="shared" si="10"/>
        <v>0</v>
      </c>
      <c r="W45" s="155" t="s">
        <v>608</v>
      </c>
    </row>
    <row r="46" spans="1:24" ht="50.15" customHeight="1" x14ac:dyDescent="0.6">
      <c r="A46" s="440">
        <v>1265000690</v>
      </c>
      <c r="B46" s="120">
        <v>26</v>
      </c>
      <c r="C46" s="121" t="s">
        <v>4</v>
      </c>
      <c r="D46" s="121" t="s">
        <v>32</v>
      </c>
      <c r="E46" s="121"/>
      <c r="F46" s="121" t="s">
        <v>67</v>
      </c>
      <c r="G46" s="122">
        <v>912012.91</v>
      </c>
      <c r="H46" s="122">
        <v>1000000</v>
      </c>
      <c r="I46" s="122">
        <v>938000</v>
      </c>
      <c r="J46" s="122">
        <v>938828.4</v>
      </c>
      <c r="K46" s="122">
        <v>1000000</v>
      </c>
      <c r="L46" s="123"/>
      <c r="M46" s="123"/>
      <c r="N46" s="123"/>
      <c r="O46" s="122">
        <v>709000</v>
      </c>
      <c r="P46" s="122">
        <v>900000</v>
      </c>
      <c r="Q46" s="122">
        <v>12</v>
      </c>
      <c r="R46" s="122">
        <v>12</v>
      </c>
      <c r="S46" s="441">
        <f t="shared" si="4"/>
        <v>900000</v>
      </c>
      <c r="T46" s="432">
        <f t="shared" si="11"/>
        <v>-100000</v>
      </c>
      <c r="U46" s="62">
        <f t="shared" si="12"/>
        <v>-100000</v>
      </c>
      <c r="V46" s="62">
        <f t="shared" si="10"/>
        <v>0</v>
      </c>
      <c r="W46" s="155" t="s">
        <v>772</v>
      </c>
      <c r="X46" s="239" t="s">
        <v>1041</v>
      </c>
    </row>
    <row r="47" spans="1:24" ht="50.15" customHeight="1" x14ac:dyDescent="0.6">
      <c r="A47" s="440">
        <v>1269000220</v>
      </c>
      <c r="B47" s="120">
        <v>26</v>
      </c>
      <c r="C47" s="121" t="s">
        <v>4</v>
      </c>
      <c r="D47" s="121" t="s">
        <v>32</v>
      </c>
      <c r="E47" s="121"/>
      <c r="F47" s="121" t="s">
        <v>68</v>
      </c>
      <c r="G47" s="122">
        <v>1894</v>
      </c>
      <c r="H47" s="122">
        <v>5000</v>
      </c>
      <c r="I47" s="122">
        <v>0</v>
      </c>
      <c r="J47" s="122">
        <v>0</v>
      </c>
      <c r="K47" s="122">
        <v>5000</v>
      </c>
      <c r="L47" s="123"/>
      <c r="M47" s="123"/>
      <c r="N47" s="123"/>
      <c r="O47" s="122">
        <v>0</v>
      </c>
      <c r="P47" s="122">
        <v>0</v>
      </c>
      <c r="Q47" s="122">
        <v>12</v>
      </c>
      <c r="R47" s="122">
        <v>12</v>
      </c>
      <c r="S47" s="441">
        <f t="shared" si="4"/>
        <v>0</v>
      </c>
      <c r="T47" s="432">
        <f t="shared" si="11"/>
        <v>-5000</v>
      </c>
      <c r="U47" s="62">
        <f t="shared" si="12"/>
        <v>-5000</v>
      </c>
      <c r="V47" s="62">
        <f t="shared" si="10"/>
        <v>0</v>
      </c>
      <c r="W47" s="155" t="s">
        <v>608</v>
      </c>
    </row>
    <row r="48" spans="1:24" ht="50.15" customHeight="1" x14ac:dyDescent="0.6">
      <c r="A48" s="440">
        <v>1269000221</v>
      </c>
      <c r="B48" s="120">
        <v>26</v>
      </c>
      <c r="C48" s="121" t="s">
        <v>4</v>
      </c>
      <c r="D48" s="121" t="s">
        <v>32</v>
      </c>
      <c r="E48" s="121"/>
      <c r="F48" s="121" t="s">
        <v>69</v>
      </c>
      <c r="G48" s="122">
        <v>43620</v>
      </c>
      <c r="H48" s="122">
        <v>40000</v>
      </c>
      <c r="I48" s="122">
        <v>61093.200000000004</v>
      </c>
      <c r="J48" s="122">
        <v>62000</v>
      </c>
      <c r="K48" s="122">
        <v>40000</v>
      </c>
      <c r="L48" s="123"/>
      <c r="M48" s="123"/>
      <c r="N48" s="123"/>
      <c r="O48" s="226">
        <v>65722</v>
      </c>
      <c r="P48" s="122">
        <v>65000</v>
      </c>
      <c r="Q48" s="122">
        <v>12</v>
      </c>
      <c r="R48" s="122">
        <v>12</v>
      </c>
      <c r="S48" s="441">
        <f t="shared" si="4"/>
        <v>65000</v>
      </c>
      <c r="T48" s="432">
        <f t="shared" si="11"/>
        <v>25000</v>
      </c>
      <c r="U48" s="62">
        <f t="shared" si="12"/>
        <v>25000</v>
      </c>
      <c r="V48" s="62">
        <f t="shared" si="10"/>
        <v>0</v>
      </c>
      <c r="W48" s="155" t="s">
        <v>608</v>
      </c>
    </row>
    <row r="49" spans="1:23" ht="50.15" customHeight="1" x14ac:dyDescent="0.6">
      <c r="A49" s="440">
        <v>1269000690</v>
      </c>
      <c r="B49" s="120">
        <v>26</v>
      </c>
      <c r="C49" s="121" t="s">
        <v>4</v>
      </c>
      <c r="D49" s="121" t="s">
        <v>32</v>
      </c>
      <c r="E49" s="121"/>
      <c r="F49" s="121" t="s">
        <v>70</v>
      </c>
      <c r="G49" s="122">
        <v>386261.42</v>
      </c>
      <c r="H49" s="122">
        <v>200000</v>
      </c>
      <c r="I49" s="122">
        <v>200000</v>
      </c>
      <c r="J49" s="122">
        <v>200000</v>
      </c>
      <c r="K49" s="122">
        <v>200000</v>
      </c>
      <c r="L49" s="123"/>
      <c r="M49" s="123"/>
      <c r="N49" s="123"/>
      <c r="O49" s="122">
        <v>232000</v>
      </c>
      <c r="P49" s="122">
        <v>200000</v>
      </c>
      <c r="Q49" s="122">
        <v>12</v>
      </c>
      <c r="R49" s="122">
        <v>12</v>
      </c>
      <c r="S49" s="441">
        <f t="shared" si="4"/>
        <v>200000</v>
      </c>
      <c r="T49" s="432">
        <f t="shared" si="11"/>
        <v>0</v>
      </c>
      <c r="U49" s="62">
        <f t="shared" si="12"/>
        <v>0</v>
      </c>
      <c r="V49" s="62">
        <f t="shared" si="10"/>
        <v>0</v>
      </c>
      <c r="W49" s="158" t="s">
        <v>1026</v>
      </c>
    </row>
    <row r="50" spans="1:23" ht="50.15" customHeight="1" x14ac:dyDescent="0.6">
      <c r="A50" s="440">
        <v>1269000691</v>
      </c>
      <c r="B50" s="120">
        <v>26</v>
      </c>
      <c r="C50" s="121" t="s">
        <v>8</v>
      </c>
      <c r="D50" s="121" t="s">
        <v>8</v>
      </c>
      <c r="E50" s="121"/>
      <c r="F50" s="121" t="s">
        <v>71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3"/>
      <c r="M50" s="123"/>
      <c r="N50" s="123"/>
      <c r="O50" s="122">
        <v>0</v>
      </c>
      <c r="P50" s="122">
        <v>0</v>
      </c>
      <c r="Q50" s="122">
        <v>12</v>
      </c>
      <c r="R50" s="122">
        <v>12</v>
      </c>
      <c r="S50" s="441">
        <f t="shared" si="4"/>
        <v>0</v>
      </c>
      <c r="T50" s="432">
        <f t="shared" si="11"/>
        <v>0</v>
      </c>
      <c r="U50" s="62">
        <f t="shared" si="12"/>
        <v>0</v>
      </c>
      <c r="V50" s="62">
        <f t="shared" si="10"/>
        <v>0</v>
      </c>
    </row>
    <row r="51" spans="1:23" ht="50.15" customHeight="1" x14ac:dyDescent="0.6">
      <c r="A51" s="440">
        <v>1269000692</v>
      </c>
      <c r="B51" s="120">
        <v>26</v>
      </c>
      <c r="C51" s="121" t="s">
        <v>4</v>
      </c>
      <c r="D51" s="121" t="s">
        <v>32</v>
      </c>
      <c r="E51" s="121"/>
      <c r="F51" s="121" t="s">
        <v>72</v>
      </c>
      <c r="G51" s="122">
        <v>4972.8500000000004</v>
      </c>
      <c r="H51" s="122">
        <v>10000</v>
      </c>
      <c r="I51" s="122">
        <v>3549.4560000000001</v>
      </c>
      <c r="J51" s="122">
        <v>3500</v>
      </c>
      <c r="K51" s="122">
        <v>10000</v>
      </c>
      <c r="L51" s="123"/>
      <c r="M51" s="123"/>
      <c r="N51" s="123"/>
      <c r="O51" s="122">
        <v>3367</v>
      </c>
      <c r="P51" s="122">
        <v>5000</v>
      </c>
      <c r="Q51" s="122">
        <v>12</v>
      </c>
      <c r="R51" s="122">
        <v>12</v>
      </c>
      <c r="S51" s="441">
        <f t="shared" si="4"/>
        <v>5000</v>
      </c>
      <c r="T51" s="432">
        <f t="shared" si="11"/>
        <v>-5000</v>
      </c>
      <c r="U51" s="62">
        <f t="shared" si="12"/>
        <v>-5000</v>
      </c>
      <c r="V51" s="62">
        <f t="shared" si="10"/>
        <v>0</v>
      </c>
      <c r="W51" s="155" t="s">
        <v>608</v>
      </c>
    </row>
    <row r="52" spans="1:23" ht="50.15" customHeight="1" x14ac:dyDescent="0.6">
      <c r="A52" s="440">
        <v>1269000693</v>
      </c>
      <c r="B52" s="120">
        <v>26</v>
      </c>
      <c r="C52" s="121" t="s">
        <v>4</v>
      </c>
      <c r="D52" s="121" t="s">
        <v>32</v>
      </c>
      <c r="E52" s="121"/>
      <c r="F52" s="121" t="s">
        <v>73</v>
      </c>
      <c r="G52" s="122">
        <v>0</v>
      </c>
      <c r="H52" s="122">
        <v>739000</v>
      </c>
      <c r="I52" s="122">
        <v>868000</v>
      </c>
      <c r="J52" s="122">
        <v>600000</v>
      </c>
      <c r="K52" s="122">
        <v>0</v>
      </c>
      <c r="L52" s="123"/>
      <c r="M52" s="123"/>
      <c r="N52" s="123"/>
      <c r="O52" s="226">
        <v>867704.17</v>
      </c>
      <c r="P52" s="122">
        <v>700000</v>
      </c>
      <c r="Q52" s="122">
        <v>12</v>
      </c>
      <c r="R52" s="122">
        <v>12</v>
      </c>
      <c r="S52" s="441">
        <f>P52*Q52/R52-400000</f>
        <v>300000</v>
      </c>
      <c r="T52" s="432">
        <f t="shared" si="11"/>
        <v>700000</v>
      </c>
      <c r="U52" s="62">
        <f t="shared" si="12"/>
        <v>300000</v>
      </c>
      <c r="V52" s="62">
        <f t="shared" si="10"/>
        <v>-400000</v>
      </c>
      <c r="W52" s="155" t="s">
        <v>956</v>
      </c>
    </row>
    <row r="53" spans="1:23" ht="50.15" customHeight="1" x14ac:dyDescent="0.6">
      <c r="A53" s="440">
        <v>1269000696</v>
      </c>
      <c r="B53" s="120">
        <v>26</v>
      </c>
      <c r="C53" s="121" t="s">
        <v>4</v>
      </c>
      <c r="D53" s="121" t="s">
        <v>32</v>
      </c>
      <c r="E53" s="121"/>
      <c r="F53" s="121" t="s">
        <v>74</v>
      </c>
      <c r="G53" s="122">
        <v>178705</v>
      </c>
      <c r="H53" s="122">
        <v>148701</v>
      </c>
      <c r="I53" s="122">
        <v>82112.399999999994</v>
      </c>
      <c r="J53" s="122">
        <v>0</v>
      </c>
      <c r="K53" s="122">
        <v>148701</v>
      </c>
      <c r="L53" s="123"/>
      <c r="M53" s="123"/>
      <c r="N53" s="123"/>
      <c r="O53" s="226">
        <v>93989.47</v>
      </c>
      <c r="P53" s="122">
        <v>94000</v>
      </c>
      <c r="Q53" s="122">
        <v>12</v>
      </c>
      <c r="R53" s="122">
        <v>12</v>
      </c>
      <c r="S53" s="441">
        <f t="shared" si="4"/>
        <v>94000</v>
      </c>
      <c r="T53" s="432">
        <f t="shared" si="11"/>
        <v>-54701</v>
      </c>
      <c r="U53" s="62">
        <f t="shared" si="12"/>
        <v>-54701</v>
      </c>
      <c r="V53" s="62">
        <f t="shared" si="10"/>
        <v>0</v>
      </c>
      <c r="W53" s="155" t="s">
        <v>1028</v>
      </c>
    </row>
    <row r="54" spans="1:23" ht="50.15" customHeight="1" x14ac:dyDescent="0.6">
      <c r="A54" s="440">
        <v>1269000697</v>
      </c>
      <c r="B54" s="120">
        <v>26</v>
      </c>
      <c r="C54" s="121" t="s">
        <v>4</v>
      </c>
      <c r="D54" s="121" t="s">
        <v>32</v>
      </c>
      <c r="E54" s="121"/>
      <c r="F54" s="121" t="s">
        <v>75</v>
      </c>
      <c r="G54" s="122">
        <v>385940</v>
      </c>
      <c r="H54" s="122">
        <v>385940</v>
      </c>
      <c r="I54" s="122">
        <v>188042.40000000002</v>
      </c>
      <c r="J54" s="122">
        <v>0</v>
      </c>
      <c r="K54" s="122">
        <v>385940</v>
      </c>
      <c r="L54" s="123"/>
      <c r="M54" s="123"/>
      <c r="N54" s="123"/>
      <c r="O54" s="226">
        <v>208936</v>
      </c>
      <c r="P54" s="122">
        <v>209000</v>
      </c>
      <c r="Q54" s="122">
        <v>12</v>
      </c>
      <c r="R54" s="122">
        <v>12</v>
      </c>
      <c r="S54" s="441">
        <f t="shared" si="4"/>
        <v>209000</v>
      </c>
      <c r="T54" s="432">
        <f t="shared" si="11"/>
        <v>-176940</v>
      </c>
      <c r="U54" s="62">
        <f t="shared" si="12"/>
        <v>-176940</v>
      </c>
      <c r="V54" s="62">
        <f t="shared" si="10"/>
        <v>0</v>
      </c>
      <c r="W54" s="155" t="s">
        <v>1027</v>
      </c>
    </row>
    <row r="55" spans="1:23" ht="50.15" customHeight="1" x14ac:dyDescent="0.6">
      <c r="A55" s="440">
        <v>1269000698</v>
      </c>
      <c r="B55" s="120">
        <v>26</v>
      </c>
      <c r="C55" s="121" t="s">
        <v>4</v>
      </c>
      <c r="D55" s="121" t="s">
        <v>32</v>
      </c>
      <c r="E55" s="121"/>
      <c r="F55" s="121" t="s">
        <v>76</v>
      </c>
      <c r="G55" s="122">
        <v>208333.32</v>
      </c>
      <c r="H55" s="122">
        <v>208000</v>
      </c>
      <c r="I55" s="122">
        <v>208333.32</v>
      </c>
      <c r="J55" s="122">
        <v>208333</v>
      </c>
      <c r="K55" s="122">
        <v>208000</v>
      </c>
      <c r="L55" s="123"/>
      <c r="M55" s="123"/>
      <c r="N55" s="123"/>
      <c r="O55" s="122">
        <v>208333.32</v>
      </c>
      <c r="P55" s="122">
        <v>208000</v>
      </c>
      <c r="Q55" s="122">
        <v>12</v>
      </c>
      <c r="R55" s="122">
        <v>12</v>
      </c>
      <c r="S55" s="441">
        <f t="shared" si="4"/>
        <v>208000</v>
      </c>
      <c r="T55" s="432">
        <f t="shared" si="11"/>
        <v>0</v>
      </c>
      <c r="U55" s="62">
        <f t="shared" si="12"/>
        <v>0</v>
      </c>
      <c r="V55" s="62">
        <f t="shared" si="10"/>
        <v>0</v>
      </c>
      <c r="W55" s="153" t="s">
        <v>957</v>
      </c>
    </row>
    <row r="56" spans="1:23" ht="50.15" customHeight="1" x14ac:dyDescent="0.6">
      <c r="A56" s="440">
        <v>1269000699</v>
      </c>
      <c r="B56" s="120">
        <v>26</v>
      </c>
      <c r="C56" s="121" t="s">
        <v>4</v>
      </c>
      <c r="D56" s="121" t="s">
        <v>32</v>
      </c>
      <c r="E56" s="121"/>
      <c r="F56" s="121" t="s">
        <v>76</v>
      </c>
      <c r="G56" s="122">
        <v>45140.160000000003</v>
      </c>
      <c r="H56" s="122">
        <v>73000</v>
      </c>
      <c r="I56" s="122">
        <v>44077.835999999996</v>
      </c>
      <c r="J56" s="122">
        <v>45000</v>
      </c>
      <c r="K56" s="122">
        <v>73000</v>
      </c>
      <c r="L56" s="123"/>
      <c r="M56" s="123"/>
      <c r="N56" s="123"/>
      <c r="O56" s="226">
        <v>43606.53</v>
      </c>
      <c r="P56" s="122">
        <v>45000</v>
      </c>
      <c r="Q56" s="122">
        <v>12</v>
      </c>
      <c r="R56" s="122">
        <v>12</v>
      </c>
      <c r="S56" s="441">
        <f t="shared" si="4"/>
        <v>45000</v>
      </c>
      <c r="T56" s="432">
        <f t="shared" si="11"/>
        <v>-28000</v>
      </c>
      <c r="U56" s="62">
        <f t="shared" si="12"/>
        <v>-28000</v>
      </c>
      <c r="V56" s="62">
        <f t="shared" si="10"/>
        <v>0</v>
      </c>
      <c r="W56" s="153" t="s">
        <v>773</v>
      </c>
    </row>
    <row r="57" spans="1:23" ht="50.15" customHeight="1" x14ac:dyDescent="0.6">
      <c r="A57" s="440">
        <v>1269000990</v>
      </c>
      <c r="B57" s="120">
        <v>26</v>
      </c>
      <c r="C57" s="121" t="s">
        <v>9</v>
      </c>
      <c r="D57" s="121" t="s">
        <v>32</v>
      </c>
      <c r="E57" s="121"/>
      <c r="F57" s="121" t="s">
        <v>77</v>
      </c>
      <c r="G57" s="122">
        <v>0</v>
      </c>
      <c r="H57" s="122">
        <v>270781</v>
      </c>
      <c r="I57" s="122">
        <v>120000</v>
      </c>
      <c r="J57" s="122">
        <v>187500</v>
      </c>
      <c r="K57" s="122">
        <v>270781</v>
      </c>
      <c r="L57" s="123"/>
      <c r="M57" s="123"/>
      <c r="N57" s="123"/>
      <c r="O57" s="122">
        <v>0</v>
      </c>
      <c r="P57" s="122">
        <v>187500</v>
      </c>
      <c r="Q57" s="122">
        <v>12</v>
      </c>
      <c r="R57" s="122">
        <v>12</v>
      </c>
      <c r="S57" s="441">
        <f t="shared" si="4"/>
        <v>187500</v>
      </c>
      <c r="T57" s="432">
        <f t="shared" si="11"/>
        <v>-83281</v>
      </c>
      <c r="U57" s="62">
        <f t="shared" si="12"/>
        <v>-83281</v>
      </c>
      <c r="V57" s="62">
        <f t="shared" si="10"/>
        <v>0</v>
      </c>
      <c r="W57" s="155" t="s">
        <v>774</v>
      </c>
    </row>
    <row r="58" spans="1:23" ht="50.15" customHeight="1" x14ac:dyDescent="0.6">
      <c r="A58" s="440">
        <v>1272000990</v>
      </c>
      <c r="B58" s="120">
        <v>27</v>
      </c>
      <c r="C58" s="121" t="s">
        <v>9</v>
      </c>
      <c r="D58" s="121" t="s">
        <v>32</v>
      </c>
      <c r="E58" s="121"/>
      <c r="F58" s="121" t="s">
        <v>78</v>
      </c>
      <c r="G58" s="122">
        <v>487945</v>
      </c>
      <c r="H58" s="122">
        <v>620000</v>
      </c>
      <c r="I58" s="122">
        <v>480800</v>
      </c>
      <c r="J58" s="122">
        <v>0</v>
      </c>
      <c r="K58" s="122">
        <v>620000</v>
      </c>
      <c r="L58" s="123"/>
      <c r="M58" s="123"/>
      <c r="N58" s="123"/>
      <c r="O58" s="226">
        <v>348165</v>
      </c>
      <c r="P58" s="122">
        <v>0</v>
      </c>
      <c r="Q58" s="122">
        <v>12</v>
      </c>
      <c r="R58" s="122">
        <v>12</v>
      </c>
      <c r="S58" s="441">
        <f t="shared" si="4"/>
        <v>0</v>
      </c>
      <c r="T58" s="432">
        <f t="shared" si="11"/>
        <v>-620000</v>
      </c>
      <c r="U58" s="62">
        <f t="shared" si="12"/>
        <v>-620000</v>
      </c>
      <c r="V58" s="62">
        <f t="shared" si="10"/>
        <v>0</v>
      </c>
      <c r="W58" s="155" t="s">
        <v>775</v>
      </c>
    </row>
    <row r="59" spans="1:23" ht="50.15" customHeight="1" x14ac:dyDescent="0.6">
      <c r="A59" s="440">
        <v>1272000991</v>
      </c>
      <c r="B59" s="120">
        <v>27</v>
      </c>
      <c r="C59" s="121" t="s">
        <v>9</v>
      </c>
      <c r="D59" s="121" t="s">
        <v>32</v>
      </c>
      <c r="E59" s="121"/>
      <c r="F59" s="121" t="s">
        <v>79</v>
      </c>
      <c r="G59" s="122">
        <v>452502</v>
      </c>
      <c r="H59" s="122">
        <v>455000</v>
      </c>
      <c r="I59" s="122">
        <v>528002.39999999991</v>
      </c>
      <c r="J59" s="122">
        <v>530000</v>
      </c>
      <c r="K59" s="122">
        <v>455000</v>
      </c>
      <c r="L59" s="123"/>
      <c r="M59" s="123"/>
      <c r="N59" s="123"/>
      <c r="O59" s="226">
        <v>460199</v>
      </c>
      <c r="P59" s="122">
        <v>455000</v>
      </c>
      <c r="Q59" s="122">
        <v>12</v>
      </c>
      <c r="R59" s="122">
        <v>12</v>
      </c>
      <c r="S59" s="441">
        <f t="shared" si="4"/>
        <v>455000</v>
      </c>
      <c r="T59" s="432">
        <f t="shared" si="11"/>
        <v>0</v>
      </c>
      <c r="U59" s="62">
        <f>S59-K59</f>
        <v>0</v>
      </c>
      <c r="V59" s="62">
        <f t="shared" si="10"/>
        <v>0</v>
      </c>
      <c r="W59" s="153" t="s">
        <v>608</v>
      </c>
    </row>
    <row r="60" spans="1:23" ht="50.15" customHeight="1" x14ac:dyDescent="0.6">
      <c r="A60" s="440">
        <v>1272000992</v>
      </c>
      <c r="B60" s="120">
        <v>27</v>
      </c>
      <c r="C60" s="121" t="s">
        <v>5</v>
      </c>
      <c r="D60" s="121" t="s">
        <v>32</v>
      </c>
      <c r="E60" s="121"/>
      <c r="F60" s="121" t="s">
        <v>80</v>
      </c>
      <c r="G60" s="122">
        <v>0</v>
      </c>
      <c r="H60" s="122">
        <v>175000</v>
      </c>
      <c r="I60" s="122">
        <v>0</v>
      </c>
      <c r="J60" s="122">
        <v>595800</v>
      </c>
      <c r="K60" s="122">
        <v>175000</v>
      </c>
      <c r="L60" s="123"/>
      <c r="M60" s="123"/>
      <c r="N60" s="123"/>
      <c r="O60" s="122">
        <v>0</v>
      </c>
      <c r="P60" s="122">
        <v>250000</v>
      </c>
      <c r="Q60" s="122">
        <v>12</v>
      </c>
      <c r="R60" s="122">
        <v>12</v>
      </c>
      <c r="S60" s="441">
        <f t="shared" si="4"/>
        <v>250000</v>
      </c>
      <c r="T60" s="432">
        <f t="shared" si="11"/>
        <v>75000</v>
      </c>
      <c r="U60" s="62">
        <f t="shared" si="12"/>
        <v>75000</v>
      </c>
      <c r="V60" s="62">
        <f t="shared" si="10"/>
        <v>0</v>
      </c>
      <c r="W60" s="155" t="s">
        <v>776</v>
      </c>
    </row>
    <row r="61" spans="1:23" ht="50.15" customHeight="1" x14ac:dyDescent="0.6">
      <c r="A61" s="440">
        <v>1281000690</v>
      </c>
      <c r="B61" s="120">
        <v>28</v>
      </c>
      <c r="C61" s="121" t="s">
        <v>4</v>
      </c>
      <c r="D61" s="121" t="s">
        <v>32</v>
      </c>
      <c r="E61" s="121"/>
      <c r="F61" s="121" t="s">
        <v>81</v>
      </c>
      <c r="G61" s="122">
        <v>5129963.87</v>
      </c>
      <c r="H61" s="122">
        <v>5000000</v>
      </c>
      <c r="I61" s="122">
        <v>5600000</v>
      </c>
      <c r="J61" s="122">
        <v>5300000</v>
      </c>
      <c r="K61" s="122">
        <v>5000000</v>
      </c>
      <c r="L61" s="123"/>
      <c r="M61" s="123"/>
      <c r="N61" s="123"/>
      <c r="O61" s="226">
        <v>5709162.9100000001</v>
      </c>
      <c r="P61" s="122">
        <v>5700000</v>
      </c>
      <c r="Q61" s="122">
        <v>9.0510000000000002</v>
      </c>
      <c r="R61" s="122">
        <v>12</v>
      </c>
      <c r="S61" s="441">
        <f t="shared" si="4"/>
        <v>4299225</v>
      </c>
      <c r="T61" s="432">
        <f t="shared" si="11"/>
        <v>700000</v>
      </c>
      <c r="U61" s="62">
        <f t="shared" si="12"/>
        <v>-700775</v>
      </c>
      <c r="V61" s="62">
        <f>S61-P61</f>
        <v>-1400775</v>
      </c>
      <c r="W61" s="153" t="s">
        <v>608</v>
      </c>
    </row>
    <row r="62" spans="1:23" ht="50.15" customHeight="1" thickBot="1" x14ac:dyDescent="0.65">
      <c r="A62" s="472">
        <v>1282000690</v>
      </c>
      <c r="B62" s="334">
        <v>28</v>
      </c>
      <c r="C62" s="335" t="s">
        <v>4</v>
      </c>
      <c r="D62" s="335" t="s">
        <v>32</v>
      </c>
      <c r="E62" s="335"/>
      <c r="F62" s="335" t="s">
        <v>82</v>
      </c>
      <c r="G62" s="281">
        <v>28023.22</v>
      </c>
      <c r="H62" s="281">
        <v>50000</v>
      </c>
      <c r="I62" s="281">
        <v>128204.124</v>
      </c>
      <c r="J62" s="281">
        <v>130000</v>
      </c>
      <c r="K62" s="281">
        <v>50000</v>
      </c>
      <c r="L62" s="280"/>
      <c r="M62" s="280"/>
      <c r="N62" s="280"/>
      <c r="O62" s="426">
        <v>110866.38</v>
      </c>
      <c r="P62" s="281">
        <v>110000</v>
      </c>
      <c r="Q62" s="281">
        <v>12</v>
      </c>
      <c r="R62" s="281">
        <v>12</v>
      </c>
      <c r="S62" s="473">
        <f t="shared" si="4"/>
        <v>110000</v>
      </c>
      <c r="T62" s="432">
        <f t="shared" si="11"/>
        <v>60000</v>
      </c>
      <c r="U62" s="62">
        <f t="shared" si="12"/>
        <v>60000</v>
      </c>
      <c r="V62" s="399">
        <f t="shared" si="10"/>
        <v>0</v>
      </c>
      <c r="W62" s="155" t="s">
        <v>777</v>
      </c>
    </row>
    <row r="63" spans="1:23" ht="50.15" customHeight="1" thickBot="1" x14ac:dyDescent="0.65">
      <c r="A63" s="407"/>
      <c r="B63" s="64"/>
      <c r="C63" s="402"/>
      <c r="D63" s="65"/>
      <c r="E63" s="65"/>
      <c r="F63" s="403"/>
      <c r="G63" s="408">
        <f t="shared" ref="G63:M63" si="13">SUM(G30:G62)</f>
        <v>11348349.1</v>
      </c>
      <c r="H63" s="66">
        <f t="shared" si="13"/>
        <v>12161409</v>
      </c>
      <c r="I63" s="66">
        <f t="shared" si="13"/>
        <v>12806778.420000002</v>
      </c>
      <c r="J63" s="66">
        <f t="shared" si="13"/>
        <v>12421467.4</v>
      </c>
      <c r="K63" s="66">
        <f t="shared" si="13"/>
        <v>11422409</v>
      </c>
      <c r="L63" s="66">
        <f t="shared" si="13"/>
        <v>0</v>
      </c>
      <c r="M63" s="66">
        <f t="shared" si="13"/>
        <v>0</v>
      </c>
      <c r="N63" s="66"/>
      <c r="O63" s="66">
        <f t="shared" ref="O63:U63" si="14">SUM(O30:O62)</f>
        <v>12149899.000000002</v>
      </c>
      <c r="P63" s="66">
        <f t="shared" si="14"/>
        <v>13015084</v>
      </c>
      <c r="Q63" s="66">
        <f t="shared" si="14"/>
        <v>389.05099999999999</v>
      </c>
      <c r="R63" s="66">
        <f t="shared" si="14"/>
        <v>396</v>
      </c>
      <c r="S63" s="66">
        <f t="shared" si="14"/>
        <v>11214309</v>
      </c>
      <c r="T63" s="398">
        <f t="shared" si="14"/>
        <v>1592675</v>
      </c>
      <c r="U63" s="393">
        <f t="shared" si="14"/>
        <v>-208100</v>
      </c>
      <c r="V63" s="66">
        <f>SUM(V30:V62)</f>
        <v>-1800775</v>
      </c>
    </row>
    <row r="64" spans="1:23" ht="50.15" customHeight="1" x14ac:dyDescent="0.35">
      <c r="A64" s="470" t="s">
        <v>635</v>
      </c>
      <c r="B64" s="328"/>
      <c r="C64" s="328"/>
      <c r="D64" s="118"/>
      <c r="E64" s="118"/>
      <c r="F64" s="328"/>
      <c r="G64" s="118"/>
      <c r="H64" s="118"/>
      <c r="I64" s="118"/>
      <c r="J64" s="118"/>
      <c r="K64" s="118"/>
      <c r="L64" s="118"/>
      <c r="M64" s="333"/>
      <c r="N64" s="118"/>
      <c r="O64" s="118"/>
      <c r="P64" s="329"/>
      <c r="Q64" s="328"/>
      <c r="R64" s="328"/>
      <c r="S64" s="471"/>
      <c r="T64" s="461"/>
      <c r="U64" s="391"/>
      <c r="V64" s="400"/>
    </row>
    <row r="65" spans="1:24" ht="50.15" customHeight="1" x14ac:dyDescent="0.6">
      <c r="A65" s="440">
        <v>1311000225</v>
      </c>
      <c r="B65" s="120">
        <v>31</v>
      </c>
      <c r="C65" s="121" t="s">
        <v>10</v>
      </c>
      <c r="D65" s="121" t="s">
        <v>32</v>
      </c>
      <c r="E65" s="121"/>
      <c r="F65" s="121" t="s">
        <v>83</v>
      </c>
      <c r="G65" s="122">
        <v>92623</v>
      </c>
      <c r="H65" s="122">
        <v>115533</v>
      </c>
      <c r="I65" s="122">
        <v>80000</v>
      </c>
      <c r="J65" s="122">
        <v>143055</v>
      </c>
      <c r="K65" s="122">
        <v>115533</v>
      </c>
      <c r="L65" s="123"/>
      <c r="M65" s="123"/>
      <c r="N65" s="123"/>
      <c r="O65" s="226">
        <v>66394</v>
      </c>
      <c r="P65" s="122">
        <v>143055</v>
      </c>
      <c r="Q65" s="122">
        <v>10</v>
      </c>
      <c r="R65" s="122">
        <v>12</v>
      </c>
      <c r="S65" s="441">
        <f t="shared" si="4"/>
        <v>119212.5</v>
      </c>
      <c r="T65" s="432">
        <f>P65-K65</f>
        <v>27522</v>
      </c>
      <c r="U65" s="62">
        <f>S65-K65</f>
        <v>3679.5</v>
      </c>
      <c r="V65" s="62">
        <f t="shared" ref="V65:V96" si="15">S65-P65</f>
        <v>-23842.5</v>
      </c>
      <c r="W65" s="153" t="s">
        <v>778</v>
      </c>
      <c r="X65" s="153" t="s">
        <v>959</v>
      </c>
    </row>
    <row r="66" spans="1:24" ht="50.15" customHeight="1" x14ac:dyDescent="0.6">
      <c r="A66" s="440">
        <v>1311000410</v>
      </c>
      <c r="B66" s="120">
        <v>31</v>
      </c>
      <c r="C66" s="121" t="s">
        <v>10</v>
      </c>
      <c r="D66" s="121" t="s">
        <v>32</v>
      </c>
      <c r="E66" s="121"/>
      <c r="F66" s="121" t="s">
        <v>84</v>
      </c>
      <c r="G66" s="122">
        <v>1026589</v>
      </c>
      <c r="H66" s="122">
        <v>900000</v>
      </c>
      <c r="I66" s="122">
        <v>1000000</v>
      </c>
      <c r="J66" s="122">
        <v>1100000</v>
      </c>
      <c r="K66" s="122">
        <v>900000</v>
      </c>
      <c r="L66" s="123"/>
      <c r="M66" s="123"/>
      <c r="N66" s="123"/>
      <c r="O66" s="226">
        <v>991328.59</v>
      </c>
      <c r="P66" s="122">
        <v>1100000</v>
      </c>
      <c r="Q66" s="122">
        <v>12</v>
      </c>
      <c r="R66" s="122">
        <v>12</v>
      </c>
      <c r="S66" s="441">
        <f t="shared" si="4"/>
        <v>1100000</v>
      </c>
      <c r="T66" s="432">
        <f t="shared" ref="T66:T113" si="16">P66-K66</f>
        <v>200000</v>
      </c>
      <c r="U66" s="62">
        <f t="shared" ref="U66:U113" si="17">S66-K66</f>
        <v>200000</v>
      </c>
      <c r="V66" s="62">
        <f t="shared" si="15"/>
        <v>0</v>
      </c>
      <c r="W66" s="153" t="s">
        <v>608</v>
      </c>
      <c r="X66" s="153" t="s">
        <v>960</v>
      </c>
    </row>
    <row r="67" spans="1:24" ht="50.15" customHeight="1" x14ac:dyDescent="0.6">
      <c r="A67" s="440">
        <v>1311000920</v>
      </c>
      <c r="B67" s="120">
        <v>31</v>
      </c>
      <c r="C67" s="121" t="s">
        <v>11</v>
      </c>
      <c r="D67" s="121" t="s">
        <v>32</v>
      </c>
      <c r="E67" s="121"/>
      <c r="F67" s="121" t="s">
        <v>85</v>
      </c>
      <c r="G67" s="122">
        <v>69754.89</v>
      </c>
      <c r="H67" s="122">
        <v>60000</v>
      </c>
      <c r="I67" s="122">
        <v>60000</v>
      </c>
      <c r="J67" s="122">
        <v>60004</v>
      </c>
      <c r="K67" s="122">
        <v>60000</v>
      </c>
      <c r="L67" s="123"/>
      <c r="M67" s="123"/>
      <c r="N67" s="123"/>
      <c r="O67" s="226">
        <v>27437.25</v>
      </c>
      <c r="P67" s="122">
        <v>100000</v>
      </c>
      <c r="Q67" s="122">
        <v>12</v>
      </c>
      <c r="R67" s="122">
        <v>12</v>
      </c>
      <c r="S67" s="441">
        <f t="shared" si="4"/>
        <v>100000</v>
      </c>
      <c r="T67" s="432">
        <f t="shared" si="16"/>
        <v>40000</v>
      </c>
      <c r="U67" s="62">
        <f t="shared" si="17"/>
        <v>40000</v>
      </c>
      <c r="V67" s="62">
        <f t="shared" si="15"/>
        <v>0</v>
      </c>
      <c r="W67" s="339" t="s">
        <v>779</v>
      </c>
      <c r="X67" s="153" t="s">
        <v>1052</v>
      </c>
    </row>
    <row r="68" spans="1:24" ht="50.15" customHeight="1" x14ac:dyDescent="0.6">
      <c r="A68" s="440">
        <v>1311000921</v>
      </c>
      <c r="B68" s="120">
        <v>31</v>
      </c>
      <c r="C68" s="121" t="s">
        <v>8</v>
      </c>
      <c r="D68" s="121" t="s">
        <v>8</v>
      </c>
      <c r="E68" s="121"/>
      <c r="F68" s="121" t="s">
        <v>86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3"/>
      <c r="M68" s="123"/>
      <c r="N68" s="123"/>
      <c r="O68" s="122">
        <v>0</v>
      </c>
      <c r="P68" s="122">
        <v>0</v>
      </c>
      <c r="Q68" s="122">
        <v>12</v>
      </c>
      <c r="R68" s="122">
        <v>12</v>
      </c>
      <c r="S68" s="441">
        <f t="shared" si="4"/>
        <v>0</v>
      </c>
      <c r="T68" s="432">
        <f t="shared" si="16"/>
        <v>0</v>
      </c>
      <c r="U68" s="62">
        <f t="shared" si="17"/>
        <v>0</v>
      </c>
      <c r="V68" s="62">
        <f t="shared" si="15"/>
        <v>0</v>
      </c>
      <c r="X68" s="153"/>
    </row>
    <row r="69" spans="1:24" ht="50.15" customHeight="1" x14ac:dyDescent="0.6">
      <c r="A69" s="440">
        <v>1311000922</v>
      </c>
      <c r="B69" s="120">
        <v>31</v>
      </c>
      <c r="C69" s="121" t="s">
        <v>11</v>
      </c>
      <c r="D69" s="121" t="s">
        <v>32</v>
      </c>
      <c r="E69" s="121"/>
      <c r="F69" s="121" t="s">
        <v>87</v>
      </c>
      <c r="G69" s="122">
        <v>89284.83</v>
      </c>
      <c r="H69" s="122">
        <v>85000</v>
      </c>
      <c r="I69" s="122">
        <v>88000</v>
      </c>
      <c r="J69" s="122">
        <v>88000</v>
      </c>
      <c r="K69" s="122">
        <v>85000</v>
      </c>
      <c r="L69" s="123"/>
      <c r="M69" s="123"/>
      <c r="N69" s="123"/>
      <c r="O69" s="226">
        <v>80458.33</v>
      </c>
      <c r="P69" s="122">
        <v>115000</v>
      </c>
      <c r="Q69" s="122">
        <v>12</v>
      </c>
      <c r="R69" s="122">
        <v>12</v>
      </c>
      <c r="S69" s="441">
        <f t="shared" si="4"/>
        <v>115000</v>
      </c>
      <c r="T69" s="432">
        <f t="shared" si="16"/>
        <v>30000</v>
      </c>
      <c r="U69" s="62">
        <f t="shared" si="17"/>
        <v>30000</v>
      </c>
      <c r="V69" s="62">
        <f t="shared" si="15"/>
        <v>0</v>
      </c>
      <c r="W69" s="153" t="s">
        <v>608</v>
      </c>
      <c r="X69" s="153" t="s">
        <v>961</v>
      </c>
    </row>
    <row r="70" spans="1:24" ht="50.15" customHeight="1" x14ac:dyDescent="0.6">
      <c r="A70" s="440">
        <v>1311000925</v>
      </c>
      <c r="B70" s="120">
        <v>31</v>
      </c>
      <c r="C70" s="121" t="s">
        <v>11</v>
      </c>
      <c r="D70" s="121" t="s">
        <v>32</v>
      </c>
      <c r="E70" s="121"/>
      <c r="F70" s="121" t="s">
        <v>88</v>
      </c>
      <c r="G70" s="122">
        <v>425985.19</v>
      </c>
      <c r="H70" s="122">
        <v>400000</v>
      </c>
      <c r="I70" s="122">
        <v>600000</v>
      </c>
      <c r="J70" s="122">
        <v>600000</v>
      </c>
      <c r="K70" s="122">
        <v>400000</v>
      </c>
      <c r="L70" s="123"/>
      <c r="M70" s="123"/>
      <c r="N70" s="123"/>
      <c r="O70" s="226">
        <v>411923.03</v>
      </c>
      <c r="P70" s="122">
        <v>465000</v>
      </c>
      <c r="Q70" s="122">
        <v>10.5</v>
      </c>
      <c r="R70" s="122">
        <v>12</v>
      </c>
      <c r="S70" s="441">
        <f t="shared" si="4"/>
        <v>406875</v>
      </c>
      <c r="T70" s="432">
        <f t="shared" si="16"/>
        <v>65000</v>
      </c>
      <c r="U70" s="62">
        <f t="shared" si="17"/>
        <v>6875</v>
      </c>
      <c r="V70" s="62">
        <f t="shared" si="15"/>
        <v>-58125</v>
      </c>
      <c r="W70" s="338" t="s">
        <v>780</v>
      </c>
      <c r="X70" s="153"/>
    </row>
    <row r="71" spans="1:24" ht="50.15" customHeight="1" x14ac:dyDescent="0.6">
      <c r="A71" s="440">
        <v>1311000926</v>
      </c>
      <c r="B71" s="120">
        <v>31</v>
      </c>
      <c r="C71" s="121" t="s">
        <v>11</v>
      </c>
      <c r="D71" s="121" t="s">
        <v>32</v>
      </c>
      <c r="E71" s="121"/>
      <c r="F71" s="121" t="s">
        <v>89</v>
      </c>
      <c r="G71" s="122">
        <v>809907.07</v>
      </c>
      <c r="H71" s="122">
        <v>685000</v>
      </c>
      <c r="I71" s="122">
        <v>467678.79599999997</v>
      </c>
      <c r="J71" s="122">
        <v>685000</v>
      </c>
      <c r="K71" s="122">
        <v>685000</v>
      </c>
      <c r="L71" s="123"/>
      <c r="M71" s="123"/>
      <c r="N71" s="123"/>
      <c r="O71" s="226">
        <f>34000+516665.33</f>
        <v>550665.33000000007</v>
      </c>
      <c r="P71" s="122">
        <v>685000</v>
      </c>
      <c r="Q71" s="122">
        <v>12</v>
      </c>
      <c r="R71" s="122">
        <v>12</v>
      </c>
      <c r="S71" s="441">
        <f t="shared" si="4"/>
        <v>685000</v>
      </c>
      <c r="T71" s="432">
        <f t="shared" si="16"/>
        <v>0</v>
      </c>
      <c r="U71" s="62">
        <f t="shared" si="17"/>
        <v>0</v>
      </c>
      <c r="V71" s="62">
        <f t="shared" si="15"/>
        <v>0</v>
      </c>
      <c r="W71" s="338" t="s">
        <v>781</v>
      </c>
      <c r="X71" s="153"/>
    </row>
    <row r="72" spans="1:24" ht="50.15" customHeight="1" x14ac:dyDescent="0.6">
      <c r="A72" s="440">
        <v>1311000990</v>
      </c>
      <c r="B72" s="120">
        <v>31</v>
      </c>
      <c r="C72" s="121" t="s">
        <v>10</v>
      </c>
      <c r="D72" s="121" t="s">
        <v>32</v>
      </c>
      <c r="E72" s="121"/>
      <c r="F72" s="121" t="s">
        <v>90</v>
      </c>
      <c r="G72" s="122">
        <v>2213368.86</v>
      </c>
      <c r="H72" s="122">
        <v>2272400</v>
      </c>
      <c r="I72" s="122">
        <v>2324000</v>
      </c>
      <c r="J72" s="122">
        <v>2324037.3029999998</v>
      </c>
      <c r="K72" s="122">
        <v>2272400</v>
      </c>
      <c r="L72" s="123"/>
      <c r="M72" s="123"/>
      <c r="N72" s="123"/>
      <c r="O72" s="122">
        <v>2200000</v>
      </c>
      <c r="P72" s="122">
        <v>2324000</v>
      </c>
      <c r="Q72" s="122">
        <v>10</v>
      </c>
      <c r="R72" s="122">
        <v>12</v>
      </c>
      <c r="S72" s="441">
        <f t="shared" si="4"/>
        <v>1936666.6666666667</v>
      </c>
      <c r="T72" s="432">
        <f t="shared" si="16"/>
        <v>51600</v>
      </c>
      <c r="U72" s="62">
        <f t="shared" si="17"/>
        <v>-335733.33333333326</v>
      </c>
      <c r="V72" s="62">
        <f t="shared" si="15"/>
        <v>-387333.33333333326</v>
      </c>
      <c r="W72" s="153" t="s">
        <v>782</v>
      </c>
      <c r="X72" s="153"/>
    </row>
    <row r="73" spans="1:24" ht="50.15" customHeight="1" x14ac:dyDescent="0.6">
      <c r="A73" s="440">
        <v>1312200440</v>
      </c>
      <c r="B73" s="120">
        <v>31</v>
      </c>
      <c r="C73" s="121" t="s">
        <v>10</v>
      </c>
      <c r="D73" s="121" t="s">
        <v>32</v>
      </c>
      <c r="E73" s="121"/>
      <c r="F73" s="121" t="s">
        <v>91</v>
      </c>
      <c r="G73" s="122">
        <v>1902420.97</v>
      </c>
      <c r="H73" s="122">
        <v>2027980</v>
      </c>
      <c r="I73" s="122">
        <v>2297152.2600000002</v>
      </c>
      <c r="J73" s="122">
        <v>2247240</v>
      </c>
      <c r="K73" s="122">
        <v>1938480</v>
      </c>
      <c r="L73" s="123"/>
      <c r="M73" s="123"/>
      <c r="N73" s="123"/>
      <c r="O73" s="226">
        <v>2393952.25</v>
      </c>
      <c r="P73" s="122">
        <v>2247240</v>
      </c>
      <c r="Q73" s="122">
        <v>10</v>
      </c>
      <c r="R73" s="122">
        <v>12</v>
      </c>
      <c r="S73" s="441">
        <f t="shared" si="4"/>
        <v>1872700</v>
      </c>
      <c r="T73" s="432">
        <f t="shared" si="16"/>
        <v>308760</v>
      </c>
      <c r="U73" s="62">
        <f t="shared" si="17"/>
        <v>-65780</v>
      </c>
      <c r="V73" s="62">
        <f t="shared" si="15"/>
        <v>-374540</v>
      </c>
      <c r="W73" s="153" t="s">
        <v>782</v>
      </c>
      <c r="X73" s="153" t="s">
        <v>977</v>
      </c>
    </row>
    <row r="74" spans="1:24" ht="50.15" customHeight="1" x14ac:dyDescent="0.6">
      <c r="A74" s="440">
        <v>1312200441</v>
      </c>
      <c r="B74" s="120">
        <v>31</v>
      </c>
      <c r="C74" s="121" t="s">
        <v>10</v>
      </c>
      <c r="D74" s="121" t="s">
        <v>32</v>
      </c>
      <c r="E74" s="121"/>
      <c r="F74" s="121" t="s">
        <v>3557</v>
      </c>
      <c r="G74" s="122">
        <v>276199.48</v>
      </c>
      <c r="H74" s="122">
        <v>327977</v>
      </c>
      <c r="I74" s="122">
        <v>210732.18</v>
      </c>
      <c r="J74" s="122">
        <v>274833</v>
      </c>
      <c r="K74" s="122">
        <v>349524</v>
      </c>
      <c r="L74" s="123"/>
      <c r="M74" s="123"/>
      <c r="N74" s="123"/>
      <c r="O74" s="226">
        <v>224817.45</v>
      </c>
      <c r="P74" s="122">
        <v>275000</v>
      </c>
      <c r="Q74" s="122">
        <v>10</v>
      </c>
      <c r="R74" s="122">
        <v>12</v>
      </c>
      <c r="S74" s="441">
        <f t="shared" si="4"/>
        <v>229166.66666666666</v>
      </c>
      <c r="T74" s="432">
        <f t="shared" si="16"/>
        <v>-74524</v>
      </c>
      <c r="U74" s="62">
        <f t="shared" si="17"/>
        <v>-120357.33333333334</v>
      </c>
      <c r="V74" s="62">
        <f t="shared" si="15"/>
        <v>-45833.333333333343</v>
      </c>
      <c r="W74" s="153" t="s">
        <v>782</v>
      </c>
      <c r="X74" s="117" t="s">
        <v>978</v>
      </c>
    </row>
    <row r="75" spans="1:24" ht="50.15" customHeight="1" x14ac:dyDescent="0.6">
      <c r="A75" s="440">
        <v>1312200442</v>
      </c>
      <c r="B75" s="120">
        <v>31</v>
      </c>
      <c r="C75" s="121" t="s">
        <v>10</v>
      </c>
      <c r="D75" s="121" t="s">
        <v>32</v>
      </c>
      <c r="E75" s="121"/>
      <c r="F75" s="121" t="s">
        <v>93</v>
      </c>
      <c r="G75" s="122">
        <v>732127.15</v>
      </c>
      <c r="H75" s="122">
        <v>902831</v>
      </c>
      <c r="I75" s="122">
        <v>800000</v>
      </c>
      <c r="J75" s="122">
        <v>927652.5</v>
      </c>
      <c r="K75" s="122">
        <v>860200</v>
      </c>
      <c r="L75" s="123"/>
      <c r="M75" s="123"/>
      <c r="N75" s="123"/>
      <c r="O75" s="226">
        <v>622922.89</v>
      </c>
      <c r="P75" s="122">
        <v>927653</v>
      </c>
      <c r="Q75" s="122">
        <v>10</v>
      </c>
      <c r="R75" s="122">
        <v>12</v>
      </c>
      <c r="S75" s="441">
        <f t="shared" si="4"/>
        <v>773044.16666666663</v>
      </c>
      <c r="T75" s="432">
        <f t="shared" si="16"/>
        <v>67453</v>
      </c>
      <c r="U75" s="62">
        <f t="shared" si="17"/>
        <v>-87155.833333333372</v>
      </c>
      <c r="V75" s="62">
        <f t="shared" si="15"/>
        <v>-154608.83333333337</v>
      </c>
      <c r="W75" s="153" t="s">
        <v>782</v>
      </c>
      <c r="X75" s="117" t="s">
        <v>978</v>
      </c>
    </row>
    <row r="76" spans="1:24" ht="50.15" customHeight="1" x14ac:dyDescent="0.6">
      <c r="A76" s="440">
        <v>1312200920</v>
      </c>
      <c r="B76" s="120">
        <v>31</v>
      </c>
      <c r="C76" s="121" t="s">
        <v>11</v>
      </c>
      <c r="D76" s="121" t="s">
        <v>32</v>
      </c>
      <c r="E76" s="121"/>
      <c r="F76" s="121" t="s">
        <v>94</v>
      </c>
      <c r="G76" s="122">
        <v>10993138.07</v>
      </c>
      <c r="H76" s="122">
        <v>10837136.109999999</v>
      </c>
      <c r="I76" s="122">
        <v>10638000</v>
      </c>
      <c r="J76" s="122">
        <v>10638566.101436952</v>
      </c>
      <c r="K76" s="122">
        <v>10410863</v>
      </c>
      <c r="L76" s="123"/>
      <c r="M76" s="123"/>
      <c r="N76" s="123"/>
      <c r="O76" s="226">
        <v>10449635.73</v>
      </c>
      <c r="P76" s="122">
        <v>10700000</v>
      </c>
      <c r="Q76" s="122">
        <v>12</v>
      </c>
      <c r="R76" s="122">
        <v>12</v>
      </c>
      <c r="S76" s="441">
        <f t="shared" si="4"/>
        <v>10700000</v>
      </c>
      <c r="T76" s="432">
        <f t="shared" si="16"/>
        <v>289137</v>
      </c>
      <c r="U76" s="62">
        <f t="shared" si="17"/>
        <v>289137</v>
      </c>
      <c r="V76" s="62">
        <f t="shared" si="15"/>
        <v>0</v>
      </c>
      <c r="W76" s="338" t="s">
        <v>981</v>
      </c>
      <c r="X76" s="153" t="s">
        <v>984</v>
      </c>
    </row>
    <row r="77" spans="1:24" ht="50.15" customHeight="1" x14ac:dyDescent="0.6">
      <c r="A77" s="440">
        <v>1312200925</v>
      </c>
      <c r="B77" s="120">
        <v>31</v>
      </c>
      <c r="C77" s="121" t="s">
        <v>11</v>
      </c>
      <c r="D77" s="61" t="s">
        <v>32</v>
      </c>
      <c r="E77" s="121"/>
      <c r="F77" s="121" t="s">
        <v>95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23"/>
      <c r="M77" s="123"/>
      <c r="N77" s="123"/>
      <c r="O77" s="122">
        <v>450000</v>
      </c>
      <c r="P77" s="122">
        <v>0</v>
      </c>
      <c r="Q77" s="122">
        <v>12</v>
      </c>
      <c r="R77" s="122">
        <v>12</v>
      </c>
      <c r="S77" s="441">
        <f t="shared" si="4"/>
        <v>0</v>
      </c>
      <c r="T77" s="432">
        <f t="shared" si="16"/>
        <v>0</v>
      </c>
      <c r="U77" s="62">
        <f t="shared" si="17"/>
        <v>0</v>
      </c>
      <c r="V77" s="62">
        <f t="shared" si="15"/>
        <v>0</v>
      </c>
      <c r="X77" s="153"/>
    </row>
    <row r="78" spans="1:24" ht="50.15" customHeight="1" x14ac:dyDescent="0.6">
      <c r="A78" s="440">
        <v>1312200990</v>
      </c>
      <c r="B78" s="120">
        <v>31</v>
      </c>
      <c r="C78" s="121" t="s">
        <v>9</v>
      </c>
      <c r="D78" s="121" t="s">
        <v>32</v>
      </c>
      <c r="E78" s="121"/>
      <c r="F78" s="121" t="s">
        <v>96</v>
      </c>
      <c r="G78" s="122">
        <v>46700</v>
      </c>
      <c r="H78" s="122">
        <v>90000</v>
      </c>
      <c r="I78" s="122">
        <v>0</v>
      </c>
      <c r="J78" s="122">
        <v>58700</v>
      </c>
      <c r="K78" s="122">
        <v>90000</v>
      </c>
      <c r="L78" s="123"/>
      <c r="M78" s="123"/>
      <c r="N78" s="123"/>
      <c r="O78" s="122">
        <v>58700</v>
      </c>
      <c r="P78" s="122">
        <v>58700</v>
      </c>
      <c r="Q78" s="122">
        <v>12</v>
      </c>
      <c r="R78" s="122">
        <v>12</v>
      </c>
      <c r="S78" s="441">
        <f t="shared" si="4"/>
        <v>58700</v>
      </c>
      <c r="T78" s="432">
        <f t="shared" si="16"/>
        <v>-31300</v>
      </c>
      <c r="U78" s="62">
        <f t="shared" si="17"/>
        <v>-31300</v>
      </c>
      <c r="V78" s="62">
        <f t="shared" si="15"/>
        <v>0</v>
      </c>
      <c r="W78" s="153" t="s">
        <v>783</v>
      </c>
      <c r="X78" s="153"/>
    </row>
    <row r="79" spans="1:24" ht="50.15" customHeight="1" x14ac:dyDescent="0.6">
      <c r="A79" s="440">
        <v>1313200440</v>
      </c>
      <c r="B79" s="120">
        <v>31</v>
      </c>
      <c r="C79" s="121" t="s">
        <v>10</v>
      </c>
      <c r="D79" s="121" t="s">
        <v>32</v>
      </c>
      <c r="E79" s="121"/>
      <c r="F79" s="121" t="s">
        <v>97</v>
      </c>
      <c r="G79" s="122">
        <v>421590</v>
      </c>
      <c r="H79" s="122">
        <v>478800</v>
      </c>
      <c r="I79" s="122">
        <v>417500</v>
      </c>
      <c r="J79" s="122">
        <v>417500</v>
      </c>
      <c r="K79" s="122">
        <v>548800</v>
      </c>
      <c r="L79" s="123"/>
      <c r="M79" s="123"/>
      <c r="N79" s="123"/>
      <c r="O79" s="226">
        <v>386056.3</v>
      </c>
      <c r="P79" s="122">
        <v>417500</v>
      </c>
      <c r="Q79" s="122">
        <v>10</v>
      </c>
      <c r="R79" s="122">
        <v>12</v>
      </c>
      <c r="S79" s="441">
        <f t="shared" si="4"/>
        <v>347916.66666666669</v>
      </c>
      <c r="T79" s="432">
        <f t="shared" si="16"/>
        <v>-131300</v>
      </c>
      <c r="U79" s="62">
        <f t="shared" si="17"/>
        <v>-200883.33333333331</v>
      </c>
      <c r="V79" s="62">
        <f t="shared" si="15"/>
        <v>-69583.333333333314</v>
      </c>
      <c r="W79" s="339" t="s">
        <v>784</v>
      </c>
      <c r="X79" s="239" t="s">
        <v>785</v>
      </c>
    </row>
    <row r="80" spans="1:24" ht="50.15" customHeight="1" x14ac:dyDescent="0.6">
      <c r="A80" s="440">
        <v>1313200441</v>
      </c>
      <c r="B80" s="120">
        <v>31</v>
      </c>
      <c r="C80" s="121" t="s">
        <v>10</v>
      </c>
      <c r="D80" s="121" t="s">
        <v>32</v>
      </c>
      <c r="E80" s="121"/>
      <c r="F80" s="121" t="s">
        <v>98</v>
      </c>
      <c r="G80" s="122">
        <v>929952.1</v>
      </c>
      <c r="H80" s="122">
        <v>1159200</v>
      </c>
      <c r="I80" s="122">
        <v>1197625.9080000001</v>
      </c>
      <c r="J80" s="122">
        <v>1196063.05</v>
      </c>
      <c r="K80" s="122">
        <v>1159200</v>
      </c>
      <c r="L80" s="123"/>
      <c r="M80" s="123"/>
      <c r="N80" s="123"/>
      <c r="O80" s="226">
        <v>1249964.44</v>
      </c>
      <c r="P80" s="122">
        <v>1250000</v>
      </c>
      <c r="Q80" s="122">
        <v>10</v>
      </c>
      <c r="R80" s="122">
        <v>12</v>
      </c>
      <c r="S80" s="441">
        <f t="shared" si="4"/>
        <v>1041666.6666666666</v>
      </c>
      <c r="T80" s="432">
        <f t="shared" si="16"/>
        <v>90800</v>
      </c>
      <c r="U80" s="62">
        <f t="shared" si="17"/>
        <v>-117533.33333333337</v>
      </c>
      <c r="V80" s="62">
        <f t="shared" si="15"/>
        <v>-208333.33333333337</v>
      </c>
      <c r="W80" s="339" t="s">
        <v>786</v>
      </c>
    </row>
    <row r="81" spans="1:24" ht="50.15" customHeight="1" x14ac:dyDescent="0.6">
      <c r="A81" s="440">
        <v>1313210440</v>
      </c>
      <c r="B81" s="120">
        <v>31</v>
      </c>
      <c r="C81" s="121" t="s">
        <v>10</v>
      </c>
      <c r="D81" s="121" t="s">
        <v>32</v>
      </c>
      <c r="E81" s="121"/>
      <c r="F81" s="121" t="s">
        <v>99</v>
      </c>
      <c r="G81" s="122">
        <v>0</v>
      </c>
      <c r="H81" s="122">
        <v>70000</v>
      </c>
      <c r="I81" s="122">
        <v>75000</v>
      </c>
      <c r="J81" s="122">
        <v>83300</v>
      </c>
      <c r="K81" s="122">
        <v>0</v>
      </c>
      <c r="L81" s="123"/>
      <c r="M81" s="123"/>
      <c r="N81" s="123"/>
      <c r="O81" s="122">
        <v>68750</v>
      </c>
      <c r="P81" s="122">
        <v>69000</v>
      </c>
      <c r="Q81" s="122">
        <v>12</v>
      </c>
      <c r="R81" s="122">
        <v>12</v>
      </c>
      <c r="S81" s="441">
        <f t="shared" si="4"/>
        <v>69000</v>
      </c>
      <c r="T81" s="432">
        <f t="shared" si="16"/>
        <v>69000</v>
      </c>
      <c r="U81" s="62">
        <f t="shared" si="17"/>
        <v>69000</v>
      </c>
      <c r="V81" s="62">
        <f t="shared" si="15"/>
        <v>0</v>
      </c>
      <c r="W81" s="338" t="s">
        <v>787</v>
      </c>
    </row>
    <row r="82" spans="1:24" ht="50.15" customHeight="1" x14ac:dyDescent="0.6">
      <c r="A82" s="440">
        <v>1313210920</v>
      </c>
      <c r="B82" s="120">
        <v>31</v>
      </c>
      <c r="C82" s="121" t="s">
        <v>11</v>
      </c>
      <c r="D82" s="121" t="s">
        <v>32</v>
      </c>
      <c r="E82" s="121"/>
      <c r="F82" s="121" t="s">
        <v>100</v>
      </c>
      <c r="G82" s="122">
        <v>321149.89</v>
      </c>
      <c r="H82" s="122">
        <v>340000</v>
      </c>
      <c r="I82" s="122">
        <v>350437.98</v>
      </c>
      <c r="J82" s="122">
        <v>354000</v>
      </c>
      <c r="K82" s="122">
        <v>340000</v>
      </c>
      <c r="L82" s="123"/>
      <c r="M82" s="123"/>
      <c r="N82" s="123"/>
      <c r="O82" s="226">
        <v>356263.44</v>
      </c>
      <c r="P82" s="122">
        <f>360000/12*8</f>
        <v>240000</v>
      </c>
      <c r="Q82" s="122">
        <v>12</v>
      </c>
      <c r="R82" s="122">
        <v>12</v>
      </c>
      <c r="S82" s="441">
        <f t="shared" si="4"/>
        <v>240000</v>
      </c>
      <c r="T82" s="432">
        <f t="shared" si="16"/>
        <v>-100000</v>
      </c>
      <c r="U82" s="62">
        <f t="shared" si="17"/>
        <v>-100000</v>
      </c>
      <c r="V82" s="62">
        <f t="shared" si="15"/>
        <v>0</v>
      </c>
      <c r="W82" s="338" t="s">
        <v>985</v>
      </c>
      <c r="X82" s="239" t="s">
        <v>986</v>
      </c>
    </row>
    <row r="83" spans="1:24" ht="50.15" customHeight="1" x14ac:dyDescent="0.6">
      <c r="A83" s="440">
        <v>1313220920</v>
      </c>
      <c r="B83" s="120">
        <v>31</v>
      </c>
      <c r="C83" s="121" t="s">
        <v>11</v>
      </c>
      <c r="D83" s="121" t="s">
        <v>32</v>
      </c>
      <c r="E83" s="121"/>
      <c r="F83" s="121" t="s">
        <v>101</v>
      </c>
      <c r="G83" s="122">
        <v>632259.68000000005</v>
      </c>
      <c r="H83" s="122">
        <v>569752.80000000005</v>
      </c>
      <c r="I83" s="122">
        <v>690965.18399999989</v>
      </c>
      <c r="J83" s="122">
        <v>692000</v>
      </c>
      <c r="K83" s="122">
        <v>569752.80000000005</v>
      </c>
      <c r="L83" s="123"/>
      <c r="M83" s="123"/>
      <c r="N83" s="123"/>
      <c r="O83" s="226">
        <v>681960.77</v>
      </c>
      <c r="P83" s="122">
        <v>685000</v>
      </c>
      <c r="Q83" s="122">
        <v>12</v>
      </c>
      <c r="R83" s="122">
        <v>12</v>
      </c>
      <c r="S83" s="441">
        <f t="shared" ref="S83:S121" si="18">P83*Q83/R83</f>
        <v>685000</v>
      </c>
      <c r="T83" s="432">
        <f t="shared" si="16"/>
        <v>115247.19999999995</v>
      </c>
      <c r="U83" s="62">
        <f t="shared" si="17"/>
        <v>115247.19999999995</v>
      </c>
      <c r="V83" s="62">
        <f t="shared" si="15"/>
        <v>0</v>
      </c>
      <c r="W83" s="338" t="s">
        <v>788</v>
      </c>
      <c r="X83" s="239" t="s">
        <v>986</v>
      </c>
    </row>
    <row r="84" spans="1:24" ht="50.15" customHeight="1" x14ac:dyDescent="0.6">
      <c r="A84" s="440">
        <v>1313230920</v>
      </c>
      <c r="B84" s="120">
        <v>31</v>
      </c>
      <c r="C84" s="121" t="s">
        <v>11</v>
      </c>
      <c r="D84" s="121" t="s">
        <v>32</v>
      </c>
      <c r="E84" s="121"/>
      <c r="F84" s="121" t="s">
        <v>102</v>
      </c>
      <c r="G84" s="122">
        <v>549677.73</v>
      </c>
      <c r="H84" s="122">
        <v>562672</v>
      </c>
      <c r="I84" s="122">
        <v>593669.04</v>
      </c>
      <c r="J84" s="122">
        <v>595000</v>
      </c>
      <c r="K84" s="122">
        <v>562672</v>
      </c>
      <c r="L84" s="123"/>
      <c r="M84" s="123"/>
      <c r="N84" s="123"/>
      <c r="O84" s="226">
        <v>584462.71</v>
      </c>
      <c r="P84" s="122">
        <v>585000</v>
      </c>
      <c r="Q84" s="122">
        <v>12</v>
      </c>
      <c r="R84" s="122">
        <v>12</v>
      </c>
      <c r="S84" s="441">
        <f t="shared" si="18"/>
        <v>585000</v>
      </c>
      <c r="T84" s="432">
        <f t="shared" si="16"/>
        <v>22328</v>
      </c>
      <c r="U84" s="62">
        <f t="shared" si="17"/>
        <v>22328</v>
      </c>
      <c r="V84" s="62">
        <f t="shared" si="15"/>
        <v>0</v>
      </c>
      <c r="W84" s="338" t="s">
        <v>788</v>
      </c>
      <c r="X84" s="239" t="s">
        <v>986</v>
      </c>
    </row>
    <row r="85" spans="1:24" ht="50.15" customHeight="1" x14ac:dyDescent="0.6">
      <c r="A85" s="440">
        <v>1313240920</v>
      </c>
      <c r="B85" s="120">
        <v>31</v>
      </c>
      <c r="C85" s="121" t="s">
        <v>11</v>
      </c>
      <c r="D85" s="121" t="s">
        <v>32</v>
      </c>
      <c r="E85" s="121"/>
      <c r="F85" s="121" t="s">
        <v>103</v>
      </c>
      <c r="G85" s="122">
        <v>523311.78</v>
      </c>
      <c r="H85" s="122">
        <v>550528</v>
      </c>
      <c r="I85" s="122">
        <v>547673.58000000007</v>
      </c>
      <c r="J85" s="122">
        <v>550000</v>
      </c>
      <c r="K85" s="122">
        <v>550528</v>
      </c>
      <c r="L85" s="123"/>
      <c r="M85" s="123"/>
      <c r="N85" s="123"/>
      <c r="O85" s="226">
        <v>538577.66</v>
      </c>
      <c r="P85" s="122">
        <v>540000</v>
      </c>
      <c r="Q85" s="122">
        <v>12</v>
      </c>
      <c r="R85" s="122">
        <v>12</v>
      </c>
      <c r="S85" s="441">
        <f t="shared" si="18"/>
        <v>540000</v>
      </c>
      <c r="T85" s="432">
        <f t="shared" si="16"/>
        <v>-10528</v>
      </c>
      <c r="U85" s="62">
        <f t="shared" si="17"/>
        <v>-10528</v>
      </c>
      <c r="V85" s="62">
        <f t="shared" si="15"/>
        <v>0</v>
      </c>
      <c r="W85" s="338" t="s">
        <v>788</v>
      </c>
      <c r="X85" s="239" t="s">
        <v>986</v>
      </c>
    </row>
    <row r="86" spans="1:24" ht="50.15" customHeight="1" x14ac:dyDescent="0.6">
      <c r="A86" s="440">
        <v>1313250920</v>
      </c>
      <c r="B86" s="120">
        <v>31</v>
      </c>
      <c r="C86" s="121" t="s">
        <v>11</v>
      </c>
      <c r="D86" s="121" t="s">
        <v>32</v>
      </c>
      <c r="E86" s="121"/>
      <c r="F86" s="121" t="s">
        <v>104</v>
      </c>
      <c r="G86" s="122">
        <v>478897.63</v>
      </c>
      <c r="H86" s="122">
        <v>420000</v>
      </c>
      <c r="I86" s="122">
        <v>514965</v>
      </c>
      <c r="J86" s="122">
        <v>515000</v>
      </c>
      <c r="K86" s="122">
        <v>420000</v>
      </c>
      <c r="L86" s="123"/>
      <c r="M86" s="123"/>
      <c r="N86" s="123"/>
      <c r="O86" s="226">
        <v>504853.12</v>
      </c>
      <c r="P86" s="122">
        <v>505000</v>
      </c>
      <c r="Q86" s="122">
        <v>12</v>
      </c>
      <c r="R86" s="122">
        <v>12</v>
      </c>
      <c r="S86" s="441">
        <f t="shared" si="18"/>
        <v>505000</v>
      </c>
      <c r="T86" s="432">
        <f t="shared" si="16"/>
        <v>85000</v>
      </c>
      <c r="U86" s="62">
        <f t="shared" si="17"/>
        <v>85000</v>
      </c>
      <c r="V86" s="62">
        <f t="shared" si="15"/>
        <v>0</v>
      </c>
      <c r="W86" s="338" t="s">
        <v>788</v>
      </c>
      <c r="X86" s="239" t="s">
        <v>986</v>
      </c>
    </row>
    <row r="87" spans="1:24" ht="50.15" customHeight="1" x14ac:dyDescent="0.6">
      <c r="A87" s="440">
        <v>1313260920</v>
      </c>
      <c r="B87" s="120">
        <v>31</v>
      </c>
      <c r="C87" s="121" t="s">
        <v>11</v>
      </c>
      <c r="D87" s="121" t="s">
        <v>32</v>
      </c>
      <c r="E87" s="121"/>
      <c r="F87" s="121" t="s">
        <v>105</v>
      </c>
      <c r="G87" s="122">
        <v>174767.64</v>
      </c>
      <c r="H87" s="122">
        <v>229000</v>
      </c>
      <c r="I87" s="122">
        <v>160265.20799999998</v>
      </c>
      <c r="J87" s="122">
        <v>164000</v>
      </c>
      <c r="K87" s="122">
        <v>229000</v>
      </c>
      <c r="L87" s="123"/>
      <c r="M87" s="123"/>
      <c r="N87" s="123"/>
      <c r="O87" s="226">
        <v>156339.72</v>
      </c>
      <c r="P87" s="122">
        <v>160000</v>
      </c>
      <c r="Q87" s="122">
        <v>12</v>
      </c>
      <c r="R87" s="122">
        <v>12</v>
      </c>
      <c r="S87" s="441">
        <f t="shared" si="18"/>
        <v>160000</v>
      </c>
      <c r="T87" s="432">
        <f t="shared" si="16"/>
        <v>-69000</v>
      </c>
      <c r="U87" s="62">
        <f t="shared" si="17"/>
        <v>-69000</v>
      </c>
      <c r="V87" s="62">
        <f t="shared" si="15"/>
        <v>0</v>
      </c>
      <c r="W87" s="338" t="s">
        <v>788</v>
      </c>
      <c r="X87" s="239" t="s">
        <v>986</v>
      </c>
    </row>
    <row r="88" spans="1:24" ht="50.15" customHeight="1" x14ac:dyDescent="0.6">
      <c r="A88" s="440">
        <v>1313270920</v>
      </c>
      <c r="B88" s="120">
        <v>31</v>
      </c>
      <c r="C88" s="121" t="s">
        <v>11</v>
      </c>
      <c r="D88" s="121" t="s">
        <v>32</v>
      </c>
      <c r="E88" s="121"/>
      <c r="F88" s="121" t="s">
        <v>106</v>
      </c>
      <c r="G88" s="122">
        <v>460437.54</v>
      </c>
      <c r="H88" s="122">
        <v>510000</v>
      </c>
      <c r="I88" s="122">
        <v>506918.01599999995</v>
      </c>
      <c r="J88" s="122">
        <v>510000</v>
      </c>
      <c r="K88" s="122">
        <v>510000</v>
      </c>
      <c r="L88" s="123"/>
      <c r="M88" s="123"/>
      <c r="N88" s="123"/>
      <c r="O88" s="226">
        <v>499203.12</v>
      </c>
      <c r="P88" s="122">
        <v>500000</v>
      </c>
      <c r="Q88" s="122">
        <v>12</v>
      </c>
      <c r="R88" s="122">
        <v>12</v>
      </c>
      <c r="S88" s="441">
        <f t="shared" si="18"/>
        <v>500000</v>
      </c>
      <c r="T88" s="432">
        <f t="shared" si="16"/>
        <v>-10000</v>
      </c>
      <c r="U88" s="62">
        <f t="shared" si="17"/>
        <v>-10000</v>
      </c>
      <c r="V88" s="62">
        <f t="shared" si="15"/>
        <v>0</v>
      </c>
      <c r="W88" s="338" t="s">
        <v>788</v>
      </c>
      <c r="X88" s="239" t="s">
        <v>986</v>
      </c>
    </row>
    <row r="89" spans="1:24" ht="50.15" customHeight="1" x14ac:dyDescent="0.6">
      <c r="A89" s="440">
        <v>1313280920</v>
      </c>
      <c r="B89" s="120">
        <v>31</v>
      </c>
      <c r="C89" s="121" t="s">
        <v>11</v>
      </c>
      <c r="D89" s="121" t="s">
        <v>32</v>
      </c>
      <c r="E89" s="121"/>
      <c r="F89" s="121" t="s">
        <v>107</v>
      </c>
      <c r="G89" s="122">
        <v>788368.73</v>
      </c>
      <c r="H89" s="122">
        <v>700000</v>
      </c>
      <c r="I89" s="122">
        <v>888287.28</v>
      </c>
      <c r="J89" s="122">
        <v>890000</v>
      </c>
      <c r="K89" s="122">
        <v>650000</v>
      </c>
      <c r="L89" s="123"/>
      <c r="M89" s="123"/>
      <c r="N89" s="123"/>
      <c r="O89" s="226">
        <v>878718.53</v>
      </c>
      <c r="P89" s="122">
        <v>880000</v>
      </c>
      <c r="Q89" s="122">
        <v>12</v>
      </c>
      <c r="R89" s="122">
        <v>12</v>
      </c>
      <c r="S89" s="441">
        <f t="shared" si="18"/>
        <v>880000</v>
      </c>
      <c r="T89" s="432">
        <f t="shared" si="16"/>
        <v>230000</v>
      </c>
      <c r="U89" s="62">
        <f t="shared" si="17"/>
        <v>230000</v>
      </c>
      <c r="V89" s="62">
        <f t="shared" si="15"/>
        <v>0</v>
      </c>
      <c r="W89" s="338" t="s">
        <v>788</v>
      </c>
      <c r="X89" s="239" t="s">
        <v>986</v>
      </c>
    </row>
    <row r="90" spans="1:24" ht="50.15" customHeight="1" x14ac:dyDescent="0.6">
      <c r="A90" s="440">
        <v>1313280925</v>
      </c>
      <c r="B90" s="120">
        <v>31</v>
      </c>
      <c r="C90" s="121" t="s">
        <v>11</v>
      </c>
      <c r="D90" s="121" t="s">
        <v>32</v>
      </c>
      <c r="E90" s="121"/>
      <c r="F90" s="121" t="s">
        <v>108</v>
      </c>
      <c r="G90" s="122">
        <v>171943.5</v>
      </c>
      <c r="H90" s="122">
        <v>150000</v>
      </c>
      <c r="I90" s="122">
        <v>237018.44400000002</v>
      </c>
      <c r="J90" s="122">
        <v>237000</v>
      </c>
      <c r="K90" s="122">
        <v>150000</v>
      </c>
      <c r="L90" s="123"/>
      <c r="M90" s="123"/>
      <c r="N90" s="123"/>
      <c r="O90" s="226">
        <v>214340.77</v>
      </c>
      <c r="P90" s="122">
        <v>215000</v>
      </c>
      <c r="Q90" s="122">
        <v>12</v>
      </c>
      <c r="R90" s="122">
        <v>12</v>
      </c>
      <c r="S90" s="441">
        <f t="shared" si="18"/>
        <v>215000</v>
      </c>
      <c r="T90" s="432">
        <f t="shared" si="16"/>
        <v>65000</v>
      </c>
      <c r="U90" s="62">
        <f t="shared" si="17"/>
        <v>65000</v>
      </c>
      <c r="V90" s="62">
        <f t="shared" si="15"/>
        <v>0</v>
      </c>
      <c r="W90" s="338" t="s">
        <v>788</v>
      </c>
      <c r="X90" s="239" t="s">
        <v>789</v>
      </c>
    </row>
    <row r="91" spans="1:24" ht="50.15" customHeight="1" x14ac:dyDescent="0.6">
      <c r="A91" s="440">
        <v>1313300920</v>
      </c>
      <c r="B91" s="120">
        <v>31</v>
      </c>
      <c r="C91" s="121" t="s">
        <v>11</v>
      </c>
      <c r="D91" s="121" t="s">
        <v>32</v>
      </c>
      <c r="E91" s="121"/>
      <c r="F91" s="121" t="s">
        <v>109</v>
      </c>
      <c r="G91" s="122">
        <v>1746981.18</v>
      </c>
      <c r="H91" s="122">
        <v>1720400</v>
      </c>
      <c r="I91" s="122">
        <v>1869519.2520000001</v>
      </c>
      <c r="J91" s="122">
        <v>1870000</v>
      </c>
      <c r="K91" s="122">
        <v>1720400</v>
      </c>
      <c r="L91" s="123"/>
      <c r="M91" s="123"/>
      <c r="N91" s="123"/>
      <c r="O91" s="226">
        <v>1827289.49</v>
      </c>
      <c r="P91" s="122">
        <v>1828000</v>
      </c>
      <c r="Q91" s="122">
        <v>12</v>
      </c>
      <c r="R91" s="122">
        <v>12</v>
      </c>
      <c r="S91" s="441">
        <f t="shared" si="18"/>
        <v>1828000</v>
      </c>
      <c r="T91" s="432">
        <f t="shared" si="16"/>
        <v>107600</v>
      </c>
      <c r="U91" s="62">
        <f t="shared" si="17"/>
        <v>107600</v>
      </c>
      <c r="V91" s="62">
        <f t="shared" si="15"/>
        <v>0</v>
      </c>
      <c r="W91" s="338" t="s">
        <v>788</v>
      </c>
      <c r="X91" s="239" t="s">
        <v>789</v>
      </c>
    </row>
    <row r="92" spans="1:24" ht="50.15" customHeight="1" x14ac:dyDescent="0.6">
      <c r="A92" s="440">
        <v>1313300925</v>
      </c>
      <c r="B92" s="120">
        <v>31</v>
      </c>
      <c r="C92" s="121" t="s">
        <v>11</v>
      </c>
      <c r="D92" s="121" t="s">
        <v>32</v>
      </c>
      <c r="E92" s="121"/>
      <c r="F92" s="121" t="s">
        <v>110</v>
      </c>
      <c r="G92" s="122">
        <v>85048.7</v>
      </c>
      <c r="H92" s="122">
        <v>80000</v>
      </c>
      <c r="I92" s="122">
        <v>198702.024</v>
      </c>
      <c r="J92" s="122">
        <v>200000</v>
      </c>
      <c r="K92" s="122">
        <v>80000</v>
      </c>
      <c r="L92" s="123"/>
      <c r="M92" s="123"/>
      <c r="N92" s="123"/>
      <c r="O92" s="226">
        <v>180742.58</v>
      </c>
      <c r="P92" s="122">
        <v>180000</v>
      </c>
      <c r="Q92" s="122">
        <v>12</v>
      </c>
      <c r="R92" s="122">
        <v>12</v>
      </c>
      <c r="S92" s="441">
        <f t="shared" si="18"/>
        <v>180000</v>
      </c>
      <c r="T92" s="432">
        <f t="shared" si="16"/>
        <v>100000</v>
      </c>
      <c r="U92" s="62">
        <f t="shared" si="17"/>
        <v>100000</v>
      </c>
      <c r="V92" s="62">
        <f t="shared" si="15"/>
        <v>0</v>
      </c>
      <c r="W92" s="338" t="s">
        <v>788</v>
      </c>
      <c r="X92" s="239" t="s">
        <v>789</v>
      </c>
    </row>
    <row r="93" spans="1:24" ht="50.15" customHeight="1" x14ac:dyDescent="0.6">
      <c r="A93" s="440">
        <v>1313600920</v>
      </c>
      <c r="B93" s="120">
        <v>31</v>
      </c>
      <c r="C93" s="121" t="s">
        <v>11</v>
      </c>
      <c r="D93" s="121" t="s">
        <v>32</v>
      </c>
      <c r="E93" s="121"/>
      <c r="F93" s="121" t="s">
        <v>111</v>
      </c>
      <c r="G93" s="122">
        <v>259569.92000000001</v>
      </c>
      <c r="H93" s="122">
        <v>250000</v>
      </c>
      <c r="I93" s="122">
        <v>259301.53200000001</v>
      </c>
      <c r="J93" s="122">
        <v>266426.15999999997</v>
      </c>
      <c r="K93" s="122">
        <v>250000</v>
      </c>
      <c r="L93" s="123"/>
      <c r="M93" s="123"/>
      <c r="N93" s="123"/>
      <c r="O93" s="226">
        <v>257231.26</v>
      </c>
      <c r="P93" s="122">
        <v>258000</v>
      </c>
      <c r="Q93" s="122">
        <v>9</v>
      </c>
      <c r="R93" s="122">
        <v>12</v>
      </c>
      <c r="S93" s="441">
        <f t="shared" si="18"/>
        <v>193500</v>
      </c>
      <c r="T93" s="432">
        <f t="shared" si="16"/>
        <v>8000</v>
      </c>
      <c r="U93" s="62">
        <f t="shared" si="17"/>
        <v>-56500</v>
      </c>
      <c r="V93" s="62">
        <f t="shared" si="15"/>
        <v>-64500</v>
      </c>
      <c r="W93" s="338" t="s">
        <v>788</v>
      </c>
      <c r="X93" s="239" t="s">
        <v>789</v>
      </c>
    </row>
    <row r="94" spans="1:24" ht="50.15" customHeight="1" x14ac:dyDescent="0.6">
      <c r="A94" s="440">
        <v>1313700920</v>
      </c>
      <c r="B94" s="120">
        <v>31</v>
      </c>
      <c r="C94" s="121" t="s">
        <v>11</v>
      </c>
      <c r="D94" s="121" t="s">
        <v>32</v>
      </c>
      <c r="E94" s="121"/>
      <c r="F94" s="121" t="s">
        <v>112</v>
      </c>
      <c r="G94" s="122">
        <v>148450.79999999999</v>
      </c>
      <c r="H94" s="122">
        <v>219750</v>
      </c>
      <c r="I94" s="122">
        <v>111569.52000000002</v>
      </c>
      <c r="J94" s="122">
        <v>112000</v>
      </c>
      <c r="K94" s="122">
        <v>219750</v>
      </c>
      <c r="L94" s="123"/>
      <c r="M94" s="123"/>
      <c r="N94" s="123"/>
      <c r="O94" s="226">
        <v>119082.87</v>
      </c>
      <c r="P94" s="122">
        <v>120000</v>
      </c>
      <c r="Q94" s="122">
        <v>12</v>
      </c>
      <c r="R94" s="122">
        <v>12</v>
      </c>
      <c r="S94" s="441">
        <f t="shared" si="18"/>
        <v>120000</v>
      </c>
      <c r="T94" s="432">
        <f t="shared" si="16"/>
        <v>-99750</v>
      </c>
      <c r="U94" s="62">
        <f t="shared" si="17"/>
        <v>-99750</v>
      </c>
      <c r="V94" s="62">
        <f t="shared" si="15"/>
        <v>0</v>
      </c>
      <c r="W94" s="338" t="s">
        <v>790</v>
      </c>
      <c r="X94" s="239" t="s">
        <v>789</v>
      </c>
    </row>
    <row r="95" spans="1:24" ht="50.15" customHeight="1" x14ac:dyDescent="0.6">
      <c r="A95" s="440">
        <v>1313800420</v>
      </c>
      <c r="B95" s="120">
        <v>31</v>
      </c>
      <c r="C95" s="121" t="s">
        <v>10</v>
      </c>
      <c r="D95" s="121" t="s">
        <v>32</v>
      </c>
      <c r="E95" s="121"/>
      <c r="F95" s="121" t="s">
        <v>113</v>
      </c>
      <c r="G95" s="122">
        <v>284280.51</v>
      </c>
      <c r="H95" s="122">
        <v>240000</v>
      </c>
      <c r="I95" s="122">
        <v>319569.43200000003</v>
      </c>
      <c r="J95" s="122">
        <v>322772</v>
      </c>
      <c r="K95" s="122">
        <v>240000</v>
      </c>
      <c r="L95" s="123"/>
      <c r="M95" s="123"/>
      <c r="N95" s="123"/>
      <c r="O95" s="226">
        <v>291351.06</v>
      </c>
      <c r="P95" s="122">
        <v>300000</v>
      </c>
      <c r="Q95" s="122">
        <v>12</v>
      </c>
      <c r="R95" s="122">
        <v>12</v>
      </c>
      <c r="S95" s="441">
        <f t="shared" si="18"/>
        <v>300000</v>
      </c>
      <c r="T95" s="432">
        <f t="shared" si="16"/>
        <v>60000</v>
      </c>
      <c r="U95" s="62">
        <f t="shared" si="17"/>
        <v>60000</v>
      </c>
      <c r="V95" s="62">
        <f t="shared" si="15"/>
        <v>0</v>
      </c>
      <c r="W95" s="153" t="s">
        <v>783</v>
      </c>
    </row>
    <row r="96" spans="1:24" ht="50.15" customHeight="1" x14ac:dyDescent="0.6">
      <c r="A96" s="440">
        <v>1313800920</v>
      </c>
      <c r="B96" s="120">
        <v>31</v>
      </c>
      <c r="C96" s="121" t="s">
        <v>11</v>
      </c>
      <c r="D96" s="121" t="s">
        <v>32</v>
      </c>
      <c r="E96" s="121"/>
      <c r="F96" s="121" t="s">
        <v>114</v>
      </c>
      <c r="G96" s="122">
        <v>728350.96</v>
      </c>
      <c r="H96" s="122">
        <v>650000</v>
      </c>
      <c r="I96" s="122">
        <v>562760.38800000004</v>
      </c>
      <c r="J96" s="122">
        <v>450000</v>
      </c>
      <c r="K96" s="122">
        <v>650000</v>
      </c>
      <c r="L96" s="123"/>
      <c r="M96" s="123"/>
      <c r="N96" s="123"/>
      <c r="O96" s="226">
        <v>514241.42</v>
      </c>
      <c r="P96" s="122">
        <v>515000</v>
      </c>
      <c r="Q96" s="122">
        <v>12</v>
      </c>
      <c r="R96" s="122">
        <v>12</v>
      </c>
      <c r="S96" s="441">
        <f t="shared" si="18"/>
        <v>515000</v>
      </c>
      <c r="T96" s="432">
        <f t="shared" si="16"/>
        <v>-135000</v>
      </c>
      <c r="U96" s="62">
        <f t="shared" si="17"/>
        <v>-135000</v>
      </c>
      <c r="V96" s="62">
        <f t="shared" si="15"/>
        <v>0</v>
      </c>
      <c r="W96" s="153" t="s">
        <v>783</v>
      </c>
    </row>
    <row r="97" spans="1:24" ht="50.15" customHeight="1" x14ac:dyDescent="0.6">
      <c r="A97" s="440">
        <v>1313830420</v>
      </c>
      <c r="B97" s="120">
        <v>31</v>
      </c>
      <c r="C97" s="121" t="s">
        <v>10</v>
      </c>
      <c r="D97" s="121" t="s">
        <v>32</v>
      </c>
      <c r="E97" s="121"/>
      <c r="F97" s="121" t="s">
        <v>115</v>
      </c>
      <c r="G97" s="122">
        <v>43300.160000000003</v>
      </c>
      <c r="H97" s="122">
        <v>43100</v>
      </c>
      <c r="I97" s="122"/>
      <c r="J97" s="122">
        <v>54000</v>
      </c>
      <c r="K97" s="122">
        <v>43100</v>
      </c>
      <c r="L97" s="123"/>
      <c r="M97" s="123"/>
      <c r="N97" s="123"/>
      <c r="O97" s="122">
        <v>0</v>
      </c>
      <c r="P97" s="122">
        <v>0</v>
      </c>
      <c r="Q97" s="122">
        <v>12</v>
      </c>
      <c r="R97" s="122">
        <v>12</v>
      </c>
      <c r="S97" s="441">
        <f t="shared" si="18"/>
        <v>0</v>
      </c>
      <c r="T97" s="432">
        <f t="shared" si="16"/>
        <v>-43100</v>
      </c>
      <c r="U97" s="62">
        <f t="shared" si="17"/>
        <v>-43100</v>
      </c>
      <c r="V97" s="62">
        <f t="shared" ref="V97:V113" si="19">S97-P97</f>
        <v>0</v>
      </c>
      <c r="W97" s="153" t="s">
        <v>791</v>
      </c>
    </row>
    <row r="98" spans="1:24" ht="50.15" customHeight="1" x14ac:dyDescent="0.6">
      <c r="A98" s="440">
        <v>1315000490</v>
      </c>
      <c r="B98" s="120">
        <v>31</v>
      </c>
      <c r="C98" s="121" t="s">
        <v>10</v>
      </c>
      <c r="D98" s="121" t="s">
        <v>32</v>
      </c>
      <c r="E98" s="121"/>
      <c r="F98" s="121" t="s">
        <v>116</v>
      </c>
      <c r="G98" s="122">
        <v>978852.1</v>
      </c>
      <c r="H98" s="122">
        <v>924000</v>
      </c>
      <c r="I98" s="122">
        <v>1200000</v>
      </c>
      <c r="J98" s="122">
        <v>1201492.1781364249</v>
      </c>
      <c r="K98" s="122">
        <v>924000</v>
      </c>
      <c r="L98" s="123"/>
      <c r="M98" s="123"/>
      <c r="N98" s="123"/>
      <c r="O98" s="226">
        <v>1202000</v>
      </c>
      <c r="P98" s="122">
        <v>850000</v>
      </c>
      <c r="Q98" s="122">
        <v>12</v>
      </c>
      <c r="R98" s="122">
        <v>12</v>
      </c>
      <c r="S98" s="441">
        <f t="shared" si="18"/>
        <v>850000</v>
      </c>
      <c r="T98" s="432">
        <f t="shared" si="16"/>
        <v>-74000</v>
      </c>
      <c r="U98" s="62">
        <f t="shared" si="17"/>
        <v>-74000</v>
      </c>
      <c r="V98" s="62">
        <f t="shared" si="19"/>
        <v>0</v>
      </c>
      <c r="W98" s="338" t="s">
        <v>792</v>
      </c>
    </row>
    <row r="99" spans="1:24" ht="50.15" customHeight="1" x14ac:dyDescent="0.6">
      <c r="A99" s="440">
        <v>1317100920</v>
      </c>
      <c r="B99" s="120">
        <v>31</v>
      </c>
      <c r="C99" s="121" t="s">
        <v>11</v>
      </c>
      <c r="D99" s="121" t="s">
        <v>32</v>
      </c>
      <c r="E99" s="121"/>
      <c r="F99" s="121" t="s">
        <v>117</v>
      </c>
      <c r="G99" s="122">
        <v>157151.49</v>
      </c>
      <c r="H99" s="122">
        <v>153000</v>
      </c>
      <c r="I99" s="122">
        <v>163928.17200000002</v>
      </c>
      <c r="J99" s="122">
        <v>163000</v>
      </c>
      <c r="K99" s="122">
        <v>153000</v>
      </c>
      <c r="L99" s="123"/>
      <c r="M99" s="123"/>
      <c r="N99" s="123"/>
      <c r="O99" s="226">
        <v>159377.87</v>
      </c>
      <c r="P99" s="122">
        <v>160000</v>
      </c>
      <c r="Q99" s="122">
        <v>12</v>
      </c>
      <c r="R99" s="122">
        <v>12</v>
      </c>
      <c r="S99" s="441">
        <f t="shared" si="18"/>
        <v>160000</v>
      </c>
      <c r="T99" s="432">
        <f t="shared" si="16"/>
        <v>7000</v>
      </c>
      <c r="U99" s="62">
        <f t="shared" si="17"/>
        <v>7000</v>
      </c>
      <c r="V99" s="62">
        <f t="shared" si="19"/>
        <v>0</v>
      </c>
      <c r="W99" s="153" t="s">
        <v>608</v>
      </c>
    </row>
    <row r="100" spans="1:24" ht="50.15" customHeight="1" x14ac:dyDescent="0.6">
      <c r="A100" s="440">
        <v>1317300920</v>
      </c>
      <c r="B100" s="120">
        <v>31</v>
      </c>
      <c r="C100" s="121" t="s">
        <v>11</v>
      </c>
      <c r="D100" s="121" t="s">
        <v>32</v>
      </c>
      <c r="E100" s="121"/>
      <c r="F100" s="121" t="s">
        <v>118</v>
      </c>
      <c r="G100" s="122">
        <v>1285815.51</v>
      </c>
      <c r="H100" s="122">
        <v>1181000</v>
      </c>
      <c r="I100" s="122">
        <v>1550000</v>
      </c>
      <c r="J100" s="122">
        <v>1556836.7100000002</v>
      </c>
      <c r="K100" s="122">
        <v>1181000</v>
      </c>
      <c r="L100" s="123"/>
      <c r="M100" s="123"/>
      <c r="N100" s="123"/>
      <c r="O100" s="226">
        <v>1527543.41</v>
      </c>
      <c r="P100" s="122">
        <f>1628000-50000</f>
        <v>1578000</v>
      </c>
      <c r="Q100" s="122">
        <v>12</v>
      </c>
      <c r="R100" s="122">
        <v>12</v>
      </c>
      <c r="S100" s="441">
        <f t="shared" si="18"/>
        <v>1578000</v>
      </c>
      <c r="T100" s="432">
        <f t="shared" si="16"/>
        <v>397000</v>
      </c>
      <c r="U100" s="62">
        <f t="shared" si="17"/>
        <v>397000</v>
      </c>
      <c r="V100" s="62">
        <f t="shared" si="19"/>
        <v>0</v>
      </c>
      <c r="W100" s="338" t="s">
        <v>793</v>
      </c>
    </row>
    <row r="101" spans="1:24" ht="50.15" customHeight="1" x14ac:dyDescent="0.6">
      <c r="A101" s="440">
        <v>1317310920</v>
      </c>
      <c r="B101" s="159">
        <v>31</v>
      </c>
      <c r="C101" s="121" t="s">
        <v>11</v>
      </c>
      <c r="D101" s="121" t="s">
        <v>32</v>
      </c>
      <c r="E101" s="121"/>
      <c r="F101" s="121" t="s">
        <v>119</v>
      </c>
      <c r="G101" s="122">
        <v>0</v>
      </c>
      <c r="H101" s="122">
        <v>0</v>
      </c>
      <c r="I101" s="122">
        <v>0</v>
      </c>
      <c r="J101" s="122">
        <v>55000</v>
      </c>
      <c r="K101" s="122">
        <v>0</v>
      </c>
      <c r="L101" s="123"/>
      <c r="M101" s="123"/>
      <c r="N101" s="123"/>
      <c r="O101" s="226">
        <v>50398.5</v>
      </c>
      <c r="P101" s="122">
        <v>50000</v>
      </c>
      <c r="Q101" s="122">
        <v>12</v>
      </c>
      <c r="R101" s="122">
        <v>12</v>
      </c>
      <c r="S101" s="441">
        <f t="shared" si="18"/>
        <v>50000</v>
      </c>
      <c r="T101" s="432">
        <f t="shared" si="16"/>
        <v>50000</v>
      </c>
      <c r="U101" s="62">
        <f t="shared" si="17"/>
        <v>50000</v>
      </c>
      <c r="V101" s="62">
        <f t="shared" si="19"/>
        <v>0</v>
      </c>
    </row>
    <row r="102" spans="1:24" ht="50.15" customHeight="1" x14ac:dyDescent="0.6">
      <c r="A102" s="440">
        <v>1317400920</v>
      </c>
      <c r="B102" s="120">
        <v>31</v>
      </c>
      <c r="C102" s="121" t="s">
        <v>11</v>
      </c>
      <c r="D102" s="121" t="s">
        <v>32</v>
      </c>
      <c r="E102" s="121"/>
      <c r="F102" s="121" t="s">
        <v>120</v>
      </c>
      <c r="G102" s="122">
        <v>203604.12</v>
      </c>
      <c r="H102" s="122">
        <v>160000</v>
      </c>
      <c r="I102" s="122">
        <v>213000</v>
      </c>
      <c r="J102" s="122">
        <v>213000</v>
      </c>
      <c r="K102" s="122">
        <v>160000</v>
      </c>
      <c r="L102" s="123"/>
      <c r="M102" s="123"/>
      <c r="N102" s="123"/>
      <c r="O102" s="226">
        <v>209370.93</v>
      </c>
      <c r="P102" s="122">
        <v>210000</v>
      </c>
      <c r="Q102" s="122">
        <v>12</v>
      </c>
      <c r="R102" s="122">
        <v>12</v>
      </c>
      <c r="S102" s="441">
        <f t="shared" si="18"/>
        <v>210000</v>
      </c>
      <c r="T102" s="432">
        <f t="shared" si="16"/>
        <v>50000</v>
      </c>
      <c r="U102" s="62">
        <f t="shared" si="17"/>
        <v>50000</v>
      </c>
      <c r="V102" s="62">
        <f t="shared" si="19"/>
        <v>0</v>
      </c>
      <c r="W102" s="338" t="s">
        <v>794</v>
      </c>
    </row>
    <row r="103" spans="1:24" ht="50.15" customHeight="1" x14ac:dyDescent="0.6">
      <c r="A103" s="440">
        <v>1317400925</v>
      </c>
      <c r="B103" s="120">
        <v>31</v>
      </c>
      <c r="C103" s="121" t="s">
        <v>11</v>
      </c>
      <c r="D103" s="121" t="s">
        <v>32</v>
      </c>
      <c r="E103" s="121"/>
      <c r="F103" s="121" t="s">
        <v>121</v>
      </c>
      <c r="G103" s="122">
        <v>0</v>
      </c>
      <c r="H103" s="122">
        <v>25000</v>
      </c>
      <c r="I103" s="122">
        <v>0</v>
      </c>
      <c r="J103" s="122">
        <v>0</v>
      </c>
      <c r="K103" s="122">
        <v>25000</v>
      </c>
      <c r="L103" s="123"/>
      <c r="M103" s="123"/>
      <c r="N103" s="123"/>
      <c r="O103" s="122">
        <v>0</v>
      </c>
      <c r="P103" s="122">
        <v>0</v>
      </c>
      <c r="Q103" s="122">
        <v>12</v>
      </c>
      <c r="R103" s="122">
        <v>12</v>
      </c>
      <c r="S103" s="441">
        <f t="shared" si="18"/>
        <v>0</v>
      </c>
      <c r="T103" s="432">
        <f t="shared" si="16"/>
        <v>-25000</v>
      </c>
      <c r="U103" s="62">
        <f t="shared" si="17"/>
        <v>-25000</v>
      </c>
      <c r="V103" s="62">
        <f t="shared" si="19"/>
        <v>0</v>
      </c>
      <c r="W103" s="338" t="s">
        <v>795</v>
      </c>
    </row>
    <row r="104" spans="1:24" ht="50.15" customHeight="1" x14ac:dyDescent="0.6">
      <c r="A104" s="440">
        <v>1317600920</v>
      </c>
      <c r="B104" s="120">
        <v>31</v>
      </c>
      <c r="C104" s="121" t="s">
        <v>11</v>
      </c>
      <c r="D104" s="121" t="s">
        <v>32</v>
      </c>
      <c r="E104" s="121"/>
      <c r="F104" s="121" t="s">
        <v>122</v>
      </c>
      <c r="G104" s="122">
        <v>699547</v>
      </c>
      <c r="H104" s="122">
        <v>719727</v>
      </c>
      <c r="I104" s="122">
        <v>660000</v>
      </c>
      <c r="J104" s="122">
        <v>658251.20000000007</v>
      </c>
      <c r="K104" s="122">
        <v>719727</v>
      </c>
      <c r="L104" s="123"/>
      <c r="M104" s="123"/>
      <c r="N104" s="123"/>
      <c r="O104" s="226">
        <v>571230</v>
      </c>
      <c r="P104" s="122">
        <v>580000</v>
      </c>
      <c r="Q104" s="122">
        <v>12</v>
      </c>
      <c r="R104" s="122">
        <v>12</v>
      </c>
      <c r="S104" s="441">
        <f t="shared" si="18"/>
        <v>580000</v>
      </c>
      <c r="T104" s="432">
        <f t="shared" si="16"/>
        <v>-139727</v>
      </c>
      <c r="U104" s="62">
        <f t="shared" si="17"/>
        <v>-139727</v>
      </c>
      <c r="V104" s="62">
        <f t="shared" si="19"/>
        <v>0</v>
      </c>
      <c r="W104" s="340" t="s">
        <v>796</v>
      </c>
      <c r="X104" s="239" t="s">
        <v>789</v>
      </c>
    </row>
    <row r="105" spans="1:24" ht="50.15" customHeight="1" x14ac:dyDescent="0.6">
      <c r="A105" s="440">
        <v>1317700920</v>
      </c>
      <c r="B105" s="120">
        <v>31</v>
      </c>
      <c r="C105" s="121" t="s">
        <v>11</v>
      </c>
      <c r="D105" s="121" t="s">
        <v>32</v>
      </c>
      <c r="E105" s="121"/>
      <c r="F105" s="121" t="s">
        <v>123</v>
      </c>
      <c r="G105" s="122">
        <v>287633.62</v>
      </c>
      <c r="H105" s="122">
        <v>292000</v>
      </c>
      <c r="I105" s="122">
        <v>303313.33199999994</v>
      </c>
      <c r="J105" s="122">
        <v>305000</v>
      </c>
      <c r="K105" s="122">
        <v>292000</v>
      </c>
      <c r="L105" s="123"/>
      <c r="M105" s="123"/>
      <c r="N105" s="123"/>
      <c r="O105" s="226">
        <v>254920.66</v>
      </c>
      <c r="P105" s="122">
        <v>260000</v>
      </c>
      <c r="Q105" s="122">
        <v>12</v>
      </c>
      <c r="R105" s="122">
        <v>12</v>
      </c>
      <c r="S105" s="441">
        <f t="shared" si="18"/>
        <v>260000</v>
      </c>
      <c r="T105" s="432">
        <f t="shared" si="16"/>
        <v>-32000</v>
      </c>
      <c r="U105" s="62">
        <f t="shared" si="17"/>
        <v>-32000</v>
      </c>
      <c r="V105" s="62">
        <f t="shared" si="19"/>
        <v>0</v>
      </c>
      <c r="W105" s="153" t="s">
        <v>608</v>
      </c>
    </row>
    <row r="106" spans="1:24" ht="50.15" customHeight="1" x14ac:dyDescent="0.6">
      <c r="A106" s="440">
        <v>1317800920</v>
      </c>
      <c r="B106" s="120">
        <v>31</v>
      </c>
      <c r="C106" s="121" t="s">
        <v>11</v>
      </c>
      <c r="D106" s="121" t="s">
        <v>32</v>
      </c>
      <c r="E106" s="121"/>
      <c r="F106" s="121" t="s">
        <v>124</v>
      </c>
      <c r="G106" s="122">
        <v>1047880.35</v>
      </c>
      <c r="H106" s="122">
        <v>1000000</v>
      </c>
      <c r="I106" s="122">
        <v>676040.82000000007</v>
      </c>
      <c r="J106" s="122">
        <v>800000</v>
      </c>
      <c r="K106" s="122">
        <v>800000</v>
      </c>
      <c r="L106" s="123"/>
      <c r="M106" s="123"/>
      <c r="N106" s="123"/>
      <c r="O106" s="226">
        <v>556691.81000000006</v>
      </c>
      <c r="P106" s="122">
        <v>700000</v>
      </c>
      <c r="Q106" s="122">
        <v>10</v>
      </c>
      <c r="R106" s="122">
        <v>12</v>
      </c>
      <c r="S106" s="441">
        <f t="shared" si="18"/>
        <v>583333.33333333337</v>
      </c>
      <c r="T106" s="432">
        <f t="shared" si="16"/>
        <v>-100000</v>
      </c>
      <c r="U106" s="62">
        <f t="shared" si="17"/>
        <v>-216666.66666666663</v>
      </c>
      <c r="V106" s="62">
        <f t="shared" si="19"/>
        <v>-116666.66666666663</v>
      </c>
      <c r="W106" s="153" t="s">
        <v>608</v>
      </c>
      <c r="X106" s="239" t="s">
        <v>1006</v>
      </c>
    </row>
    <row r="107" spans="1:24" ht="50.15" customHeight="1" x14ac:dyDescent="0.6">
      <c r="A107" s="440">
        <v>1317800921</v>
      </c>
      <c r="B107" s="120">
        <v>31</v>
      </c>
      <c r="C107" s="121" t="s">
        <v>11</v>
      </c>
      <c r="D107" s="121" t="s">
        <v>32</v>
      </c>
      <c r="E107" s="121"/>
      <c r="F107" s="121" t="s">
        <v>125</v>
      </c>
      <c r="G107" s="122">
        <v>1100682.46</v>
      </c>
      <c r="H107" s="122">
        <v>850000</v>
      </c>
      <c r="I107" s="122">
        <v>1188000</v>
      </c>
      <c r="J107" s="122">
        <v>1200000</v>
      </c>
      <c r="K107" s="122">
        <v>850000</v>
      </c>
      <c r="L107" s="123"/>
      <c r="M107" s="123"/>
      <c r="N107" s="123"/>
      <c r="O107" s="226">
        <v>1188397.76</v>
      </c>
      <c r="P107" s="122">
        <v>1100000</v>
      </c>
      <c r="Q107" s="122">
        <v>12</v>
      </c>
      <c r="R107" s="122">
        <v>12</v>
      </c>
      <c r="S107" s="441">
        <f t="shared" si="18"/>
        <v>1100000</v>
      </c>
      <c r="T107" s="432">
        <f t="shared" si="16"/>
        <v>250000</v>
      </c>
      <c r="U107" s="62">
        <f t="shared" si="17"/>
        <v>250000</v>
      </c>
      <c r="V107" s="62">
        <f t="shared" si="19"/>
        <v>0</v>
      </c>
      <c r="W107" s="153" t="s">
        <v>608</v>
      </c>
      <c r="X107" s="239" t="s">
        <v>1007</v>
      </c>
    </row>
    <row r="108" spans="1:24" ht="50.15" customHeight="1" x14ac:dyDescent="0.6">
      <c r="A108" s="440">
        <v>1317800922</v>
      </c>
      <c r="B108" s="120">
        <v>31</v>
      </c>
      <c r="C108" s="121" t="s">
        <v>11</v>
      </c>
      <c r="D108" s="121" t="s">
        <v>32</v>
      </c>
      <c r="E108" s="121"/>
      <c r="F108" s="121" t="s">
        <v>126</v>
      </c>
      <c r="G108" s="122">
        <v>2909990.25</v>
      </c>
      <c r="H108" s="122">
        <v>2900000</v>
      </c>
      <c r="I108" s="122">
        <v>2779988.0159999998</v>
      </c>
      <c r="J108" s="122">
        <v>2261942.2995000002</v>
      </c>
      <c r="K108" s="122">
        <v>2900000</v>
      </c>
      <c r="L108" s="123"/>
      <c r="M108" s="123"/>
      <c r="N108" s="123"/>
      <c r="O108" s="226">
        <v>2896523.68</v>
      </c>
      <c r="P108" s="122">
        <v>3000000</v>
      </c>
      <c r="Q108" s="122">
        <v>10</v>
      </c>
      <c r="R108" s="122">
        <v>12</v>
      </c>
      <c r="S108" s="441">
        <f t="shared" si="18"/>
        <v>2500000</v>
      </c>
      <c r="T108" s="432">
        <f t="shared" si="16"/>
        <v>100000</v>
      </c>
      <c r="U108" s="62">
        <f t="shared" si="17"/>
        <v>-400000</v>
      </c>
      <c r="V108" s="62">
        <f t="shared" si="19"/>
        <v>-500000</v>
      </c>
      <c r="W108" s="153" t="s">
        <v>608</v>
      </c>
    </row>
    <row r="109" spans="1:24" ht="50.15" customHeight="1" x14ac:dyDescent="0.6">
      <c r="A109" s="440">
        <v>1317800923</v>
      </c>
      <c r="B109" s="120">
        <v>31</v>
      </c>
      <c r="C109" s="121" t="s">
        <v>11</v>
      </c>
      <c r="D109" s="121" t="s">
        <v>32</v>
      </c>
      <c r="E109" s="121"/>
      <c r="F109" s="121" t="s">
        <v>127</v>
      </c>
      <c r="G109" s="122">
        <v>1993275.15</v>
      </c>
      <c r="H109" s="122">
        <v>2090000</v>
      </c>
      <c r="I109" s="122">
        <v>2237030.2080000001</v>
      </c>
      <c r="J109" s="122">
        <v>2250000</v>
      </c>
      <c r="K109" s="122">
        <v>2090000</v>
      </c>
      <c r="L109" s="123"/>
      <c r="M109" s="123"/>
      <c r="N109" s="123"/>
      <c r="O109" s="226">
        <v>2313495.71</v>
      </c>
      <c r="P109" s="122">
        <v>2600000</v>
      </c>
      <c r="Q109" s="122">
        <v>12</v>
      </c>
      <c r="R109" s="122">
        <v>12</v>
      </c>
      <c r="S109" s="441">
        <f t="shared" si="18"/>
        <v>2600000</v>
      </c>
      <c r="T109" s="432">
        <f t="shared" si="16"/>
        <v>510000</v>
      </c>
      <c r="U109" s="62">
        <f t="shared" si="17"/>
        <v>510000</v>
      </c>
      <c r="V109" s="62">
        <f t="shared" si="19"/>
        <v>0</v>
      </c>
      <c r="W109" s="153" t="s">
        <v>608</v>
      </c>
      <c r="X109" s="239" t="s">
        <v>1007</v>
      </c>
    </row>
    <row r="110" spans="1:24" ht="50.15" customHeight="1" x14ac:dyDescent="0.6">
      <c r="A110" s="440">
        <v>1317800924</v>
      </c>
      <c r="B110" s="120">
        <v>31</v>
      </c>
      <c r="C110" s="121" t="s">
        <v>11</v>
      </c>
      <c r="D110" s="121" t="s">
        <v>32</v>
      </c>
      <c r="E110" s="121"/>
      <c r="F110" s="121" t="s">
        <v>128</v>
      </c>
      <c r="G110" s="122">
        <v>145000</v>
      </c>
      <c r="H110" s="122">
        <v>140000</v>
      </c>
      <c r="I110" s="122">
        <v>104400</v>
      </c>
      <c r="J110" s="122">
        <v>145000</v>
      </c>
      <c r="K110" s="122">
        <v>140000</v>
      </c>
      <c r="L110" s="123"/>
      <c r="M110" s="123"/>
      <c r="N110" s="123"/>
      <c r="O110" s="226">
        <v>87000</v>
      </c>
      <c r="P110" s="122">
        <v>88000</v>
      </c>
      <c r="Q110" s="122">
        <v>10</v>
      </c>
      <c r="R110" s="122">
        <v>12</v>
      </c>
      <c r="S110" s="441">
        <f t="shared" si="18"/>
        <v>73333.333333333328</v>
      </c>
      <c r="T110" s="432">
        <f t="shared" si="16"/>
        <v>-52000</v>
      </c>
      <c r="U110" s="62">
        <f t="shared" si="17"/>
        <v>-66666.666666666672</v>
      </c>
      <c r="V110" s="62">
        <f t="shared" si="19"/>
        <v>-14666.666666666672</v>
      </c>
      <c r="W110" s="338" t="s">
        <v>797</v>
      </c>
    </row>
    <row r="111" spans="1:24" ht="50.15" customHeight="1" x14ac:dyDescent="0.6">
      <c r="A111" s="440">
        <v>1317910920</v>
      </c>
      <c r="B111" s="120">
        <v>31</v>
      </c>
      <c r="C111" s="121" t="s">
        <v>11</v>
      </c>
      <c r="D111" s="121" t="s">
        <v>32</v>
      </c>
      <c r="E111" s="121"/>
      <c r="F111" s="121" t="s">
        <v>129</v>
      </c>
      <c r="G111" s="122">
        <v>300499.20000000001</v>
      </c>
      <c r="H111" s="122">
        <v>286000</v>
      </c>
      <c r="I111" s="122">
        <v>300000</v>
      </c>
      <c r="J111" s="122">
        <v>300000</v>
      </c>
      <c r="K111" s="122">
        <v>286000</v>
      </c>
      <c r="L111" s="123"/>
      <c r="M111" s="123"/>
      <c r="N111" s="123"/>
      <c r="O111" s="226">
        <v>180000</v>
      </c>
      <c r="P111" s="122">
        <v>180000</v>
      </c>
      <c r="Q111" s="122">
        <v>12</v>
      </c>
      <c r="R111" s="122">
        <v>12</v>
      </c>
      <c r="S111" s="441">
        <f t="shared" si="18"/>
        <v>180000</v>
      </c>
      <c r="T111" s="432">
        <f t="shared" si="16"/>
        <v>-106000</v>
      </c>
      <c r="U111" s="62">
        <f t="shared" si="17"/>
        <v>-106000</v>
      </c>
      <c r="V111" s="62">
        <f t="shared" si="19"/>
        <v>0</v>
      </c>
      <c r="W111" s="338" t="s">
        <v>798</v>
      </c>
    </row>
    <row r="112" spans="1:24" ht="50.15" customHeight="1" x14ac:dyDescent="0.6">
      <c r="A112" s="440">
        <v>1318000980</v>
      </c>
      <c r="B112" s="120">
        <v>31</v>
      </c>
      <c r="C112" s="121" t="s">
        <v>9</v>
      </c>
      <c r="D112" s="121" t="s">
        <v>32</v>
      </c>
      <c r="E112" s="121"/>
      <c r="F112" s="121" t="s">
        <v>130</v>
      </c>
      <c r="G112" s="122">
        <v>427932</v>
      </c>
      <c r="H112" s="122">
        <v>171961</v>
      </c>
      <c r="I112" s="122">
        <v>237283.80000000002</v>
      </c>
      <c r="J112" s="122">
        <v>59000</v>
      </c>
      <c r="K112" s="122">
        <v>171961</v>
      </c>
      <c r="L112" s="123"/>
      <c r="M112" s="123"/>
      <c r="N112" s="123"/>
      <c r="O112" s="226">
        <v>197736.5</v>
      </c>
      <c r="P112" s="122">
        <v>200000</v>
      </c>
      <c r="Q112" s="122">
        <v>12</v>
      </c>
      <c r="R112" s="122">
        <v>12</v>
      </c>
      <c r="S112" s="441">
        <f t="shared" si="18"/>
        <v>200000</v>
      </c>
      <c r="T112" s="432">
        <f t="shared" si="16"/>
        <v>28039</v>
      </c>
      <c r="U112" s="62">
        <f t="shared" si="17"/>
        <v>28039</v>
      </c>
      <c r="V112" s="62">
        <f t="shared" si="19"/>
        <v>0</v>
      </c>
      <c r="W112" s="338" t="s">
        <v>799</v>
      </c>
    </row>
    <row r="113" spans="1:23" ht="50.15" customHeight="1" thickBot="1" x14ac:dyDescent="0.65">
      <c r="A113" s="472">
        <v>1318100970</v>
      </c>
      <c r="B113" s="334">
        <v>31</v>
      </c>
      <c r="C113" s="335" t="s">
        <v>9</v>
      </c>
      <c r="D113" s="335" t="s">
        <v>32</v>
      </c>
      <c r="E113" s="335"/>
      <c r="F113" s="335" t="s">
        <v>131</v>
      </c>
      <c r="G113" s="281">
        <v>80000</v>
      </c>
      <c r="H113" s="281">
        <v>80000</v>
      </c>
      <c r="I113" s="281">
        <v>72000</v>
      </c>
      <c r="J113" s="281">
        <v>90000</v>
      </c>
      <c r="K113" s="281">
        <v>80000</v>
      </c>
      <c r="L113" s="280"/>
      <c r="M113" s="280"/>
      <c r="N113" s="280"/>
      <c r="O113" s="426">
        <v>63592</v>
      </c>
      <c r="P113" s="281">
        <v>65000</v>
      </c>
      <c r="Q113" s="281">
        <v>12</v>
      </c>
      <c r="R113" s="281">
        <v>12</v>
      </c>
      <c r="S113" s="473">
        <f t="shared" si="18"/>
        <v>65000</v>
      </c>
      <c r="T113" s="432">
        <f t="shared" si="16"/>
        <v>-15000</v>
      </c>
      <c r="U113" s="62">
        <f t="shared" si="17"/>
        <v>-15000</v>
      </c>
      <c r="V113" s="399">
        <f t="shared" si="19"/>
        <v>0</v>
      </c>
      <c r="W113" s="338" t="s">
        <v>800</v>
      </c>
    </row>
    <row r="114" spans="1:23" ht="50.15" customHeight="1" thickBot="1" x14ac:dyDescent="0.65">
      <c r="A114" s="407"/>
      <c r="B114" s="401"/>
      <c r="C114" s="402"/>
      <c r="D114" s="65"/>
      <c r="E114" s="65"/>
      <c r="F114" s="403"/>
      <c r="G114" s="408">
        <f t="shared" ref="G114:M114" si="20">SUM(G65:G113)</f>
        <v>39044300.210000016</v>
      </c>
      <c r="H114" s="66">
        <f t="shared" si="20"/>
        <v>38619747.909999996</v>
      </c>
      <c r="I114" s="66">
        <f t="shared" si="20"/>
        <v>39752295.372000001</v>
      </c>
      <c r="J114" s="66">
        <f t="shared" si="20"/>
        <v>39884671.502073377</v>
      </c>
      <c r="K114" s="66">
        <f t="shared" si="20"/>
        <v>37832890.799999997</v>
      </c>
      <c r="L114" s="66">
        <f t="shared" si="20"/>
        <v>0</v>
      </c>
      <c r="M114" s="66">
        <f t="shared" si="20"/>
        <v>0</v>
      </c>
      <c r="N114" s="66"/>
      <c r="O114" s="390">
        <f t="shared" ref="O114:U114" si="21">SUM(O65:O113)</f>
        <v>39295942.940000005</v>
      </c>
      <c r="P114" s="66">
        <f t="shared" si="21"/>
        <v>40009148</v>
      </c>
      <c r="Q114" s="66">
        <f t="shared" si="21"/>
        <v>563.5</v>
      </c>
      <c r="R114" s="66">
        <f t="shared" si="21"/>
        <v>588</v>
      </c>
      <c r="S114" s="66">
        <f t="shared" si="21"/>
        <v>37991115.000000007</v>
      </c>
      <c r="T114" s="398">
        <f t="shared" si="21"/>
        <v>2176257.2000000002</v>
      </c>
      <c r="U114" s="396">
        <f t="shared" si="21"/>
        <v>158224.19999999995</v>
      </c>
      <c r="V114" s="66">
        <f>SUM(V65:V113)</f>
        <v>-2018032.9999999998</v>
      </c>
    </row>
    <row r="115" spans="1:23" ht="50.15" customHeight="1" x14ac:dyDescent="0.35">
      <c r="A115" s="474" t="s">
        <v>636</v>
      </c>
      <c r="B115" s="328"/>
      <c r="C115" s="328"/>
      <c r="D115" s="118"/>
      <c r="E115" s="118"/>
      <c r="F115" s="328"/>
      <c r="G115" s="118"/>
      <c r="H115" s="118"/>
      <c r="I115" s="118"/>
      <c r="J115" s="118"/>
      <c r="K115" s="118"/>
      <c r="L115" s="118"/>
      <c r="M115" s="333"/>
      <c r="N115" s="118"/>
      <c r="O115" s="118"/>
      <c r="P115" s="329"/>
      <c r="Q115" s="328"/>
      <c r="R115" s="328"/>
      <c r="S115" s="471"/>
      <c r="T115" s="461"/>
      <c r="U115" s="391"/>
      <c r="V115" s="400"/>
    </row>
    <row r="116" spans="1:23" ht="50.15" customHeight="1" x14ac:dyDescent="0.6">
      <c r="A116" s="440">
        <v>1328100990</v>
      </c>
      <c r="B116" s="120">
        <v>32</v>
      </c>
      <c r="C116" s="121" t="s">
        <v>9</v>
      </c>
      <c r="D116" s="121" t="s">
        <v>32</v>
      </c>
      <c r="E116" s="121"/>
      <c r="F116" s="121" t="s">
        <v>132</v>
      </c>
      <c r="G116" s="122">
        <v>489858</v>
      </c>
      <c r="H116" s="122">
        <v>615289.5</v>
      </c>
      <c r="I116" s="122">
        <v>515668.80000000005</v>
      </c>
      <c r="J116" s="122">
        <v>299285</v>
      </c>
      <c r="K116" s="122">
        <v>615289.5</v>
      </c>
      <c r="L116" s="123"/>
      <c r="M116" s="123"/>
      <c r="N116" s="123"/>
      <c r="O116" s="226">
        <v>610000</v>
      </c>
      <c r="P116" s="122">
        <v>438875</v>
      </c>
      <c r="Q116" s="122">
        <v>12</v>
      </c>
      <c r="R116" s="122">
        <v>12</v>
      </c>
      <c r="S116" s="441">
        <f>P116*Q116/R116</f>
        <v>438875</v>
      </c>
      <c r="T116" s="432">
        <f>P116-K116</f>
        <v>-176414.5</v>
      </c>
      <c r="U116" s="62">
        <f>S116-K116</f>
        <v>-176414.5</v>
      </c>
      <c r="V116" s="62">
        <f t="shared" ref="V116:V122" si="22">S116-P116</f>
        <v>0</v>
      </c>
      <c r="W116" s="153" t="s">
        <v>1042</v>
      </c>
    </row>
    <row r="117" spans="1:23" ht="50.15" customHeight="1" x14ac:dyDescent="0.6">
      <c r="A117" s="440">
        <v>1328100990</v>
      </c>
      <c r="B117" s="120">
        <v>32</v>
      </c>
      <c r="C117" s="121" t="s">
        <v>29</v>
      </c>
      <c r="D117" s="121" t="s">
        <v>32</v>
      </c>
      <c r="E117" s="121"/>
      <c r="F117" s="121" t="s">
        <v>132</v>
      </c>
      <c r="G117" s="122"/>
      <c r="H117" s="122"/>
      <c r="I117" s="122"/>
      <c r="J117" s="122">
        <v>300000</v>
      </c>
      <c r="K117" s="122"/>
      <c r="L117" s="123"/>
      <c r="M117" s="123"/>
      <c r="N117" s="123"/>
      <c r="O117" s="122"/>
      <c r="P117" s="122">
        <v>130000</v>
      </c>
      <c r="Q117" s="122">
        <v>12</v>
      </c>
      <c r="R117" s="122">
        <v>12</v>
      </c>
      <c r="S117" s="441">
        <f t="shared" si="18"/>
        <v>130000</v>
      </c>
      <c r="T117" s="432">
        <f t="shared" ref="T117:T122" si="23">P117-K117</f>
        <v>130000</v>
      </c>
      <c r="U117" s="62">
        <f t="shared" ref="U117:U122" si="24">S117-K117</f>
        <v>130000</v>
      </c>
      <c r="V117" s="62">
        <f t="shared" si="22"/>
        <v>0</v>
      </c>
      <c r="W117" s="338" t="s">
        <v>801</v>
      </c>
    </row>
    <row r="118" spans="1:23" ht="50.15" customHeight="1" x14ac:dyDescent="0.6">
      <c r="A118" s="440">
        <v>1328100991</v>
      </c>
      <c r="B118" s="120">
        <v>32</v>
      </c>
      <c r="C118" s="121" t="s">
        <v>9</v>
      </c>
      <c r="D118" s="121" t="s">
        <v>32</v>
      </c>
      <c r="E118" s="121"/>
      <c r="F118" s="121" t="s">
        <v>133</v>
      </c>
      <c r="G118" s="122">
        <v>82450</v>
      </c>
      <c r="H118" s="122">
        <v>82450</v>
      </c>
      <c r="I118" s="122">
        <v>37428</v>
      </c>
      <c r="J118" s="122">
        <v>15000</v>
      </c>
      <c r="K118" s="122">
        <v>82450</v>
      </c>
      <c r="L118" s="123"/>
      <c r="M118" s="123"/>
      <c r="N118" s="123"/>
      <c r="O118" s="122">
        <v>31190</v>
      </c>
      <c r="P118" s="122">
        <v>15000</v>
      </c>
      <c r="Q118" s="122">
        <v>12</v>
      </c>
      <c r="R118" s="122">
        <v>12</v>
      </c>
      <c r="S118" s="441">
        <f t="shared" si="18"/>
        <v>15000</v>
      </c>
      <c r="T118" s="432">
        <f t="shared" si="23"/>
        <v>-67450</v>
      </c>
      <c r="U118" s="62">
        <f t="shared" si="24"/>
        <v>-67450</v>
      </c>
      <c r="V118" s="62">
        <f t="shared" si="22"/>
        <v>0</v>
      </c>
      <c r="W118" s="338" t="s">
        <v>802</v>
      </c>
    </row>
    <row r="119" spans="1:23" ht="50.15" customHeight="1" x14ac:dyDescent="0.6">
      <c r="A119" s="440">
        <v>1328200920</v>
      </c>
      <c r="B119" s="120">
        <v>32</v>
      </c>
      <c r="C119" s="121" t="s">
        <v>9</v>
      </c>
      <c r="D119" s="121" t="s">
        <v>32</v>
      </c>
      <c r="E119" s="121"/>
      <c r="F119" s="121" t="s">
        <v>134</v>
      </c>
      <c r="G119" s="122">
        <v>1127884.2</v>
      </c>
      <c r="H119" s="122">
        <v>1090000</v>
      </c>
      <c r="I119" s="122">
        <v>938775.36</v>
      </c>
      <c r="J119" s="122">
        <v>920000</v>
      </c>
      <c r="K119" s="122">
        <v>1090000</v>
      </c>
      <c r="L119" s="123"/>
      <c r="M119" s="123"/>
      <c r="N119" s="123"/>
      <c r="O119" s="226">
        <v>1111627.8</v>
      </c>
      <c r="P119" s="122">
        <v>920000</v>
      </c>
      <c r="Q119" s="122">
        <v>12</v>
      </c>
      <c r="R119" s="122">
        <v>12</v>
      </c>
      <c r="S119" s="441">
        <f t="shared" si="18"/>
        <v>920000</v>
      </c>
      <c r="T119" s="432">
        <f t="shared" si="23"/>
        <v>-170000</v>
      </c>
      <c r="U119" s="62">
        <f t="shared" si="24"/>
        <v>-170000</v>
      </c>
      <c r="V119" s="62">
        <f t="shared" si="22"/>
        <v>0</v>
      </c>
      <c r="W119" s="338" t="s">
        <v>803</v>
      </c>
    </row>
    <row r="120" spans="1:23" ht="50.15" customHeight="1" x14ac:dyDescent="0.6">
      <c r="A120" s="440">
        <v>1328200990</v>
      </c>
      <c r="B120" s="120">
        <v>32</v>
      </c>
      <c r="C120" s="121" t="s">
        <v>9</v>
      </c>
      <c r="D120" s="121" t="s">
        <v>32</v>
      </c>
      <c r="E120" s="121"/>
      <c r="F120" s="121" t="s">
        <v>135</v>
      </c>
      <c r="G120" s="122">
        <v>254396</v>
      </c>
      <c r="H120" s="122">
        <v>267416</v>
      </c>
      <c r="I120" s="122">
        <v>232364.40000000002</v>
      </c>
      <c r="J120" s="122">
        <v>306036</v>
      </c>
      <c r="K120" s="122">
        <v>267416</v>
      </c>
      <c r="L120" s="123"/>
      <c r="M120" s="123"/>
      <c r="N120" s="123"/>
      <c r="O120" s="226">
        <v>406000</v>
      </c>
      <c r="P120" s="122">
        <v>306036</v>
      </c>
      <c r="Q120" s="122">
        <v>12</v>
      </c>
      <c r="R120" s="122">
        <v>12</v>
      </c>
      <c r="S120" s="441">
        <f t="shared" si="18"/>
        <v>306036</v>
      </c>
      <c r="T120" s="432">
        <f t="shared" si="23"/>
        <v>38620</v>
      </c>
      <c r="U120" s="62">
        <f t="shared" si="24"/>
        <v>38620</v>
      </c>
      <c r="V120" s="62">
        <f t="shared" si="22"/>
        <v>0</v>
      </c>
      <c r="W120" s="338" t="s">
        <v>804</v>
      </c>
    </row>
    <row r="121" spans="1:23" ht="50.15" customHeight="1" x14ac:dyDescent="0.6">
      <c r="A121" s="440">
        <v>1329200640</v>
      </c>
      <c r="B121" s="120">
        <v>32</v>
      </c>
      <c r="C121" s="121" t="s">
        <v>4</v>
      </c>
      <c r="D121" s="121" t="s">
        <v>32</v>
      </c>
      <c r="E121" s="121"/>
      <c r="F121" s="121" t="s">
        <v>136</v>
      </c>
      <c r="G121" s="122">
        <v>5000</v>
      </c>
      <c r="H121" s="122">
        <v>5000</v>
      </c>
      <c r="I121" s="122">
        <v>70000</v>
      </c>
      <c r="J121" s="122">
        <v>70000</v>
      </c>
      <c r="K121" s="122">
        <v>5000</v>
      </c>
      <c r="L121" s="123"/>
      <c r="M121" s="123"/>
      <c r="N121" s="123"/>
      <c r="O121" s="226">
        <v>61800</v>
      </c>
      <c r="P121" s="122">
        <v>62000</v>
      </c>
      <c r="Q121" s="122">
        <v>12</v>
      </c>
      <c r="R121" s="122">
        <v>12</v>
      </c>
      <c r="S121" s="441">
        <f t="shared" si="18"/>
        <v>62000</v>
      </c>
      <c r="T121" s="432">
        <f t="shared" si="23"/>
        <v>57000</v>
      </c>
      <c r="U121" s="62">
        <f t="shared" si="24"/>
        <v>57000</v>
      </c>
      <c r="V121" s="62">
        <f t="shared" si="22"/>
        <v>0</v>
      </c>
      <c r="W121" s="338" t="s">
        <v>805</v>
      </c>
    </row>
    <row r="122" spans="1:23" ht="50.15" customHeight="1" thickBot="1" x14ac:dyDescent="0.65">
      <c r="A122" s="472">
        <v>1329200920</v>
      </c>
      <c r="B122" s="334">
        <v>32</v>
      </c>
      <c r="C122" s="335" t="s">
        <v>9</v>
      </c>
      <c r="D122" s="335" t="s">
        <v>32</v>
      </c>
      <c r="E122" s="335"/>
      <c r="F122" s="335" t="s">
        <v>137</v>
      </c>
      <c r="G122" s="281">
        <v>393444</v>
      </c>
      <c r="H122" s="281">
        <v>405000</v>
      </c>
      <c r="I122" s="281">
        <v>141306</v>
      </c>
      <c r="J122" s="281">
        <v>245000</v>
      </c>
      <c r="K122" s="281">
        <v>405000</v>
      </c>
      <c r="L122" s="280"/>
      <c r="M122" s="280"/>
      <c r="N122" s="280"/>
      <c r="O122" s="426">
        <v>118000</v>
      </c>
      <c r="P122" s="281">
        <v>245000</v>
      </c>
      <c r="Q122" s="281">
        <v>12</v>
      </c>
      <c r="R122" s="281">
        <v>12</v>
      </c>
      <c r="S122" s="473">
        <f>P122*Q122/R122</f>
        <v>245000</v>
      </c>
      <c r="T122" s="432">
        <f t="shared" si="23"/>
        <v>-160000</v>
      </c>
      <c r="U122" s="62">
        <f t="shared" si="24"/>
        <v>-160000</v>
      </c>
      <c r="V122" s="399">
        <f t="shared" si="22"/>
        <v>0</v>
      </c>
      <c r="W122" s="338" t="s">
        <v>806</v>
      </c>
    </row>
    <row r="123" spans="1:23" ht="50.15" customHeight="1" thickBot="1" x14ac:dyDescent="0.65">
      <c r="A123" s="407"/>
      <c r="B123" s="401"/>
      <c r="C123" s="402"/>
      <c r="D123" s="65"/>
      <c r="E123" s="65"/>
      <c r="F123" s="403"/>
      <c r="G123" s="408">
        <f t="shared" ref="G123:M123" si="25">SUM(G116:G122)</f>
        <v>2353032.2000000002</v>
      </c>
      <c r="H123" s="66">
        <f t="shared" si="25"/>
        <v>2465155.5</v>
      </c>
      <c r="I123" s="66">
        <f t="shared" si="25"/>
        <v>1935542.56</v>
      </c>
      <c r="J123" s="66">
        <f t="shared" si="25"/>
        <v>2155321</v>
      </c>
      <c r="K123" s="66">
        <f t="shared" si="25"/>
        <v>2465155.5</v>
      </c>
      <c r="L123" s="66">
        <f t="shared" si="25"/>
        <v>0</v>
      </c>
      <c r="M123" s="66">
        <f t="shared" si="25"/>
        <v>0</v>
      </c>
      <c r="N123" s="66"/>
      <c r="O123" s="390">
        <f t="shared" ref="O123:V123" si="26">SUM(O116:O122)</f>
        <v>2338617.7999999998</v>
      </c>
      <c r="P123" s="66">
        <f t="shared" si="26"/>
        <v>2116911</v>
      </c>
      <c r="Q123" s="66">
        <f t="shared" si="26"/>
        <v>84</v>
      </c>
      <c r="R123" s="66">
        <f t="shared" si="26"/>
        <v>84</v>
      </c>
      <c r="S123" s="66">
        <f t="shared" si="26"/>
        <v>2116911</v>
      </c>
      <c r="T123" s="398">
        <f t="shared" si="26"/>
        <v>-348244.5</v>
      </c>
      <c r="U123" s="396">
        <f t="shared" si="26"/>
        <v>-348244.5</v>
      </c>
      <c r="V123" s="66">
        <f t="shared" si="26"/>
        <v>0</v>
      </c>
    </row>
    <row r="124" spans="1:23" ht="50.15" customHeight="1" x14ac:dyDescent="0.35">
      <c r="A124" s="474" t="s">
        <v>637</v>
      </c>
      <c r="B124" s="328"/>
      <c r="C124" s="328"/>
      <c r="D124" s="118"/>
      <c r="E124" s="118"/>
      <c r="F124" s="328"/>
      <c r="G124" s="118"/>
      <c r="H124" s="118"/>
      <c r="I124" s="118"/>
      <c r="J124" s="118"/>
      <c r="K124" s="118"/>
      <c r="L124" s="118"/>
      <c r="M124" s="333"/>
      <c r="N124" s="118"/>
      <c r="O124" s="118"/>
      <c r="P124" s="329"/>
      <c r="Q124" s="328"/>
      <c r="R124" s="328"/>
      <c r="S124" s="471"/>
      <c r="T124" s="461"/>
      <c r="U124" s="391"/>
      <c r="V124" s="400"/>
    </row>
    <row r="125" spans="1:23" ht="50.15" customHeight="1" thickBot="1" x14ac:dyDescent="0.65">
      <c r="A125" s="472">
        <v>1335000940</v>
      </c>
      <c r="B125" s="334">
        <v>33</v>
      </c>
      <c r="C125" s="335" t="s">
        <v>9</v>
      </c>
      <c r="D125" s="335" t="s">
        <v>32</v>
      </c>
      <c r="E125" s="335"/>
      <c r="F125" s="335" t="s">
        <v>138</v>
      </c>
      <c r="G125" s="281">
        <v>74858.5</v>
      </c>
      <c r="H125" s="281">
        <v>69004</v>
      </c>
      <c r="I125" s="281">
        <v>110640.06000000001</v>
      </c>
      <c r="J125" s="281">
        <v>69004</v>
      </c>
      <c r="K125" s="281">
        <v>69004</v>
      </c>
      <c r="L125" s="280"/>
      <c r="M125" s="280"/>
      <c r="N125" s="280"/>
      <c r="O125" s="426">
        <v>142886.54999999999</v>
      </c>
      <c r="P125" s="281">
        <v>143000</v>
      </c>
      <c r="Q125" s="281">
        <v>12</v>
      </c>
      <c r="R125" s="281">
        <v>12</v>
      </c>
      <c r="S125" s="473">
        <f>P125*Q125/R125</f>
        <v>143000</v>
      </c>
      <c r="T125" s="432">
        <f>P125-K125</f>
        <v>73996</v>
      </c>
      <c r="U125" s="62">
        <f>S125-K125</f>
        <v>73996</v>
      </c>
      <c r="V125" s="62">
        <f>S125-P125</f>
        <v>0</v>
      </c>
      <c r="W125" s="338" t="s">
        <v>808</v>
      </c>
    </row>
    <row r="126" spans="1:23" ht="50.15" customHeight="1" thickBot="1" x14ac:dyDescent="0.65">
      <c r="A126" s="407"/>
      <c r="B126" s="64"/>
      <c r="C126" s="65"/>
      <c r="D126" s="65"/>
      <c r="E126" s="65"/>
      <c r="F126" s="65"/>
      <c r="G126" s="66">
        <f t="shared" ref="G126:M126" si="27">SUM(G125)</f>
        <v>74858.5</v>
      </c>
      <c r="H126" s="66">
        <f t="shared" si="27"/>
        <v>69004</v>
      </c>
      <c r="I126" s="66">
        <f t="shared" si="27"/>
        <v>110640.06000000001</v>
      </c>
      <c r="J126" s="66">
        <f t="shared" si="27"/>
        <v>69004</v>
      </c>
      <c r="K126" s="66">
        <f t="shared" si="27"/>
        <v>69004</v>
      </c>
      <c r="L126" s="66">
        <f t="shared" si="27"/>
        <v>0</v>
      </c>
      <c r="M126" s="66">
        <f t="shared" si="27"/>
        <v>0</v>
      </c>
      <c r="N126" s="66"/>
      <c r="O126" s="66">
        <f t="shared" ref="O126:V126" si="28">SUM(O125)</f>
        <v>142886.54999999999</v>
      </c>
      <c r="P126" s="66">
        <f t="shared" si="28"/>
        <v>143000</v>
      </c>
      <c r="Q126" s="66">
        <f t="shared" si="28"/>
        <v>12</v>
      </c>
      <c r="R126" s="66">
        <f t="shared" si="28"/>
        <v>12</v>
      </c>
      <c r="S126" s="66">
        <f t="shared" si="28"/>
        <v>143000</v>
      </c>
      <c r="T126" s="398">
        <f t="shared" si="28"/>
        <v>73996</v>
      </c>
      <c r="U126" s="393">
        <f t="shared" si="28"/>
        <v>73996</v>
      </c>
      <c r="V126" s="393">
        <f t="shared" si="28"/>
        <v>0</v>
      </c>
    </row>
    <row r="127" spans="1:23" ht="50.15" customHeight="1" x14ac:dyDescent="0.35">
      <c r="A127" s="474" t="s">
        <v>638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333"/>
      <c r="N127" s="118"/>
      <c r="O127" s="118"/>
      <c r="P127" s="318"/>
      <c r="Q127" s="118"/>
      <c r="R127" s="118"/>
      <c r="S127" s="466"/>
      <c r="T127" s="461"/>
      <c r="U127" s="391"/>
      <c r="V127" s="391"/>
    </row>
    <row r="128" spans="1:23" ht="50.15" customHeight="1" x14ac:dyDescent="0.6">
      <c r="A128" s="440">
        <v>1341000930</v>
      </c>
      <c r="B128" s="120">
        <v>34</v>
      </c>
      <c r="C128" s="121" t="s">
        <v>12</v>
      </c>
      <c r="D128" s="121" t="s">
        <v>32</v>
      </c>
      <c r="E128" s="121"/>
      <c r="F128" s="121" t="s">
        <v>139</v>
      </c>
      <c r="G128" s="122">
        <v>4206522</v>
      </c>
      <c r="H128" s="122">
        <v>4512729.5599999996</v>
      </c>
      <c r="I128" s="122">
        <v>4657018.8000000007</v>
      </c>
      <c r="J128" s="122">
        <v>4865045.0046750009</v>
      </c>
      <c r="K128" s="122">
        <v>4512729.5600000005</v>
      </c>
      <c r="L128" s="123"/>
      <c r="M128" s="123"/>
      <c r="N128" s="123"/>
      <c r="O128" s="226">
        <v>4578569</v>
      </c>
      <c r="P128" s="122">
        <v>4865045.0046750009</v>
      </c>
      <c r="Q128" s="122">
        <v>12</v>
      </c>
      <c r="R128" s="122">
        <v>12</v>
      </c>
      <c r="S128" s="441">
        <f>P128*Q128/R128</f>
        <v>4865045.0046750009</v>
      </c>
      <c r="T128" s="432">
        <f>P128-K128</f>
        <v>352315.44467500038</v>
      </c>
      <c r="U128" s="62">
        <f>S128-K128</f>
        <v>352315.44467500038</v>
      </c>
      <c r="V128" s="62">
        <f t="shared" ref="V128:V159" si="29">S128-P128</f>
        <v>0</v>
      </c>
      <c r="W128" s="157">
        <f>0.75*P626</f>
        <v>4878054.9000000004</v>
      </c>
    </row>
    <row r="129" spans="1:22" ht="50.15" customHeight="1" x14ac:dyDescent="0.6">
      <c r="A129" s="440">
        <v>1341000931</v>
      </c>
      <c r="B129" s="120">
        <v>34</v>
      </c>
      <c r="C129" s="121" t="s">
        <v>12</v>
      </c>
      <c r="D129" s="121" t="s">
        <v>32</v>
      </c>
      <c r="E129" s="121"/>
      <c r="F129" s="121" t="s">
        <v>140</v>
      </c>
      <c r="G129" s="122">
        <v>19328</v>
      </c>
      <c r="H129" s="122">
        <v>18750</v>
      </c>
      <c r="I129" s="122">
        <v>0</v>
      </c>
      <c r="J129" s="122">
        <v>15000</v>
      </c>
      <c r="K129" s="122">
        <v>18750</v>
      </c>
      <c r="L129" s="123"/>
      <c r="M129" s="123"/>
      <c r="N129" s="123"/>
      <c r="O129" s="226">
        <v>0</v>
      </c>
      <c r="P129" s="122">
        <v>18750</v>
      </c>
      <c r="Q129" s="122">
        <v>12</v>
      </c>
      <c r="R129" s="122">
        <v>12</v>
      </c>
      <c r="S129" s="441">
        <f t="shared" ref="S129:S193" si="30">P129*Q129/R129</f>
        <v>18750</v>
      </c>
      <c r="T129" s="432">
        <f t="shared" ref="T129:T192" si="31">P129-K129</f>
        <v>0</v>
      </c>
      <c r="U129" s="62">
        <f t="shared" ref="U129:U192" si="32">S129-K129</f>
        <v>0</v>
      </c>
      <c r="V129" s="62">
        <f t="shared" si="29"/>
        <v>0</v>
      </c>
    </row>
    <row r="130" spans="1:22" ht="50.15" customHeight="1" x14ac:dyDescent="0.6">
      <c r="A130" s="440">
        <v>1341500930</v>
      </c>
      <c r="B130" s="120">
        <v>34</v>
      </c>
      <c r="C130" s="121" t="s">
        <v>12</v>
      </c>
      <c r="D130" s="121" t="s">
        <v>32</v>
      </c>
      <c r="E130" s="121"/>
      <c r="F130" s="121" t="s">
        <v>141</v>
      </c>
      <c r="G130" s="122">
        <v>356640</v>
      </c>
      <c r="H130" s="122">
        <v>126000</v>
      </c>
      <c r="I130" s="122">
        <v>317433.59999999998</v>
      </c>
      <c r="J130" s="122">
        <v>317434</v>
      </c>
      <c r="K130" s="122">
        <v>126000</v>
      </c>
      <c r="L130" s="123"/>
      <c r="M130" s="123"/>
      <c r="N130" s="123"/>
      <c r="O130" s="226">
        <v>319480</v>
      </c>
      <c r="P130" s="122">
        <v>319480</v>
      </c>
      <c r="Q130" s="122">
        <v>12</v>
      </c>
      <c r="R130" s="122">
        <v>12</v>
      </c>
      <c r="S130" s="441">
        <f t="shared" si="30"/>
        <v>319480</v>
      </c>
      <c r="T130" s="432">
        <f t="shared" si="31"/>
        <v>193480</v>
      </c>
      <c r="U130" s="62">
        <f t="shared" si="32"/>
        <v>193480</v>
      </c>
      <c r="V130" s="62">
        <f t="shared" si="29"/>
        <v>0</v>
      </c>
    </row>
    <row r="131" spans="1:22" ht="50.15" customHeight="1" x14ac:dyDescent="0.6">
      <c r="A131" s="440">
        <v>1342200220</v>
      </c>
      <c r="B131" s="120">
        <v>34</v>
      </c>
      <c r="C131" s="121" t="s">
        <v>13</v>
      </c>
      <c r="D131" s="121" t="s">
        <v>32</v>
      </c>
      <c r="E131" s="121"/>
      <c r="F131" s="121" t="s">
        <v>142</v>
      </c>
      <c r="G131" s="122">
        <v>1000</v>
      </c>
      <c r="H131" s="122">
        <v>1000</v>
      </c>
      <c r="I131" s="122">
        <v>0</v>
      </c>
      <c r="J131" s="122">
        <v>1000</v>
      </c>
      <c r="K131" s="122">
        <v>1000</v>
      </c>
      <c r="L131" s="123"/>
      <c r="M131" s="123"/>
      <c r="N131" s="123"/>
      <c r="O131" s="226">
        <v>0</v>
      </c>
      <c r="P131" s="122">
        <v>1000</v>
      </c>
      <c r="Q131" s="122">
        <v>12</v>
      </c>
      <c r="R131" s="122">
        <v>12</v>
      </c>
      <c r="S131" s="441">
        <f t="shared" si="30"/>
        <v>1000</v>
      </c>
      <c r="T131" s="432">
        <f t="shared" si="31"/>
        <v>0</v>
      </c>
      <c r="U131" s="62">
        <f t="shared" si="32"/>
        <v>0</v>
      </c>
      <c r="V131" s="62">
        <f t="shared" si="29"/>
        <v>0</v>
      </c>
    </row>
    <row r="132" spans="1:22" ht="50.15" customHeight="1" x14ac:dyDescent="0.6">
      <c r="A132" s="440">
        <v>1342200770</v>
      </c>
      <c r="B132" s="159">
        <v>34</v>
      </c>
      <c r="C132" s="121" t="s">
        <v>13</v>
      </c>
      <c r="D132" s="121" t="s">
        <v>32</v>
      </c>
      <c r="E132" s="121"/>
      <c r="F132" s="121" t="s">
        <v>143</v>
      </c>
      <c r="G132" s="122">
        <v>0</v>
      </c>
      <c r="H132" s="122">
        <v>0</v>
      </c>
      <c r="I132" s="122">
        <v>0</v>
      </c>
      <c r="J132" s="122">
        <v>0</v>
      </c>
      <c r="K132" s="122">
        <v>0</v>
      </c>
      <c r="L132" s="123"/>
      <c r="M132" s="123"/>
      <c r="N132" s="123"/>
      <c r="O132" s="226">
        <v>39000</v>
      </c>
      <c r="P132" s="122">
        <v>0</v>
      </c>
      <c r="Q132" s="122">
        <v>12</v>
      </c>
      <c r="R132" s="122">
        <v>12</v>
      </c>
      <c r="S132" s="441">
        <f t="shared" si="30"/>
        <v>0</v>
      </c>
      <c r="T132" s="432">
        <f t="shared" si="31"/>
        <v>0</v>
      </c>
      <c r="U132" s="62">
        <f t="shared" si="32"/>
        <v>0</v>
      </c>
      <c r="V132" s="62">
        <f t="shared" si="29"/>
        <v>0</v>
      </c>
    </row>
    <row r="133" spans="1:22" ht="50.15" customHeight="1" x14ac:dyDescent="0.6">
      <c r="A133" s="440">
        <v>1342200931</v>
      </c>
      <c r="B133" s="120">
        <v>34</v>
      </c>
      <c r="C133" s="121" t="s">
        <v>12</v>
      </c>
      <c r="D133" s="121" t="s">
        <v>32</v>
      </c>
      <c r="E133" s="121"/>
      <c r="F133" s="121" t="s">
        <v>142</v>
      </c>
      <c r="G133" s="122">
        <v>116936</v>
      </c>
      <c r="H133" s="122">
        <v>140000</v>
      </c>
      <c r="I133" s="122">
        <v>55797.600000000006</v>
      </c>
      <c r="J133" s="122">
        <v>90000</v>
      </c>
      <c r="K133" s="122">
        <v>140000</v>
      </c>
      <c r="L133" s="123"/>
      <c r="M133" s="123"/>
      <c r="N133" s="123"/>
      <c r="O133" s="226">
        <v>51152</v>
      </c>
      <c r="P133" s="122">
        <v>51000</v>
      </c>
      <c r="Q133" s="122">
        <v>12</v>
      </c>
      <c r="R133" s="122">
        <v>12</v>
      </c>
      <c r="S133" s="441">
        <f t="shared" si="30"/>
        <v>51000</v>
      </c>
      <c r="T133" s="432">
        <f t="shared" si="31"/>
        <v>-89000</v>
      </c>
      <c r="U133" s="62">
        <f t="shared" si="32"/>
        <v>-89000</v>
      </c>
      <c r="V133" s="62">
        <f t="shared" si="29"/>
        <v>0</v>
      </c>
    </row>
    <row r="134" spans="1:22" ht="50.15" customHeight="1" x14ac:dyDescent="0.6">
      <c r="A134" s="440">
        <v>1342200936</v>
      </c>
      <c r="B134" s="120">
        <v>34</v>
      </c>
      <c r="C134" s="121" t="s">
        <v>12</v>
      </c>
      <c r="D134" s="121" t="s">
        <v>32</v>
      </c>
      <c r="E134" s="121"/>
      <c r="F134" s="121" t="s">
        <v>144</v>
      </c>
      <c r="G134" s="122">
        <v>50840</v>
      </c>
      <c r="H134" s="122">
        <v>67716</v>
      </c>
      <c r="I134" s="122">
        <v>32997.600000000006</v>
      </c>
      <c r="J134" s="122">
        <v>15000</v>
      </c>
      <c r="K134" s="122">
        <v>67716</v>
      </c>
      <c r="L134" s="123"/>
      <c r="M134" s="123"/>
      <c r="N134" s="123"/>
      <c r="O134" s="226">
        <v>35784</v>
      </c>
      <c r="P134" s="122">
        <v>36000</v>
      </c>
      <c r="Q134" s="122">
        <v>12</v>
      </c>
      <c r="R134" s="122">
        <v>12</v>
      </c>
      <c r="S134" s="441">
        <f t="shared" si="30"/>
        <v>36000</v>
      </c>
      <c r="T134" s="432">
        <f t="shared" si="31"/>
        <v>-31716</v>
      </c>
      <c r="U134" s="62">
        <f t="shared" si="32"/>
        <v>-31716</v>
      </c>
      <c r="V134" s="62">
        <f t="shared" si="29"/>
        <v>0</v>
      </c>
    </row>
    <row r="135" spans="1:22" ht="50.15" customHeight="1" x14ac:dyDescent="0.6">
      <c r="A135" s="440">
        <v>1342200937</v>
      </c>
      <c r="B135" s="120">
        <v>34</v>
      </c>
      <c r="C135" s="121" t="s">
        <v>12</v>
      </c>
      <c r="D135" s="121" t="s">
        <v>32</v>
      </c>
      <c r="E135" s="121"/>
      <c r="F135" s="121" t="s">
        <v>145</v>
      </c>
      <c r="G135" s="122">
        <v>17008</v>
      </c>
      <c r="H135" s="122">
        <v>56799.75</v>
      </c>
      <c r="I135" s="122">
        <v>14804.400000000001</v>
      </c>
      <c r="J135" s="122">
        <v>53199.75</v>
      </c>
      <c r="K135" s="122">
        <v>56799.75</v>
      </c>
      <c r="L135" s="123"/>
      <c r="M135" s="123"/>
      <c r="N135" s="123"/>
      <c r="O135" s="226">
        <v>21029</v>
      </c>
      <c r="P135" s="122">
        <v>21000</v>
      </c>
      <c r="Q135" s="122">
        <v>12</v>
      </c>
      <c r="R135" s="122">
        <v>12</v>
      </c>
      <c r="S135" s="441">
        <f t="shared" si="30"/>
        <v>21000</v>
      </c>
      <c r="T135" s="432">
        <f t="shared" si="31"/>
        <v>-35799.75</v>
      </c>
      <c r="U135" s="62">
        <f t="shared" si="32"/>
        <v>-35799.75</v>
      </c>
      <c r="V135" s="62">
        <f t="shared" si="29"/>
        <v>0</v>
      </c>
    </row>
    <row r="136" spans="1:22" ht="50.15" customHeight="1" x14ac:dyDescent="0.6">
      <c r="A136" s="440">
        <v>1342300931</v>
      </c>
      <c r="B136" s="120">
        <v>34</v>
      </c>
      <c r="C136" s="121" t="s">
        <v>12</v>
      </c>
      <c r="D136" s="121" t="s">
        <v>32</v>
      </c>
      <c r="E136" s="121"/>
      <c r="F136" s="121" t="s">
        <v>146</v>
      </c>
      <c r="G136" s="122">
        <v>222193</v>
      </c>
      <c r="H136" s="122">
        <v>191541</v>
      </c>
      <c r="I136" s="122">
        <v>71248.799999999988</v>
      </c>
      <c r="J136" s="122">
        <v>191541</v>
      </c>
      <c r="K136" s="122">
        <v>191541</v>
      </c>
      <c r="L136" s="123"/>
      <c r="M136" s="123"/>
      <c r="N136" s="123"/>
      <c r="O136" s="226">
        <v>75394</v>
      </c>
      <c r="P136" s="122">
        <v>76000</v>
      </c>
      <c r="Q136" s="122">
        <v>12</v>
      </c>
      <c r="R136" s="122">
        <v>12</v>
      </c>
      <c r="S136" s="441">
        <f t="shared" si="30"/>
        <v>76000</v>
      </c>
      <c r="T136" s="432">
        <f t="shared" si="31"/>
        <v>-115541</v>
      </c>
      <c r="U136" s="62">
        <f t="shared" si="32"/>
        <v>-115541</v>
      </c>
      <c r="V136" s="62">
        <f t="shared" si="29"/>
        <v>0</v>
      </c>
    </row>
    <row r="137" spans="1:22" ht="50.15" customHeight="1" x14ac:dyDescent="0.6">
      <c r="A137" s="440">
        <v>1342400930</v>
      </c>
      <c r="B137" s="120">
        <v>34</v>
      </c>
      <c r="C137" s="121" t="s">
        <v>12</v>
      </c>
      <c r="D137" s="121" t="s">
        <v>32</v>
      </c>
      <c r="E137" s="121"/>
      <c r="F137" s="121" t="s">
        <v>147</v>
      </c>
      <c r="G137" s="122">
        <v>439150</v>
      </c>
      <c r="H137" s="122">
        <v>204351</v>
      </c>
      <c r="I137" s="122">
        <v>453889.19999999995</v>
      </c>
      <c r="J137" s="122">
        <v>320000</v>
      </c>
      <c r="K137" s="122">
        <v>204351</v>
      </c>
      <c r="L137" s="123"/>
      <c r="M137" s="123"/>
      <c r="N137" s="123"/>
      <c r="O137" s="226">
        <v>354214</v>
      </c>
      <c r="P137" s="122">
        <v>354000</v>
      </c>
      <c r="Q137" s="122">
        <v>12</v>
      </c>
      <c r="R137" s="122">
        <v>12</v>
      </c>
      <c r="S137" s="441">
        <f t="shared" si="30"/>
        <v>354000</v>
      </c>
      <c r="T137" s="432">
        <f t="shared" si="31"/>
        <v>149649</v>
      </c>
      <c r="U137" s="62">
        <f t="shared" si="32"/>
        <v>149649</v>
      </c>
      <c r="V137" s="62">
        <f t="shared" si="29"/>
        <v>0</v>
      </c>
    </row>
    <row r="138" spans="1:22" ht="50.15" customHeight="1" x14ac:dyDescent="0.6">
      <c r="A138" s="440">
        <v>1342400931</v>
      </c>
      <c r="B138" s="120">
        <v>34</v>
      </c>
      <c r="C138" s="121" t="s">
        <v>12</v>
      </c>
      <c r="D138" s="121" t="s">
        <v>32</v>
      </c>
      <c r="E138" s="121"/>
      <c r="F138" s="121" t="s">
        <v>148</v>
      </c>
      <c r="G138" s="122">
        <v>20000</v>
      </c>
      <c r="H138" s="122">
        <v>40500</v>
      </c>
      <c r="I138" s="122">
        <v>0</v>
      </c>
      <c r="J138" s="122">
        <v>40500</v>
      </c>
      <c r="K138" s="122">
        <v>40500</v>
      </c>
      <c r="L138" s="123"/>
      <c r="M138" s="123"/>
      <c r="N138" s="123"/>
      <c r="O138" s="226">
        <v>119355</v>
      </c>
      <c r="P138" s="122">
        <v>119000</v>
      </c>
      <c r="Q138" s="122">
        <v>12</v>
      </c>
      <c r="R138" s="122">
        <v>12</v>
      </c>
      <c r="S138" s="441">
        <f t="shared" si="30"/>
        <v>119000</v>
      </c>
      <c r="T138" s="432">
        <f t="shared" si="31"/>
        <v>78500</v>
      </c>
      <c r="U138" s="62">
        <f t="shared" si="32"/>
        <v>78500</v>
      </c>
      <c r="V138" s="62">
        <f t="shared" si="29"/>
        <v>0</v>
      </c>
    </row>
    <row r="139" spans="1:22" ht="50.15" customHeight="1" x14ac:dyDescent="0.6">
      <c r="A139" s="440">
        <v>1343500930</v>
      </c>
      <c r="B139" s="120">
        <v>34</v>
      </c>
      <c r="C139" s="121" t="s">
        <v>12</v>
      </c>
      <c r="D139" s="121" t="s">
        <v>32</v>
      </c>
      <c r="E139" s="121"/>
      <c r="F139" s="121" t="s">
        <v>149</v>
      </c>
      <c r="G139" s="122">
        <v>477848</v>
      </c>
      <c r="H139" s="122">
        <v>534600</v>
      </c>
      <c r="I139" s="122">
        <v>494316</v>
      </c>
      <c r="J139" s="122">
        <v>534600</v>
      </c>
      <c r="K139" s="122">
        <v>534600</v>
      </c>
      <c r="L139" s="123"/>
      <c r="M139" s="123"/>
      <c r="N139" s="123"/>
      <c r="O139" s="226">
        <v>666473</v>
      </c>
      <c r="P139" s="122">
        <v>666000</v>
      </c>
      <c r="Q139" s="122">
        <v>12</v>
      </c>
      <c r="R139" s="122">
        <v>12</v>
      </c>
      <c r="S139" s="441">
        <f t="shared" si="30"/>
        <v>666000</v>
      </c>
      <c r="T139" s="432">
        <f t="shared" si="31"/>
        <v>131400</v>
      </c>
      <c r="U139" s="62">
        <f t="shared" si="32"/>
        <v>131400</v>
      </c>
      <c r="V139" s="62">
        <f t="shared" si="29"/>
        <v>0</v>
      </c>
    </row>
    <row r="140" spans="1:22" ht="50.15" customHeight="1" x14ac:dyDescent="0.6">
      <c r="A140" s="440">
        <v>1343500931</v>
      </c>
      <c r="B140" s="120">
        <v>34</v>
      </c>
      <c r="C140" s="121" t="s">
        <v>12</v>
      </c>
      <c r="D140" s="121" t="s">
        <v>32</v>
      </c>
      <c r="E140" s="121"/>
      <c r="F140" s="121" t="s">
        <v>150</v>
      </c>
      <c r="G140" s="122">
        <v>56539</v>
      </c>
      <c r="H140" s="122">
        <v>57000</v>
      </c>
      <c r="I140" s="122">
        <v>56536.799999999996</v>
      </c>
      <c r="J140" s="122">
        <v>57000</v>
      </c>
      <c r="K140" s="122">
        <v>57000</v>
      </c>
      <c r="L140" s="123"/>
      <c r="M140" s="123"/>
      <c r="N140" s="123"/>
      <c r="O140" s="226">
        <v>56539</v>
      </c>
      <c r="P140" s="122">
        <v>57000</v>
      </c>
      <c r="Q140" s="122">
        <v>12</v>
      </c>
      <c r="R140" s="122">
        <v>12</v>
      </c>
      <c r="S140" s="441">
        <f t="shared" si="30"/>
        <v>57000</v>
      </c>
      <c r="T140" s="432">
        <f t="shared" si="31"/>
        <v>0</v>
      </c>
      <c r="U140" s="62">
        <f t="shared" si="32"/>
        <v>0</v>
      </c>
      <c r="V140" s="62">
        <f t="shared" si="29"/>
        <v>0</v>
      </c>
    </row>
    <row r="141" spans="1:22" ht="50.15" customHeight="1" x14ac:dyDescent="0.6">
      <c r="A141" s="440">
        <v>1343500932</v>
      </c>
      <c r="B141" s="120">
        <v>34</v>
      </c>
      <c r="C141" s="121" t="s">
        <v>12</v>
      </c>
      <c r="D141" s="121" t="s">
        <v>32</v>
      </c>
      <c r="E141" s="121"/>
      <c r="F141" s="121" t="s">
        <v>151</v>
      </c>
      <c r="G141" s="122">
        <v>321949</v>
      </c>
      <c r="H141" s="122">
        <v>262500</v>
      </c>
      <c r="I141" s="122">
        <v>273688.80000000005</v>
      </c>
      <c r="J141" s="122">
        <v>292500</v>
      </c>
      <c r="K141" s="122">
        <v>262500</v>
      </c>
      <c r="L141" s="123"/>
      <c r="M141" s="123"/>
      <c r="N141" s="123"/>
      <c r="O141" s="226">
        <v>291721</v>
      </c>
      <c r="P141" s="122">
        <v>292500</v>
      </c>
      <c r="Q141" s="122">
        <v>12</v>
      </c>
      <c r="R141" s="122">
        <v>12</v>
      </c>
      <c r="S141" s="441">
        <f t="shared" si="30"/>
        <v>292500</v>
      </c>
      <c r="T141" s="432">
        <f t="shared" si="31"/>
        <v>30000</v>
      </c>
      <c r="U141" s="62">
        <f t="shared" si="32"/>
        <v>30000</v>
      </c>
      <c r="V141" s="62">
        <f t="shared" si="29"/>
        <v>0</v>
      </c>
    </row>
    <row r="142" spans="1:22" ht="50.15" customHeight="1" x14ac:dyDescent="0.6">
      <c r="A142" s="440">
        <v>1343500933</v>
      </c>
      <c r="B142" s="120">
        <v>34</v>
      </c>
      <c r="C142" s="121" t="s">
        <v>12</v>
      </c>
      <c r="D142" s="121" t="s">
        <v>32</v>
      </c>
      <c r="E142" s="121"/>
      <c r="F142" s="121" t="s">
        <v>152</v>
      </c>
      <c r="G142" s="122">
        <v>78129</v>
      </c>
      <c r="H142" s="122">
        <v>70000</v>
      </c>
      <c r="I142" s="122">
        <v>43119.600000000006</v>
      </c>
      <c r="J142" s="122">
        <v>76630</v>
      </c>
      <c r="K142" s="122">
        <v>70000</v>
      </c>
      <c r="L142" s="123"/>
      <c r="M142" s="123"/>
      <c r="N142" s="123"/>
      <c r="O142" s="226">
        <v>50624</v>
      </c>
      <c r="P142" s="122">
        <v>51000</v>
      </c>
      <c r="Q142" s="122">
        <v>12</v>
      </c>
      <c r="R142" s="122">
        <v>12</v>
      </c>
      <c r="S142" s="441">
        <f t="shared" si="30"/>
        <v>51000</v>
      </c>
      <c r="T142" s="432">
        <f t="shared" si="31"/>
        <v>-19000</v>
      </c>
      <c r="U142" s="62">
        <f t="shared" si="32"/>
        <v>-19000</v>
      </c>
      <c r="V142" s="62">
        <f t="shared" si="29"/>
        <v>0</v>
      </c>
    </row>
    <row r="143" spans="1:22" ht="50.15" customHeight="1" x14ac:dyDescent="0.6">
      <c r="A143" s="440">
        <v>1343500934</v>
      </c>
      <c r="B143" s="120">
        <v>34</v>
      </c>
      <c r="C143" s="121" t="s">
        <v>12</v>
      </c>
      <c r="D143" s="121" t="s">
        <v>32</v>
      </c>
      <c r="E143" s="121"/>
      <c r="F143" s="121" t="s">
        <v>153</v>
      </c>
      <c r="G143" s="122">
        <v>50740</v>
      </c>
      <c r="H143" s="122">
        <v>55629.75</v>
      </c>
      <c r="I143" s="122">
        <v>47995.199999999997</v>
      </c>
      <c r="J143" s="122">
        <v>55629.75</v>
      </c>
      <c r="K143" s="122">
        <v>55629.75</v>
      </c>
      <c r="L143" s="123"/>
      <c r="M143" s="123"/>
      <c r="N143" s="123"/>
      <c r="O143" s="226">
        <v>52461</v>
      </c>
      <c r="P143" s="122">
        <v>52000</v>
      </c>
      <c r="Q143" s="122">
        <v>12</v>
      </c>
      <c r="R143" s="122">
        <v>12</v>
      </c>
      <c r="S143" s="441">
        <f t="shared" si="30"/>
        <v>52000</v>
      </c>
      <c r="T143" s="432">
        <f t="shared" si="31"/>
        <v>-3629.75</v>
      </c>
      <c r="U143" s="62">
        <f t="shared" si="32"/>
        <v>-3629.75</v>
      </c>
      <c r="V143" s="62">
        <f t="shared" si="29"/>
        <v>0</v>
      </c>
    </row>
    <row r="144" spans="1:22" ht="50.15" customHeight="1" x14ac:dyDescent="0.6">
      <c r="A144" s="440">
        <v>1343500935</v>
      </c>
      <c r="B144" s="120">
        <v>34</v>
      </c>
      <c r="C144" s="121" t="s">
        <v>12</v>
      </c>
      <c r="D144" s="121" t="s">
        <v>32</v>
      </c>
      <c r="E144" s="121"/>
      <c r="F144" s="121" t="s">
        <v>154</v>
      </c>
      <c r="G144" s="122">
        <v>35015</v>
      </c>
      <c r="H144" s="122">
        <v>56538</v>
      </c>
      <c r="I144" s="122">
        <v>0</v>
      </c>
      <c r="J144" s="122">
        <v>56538</v>
      </c>
      <c r="K144" s="122">
        <v>56538</v>
      </c>
      <c r="L144" s="123"/>
      <c r="M144" s="123"/>
      <c r="N144" s="123"/>
      <c r="O144" s="226">
        <v>0</v>
      </c>
      <c r="P144" s="122">
        <v>56538</v>
      </c>
      <c r="Q144" s="122">
        <v>12</v>
      </c>
      <c r="R144" s="122">
        <v>12</v>
      </c>
      <c r="S144" s="441">
        <f t="shared" si="30"/>
        <v>56538</v>
      </c>
      <c r="T144" s="432">
        <f t="shared" si="31"/>
        <v>0</v>
      </c>
      <c r="U144" s="62">
        <f t="shared" si="32"/>
        <v>0</v>
      </c>
      <c r="V144" s="62">
        <f t="shared" si="29"/>
        <v>0</v>
      </c>
    </row>
    <row r="145" spans="1:24" ht="50.15" customHeight="1" x14ac:dyDescent="0.6">
      <c r="A145" s="440"/>
      <c r="B145" s="120"/>
      <c r="C145" s="121" t="s">
        <v>13</v>
      </c>
      <c r="D145" s="121"/>
      <c r="E145" s="121"/>
      <c r="F145" s="121" t="s">
        <v>143</v>
      </c>
      <c r="G145" s="122"/>
      <c r="H145" s="122"/>
      <c r="I145" s="122"/>
      <c r="J145" s="122"/>
      <c r="K145" s="122"/>
      <c r="L145" s="123"/>
      <c r="M145" s="123"/>
      <c r="N145" s="123"/>
      <c r="O145" s="226"/>
      <c r="P145" s="122"/>
      <c r="Q145" s="122"/>
      <c r="R145" s="122"/>
      <c r="S145" s="441"/>
      <c r="T145" s="432">
        <f t="shared" si="31"/>
        <v>0</v>
      </c>
      <c r="U145" s="62">
        <f t="shared" si="32"/>
        <v>0</v>
      </c>
      <c r="V145" s="62">
        <f t="shared" si="29"/>
        <v>0</v>
      </c>
    </row>
    <row r="146" spans="1:24" ht="50.15" customHeight="1" x14ac:dyDescent="0.6">
      <c r="A146" s="440">
        <v>1343800220</v>
      </c>
      <c r="B146" s="120">
        <v>34</v>
      </c>
      <c r="C146" s="121" t="s">
        <v>13</v>
      </c>
      <c r="D146" s="121" t="s">
        <v>32</v>
      </c>
      <c r="E146" s="121"/>
      <c r="F146" s="121" t="s">
        <v>155</v>
      </c>
      <c r="G146" s="122">
        <v>53148.38</v>
      </c>
      <c r="H146" s="122">
        <v>55000</v>
      </c>
      <c r="I146" s="122">
        <v>45752.399999999994</v>
      </c>
      <c r="J146" s="122">
        <v>50000</v>
      </c>
      <c r="K146" s="122">
        <v>55000</v>
      </c>
      <c r="L146" s="123"/>
      <c r="M146" s="123"/>
      <c r="N146" s="123"/>
      <c r="O146" s="226">
        <v>40913</v>
      </c>
      <c r="P146" s="122">
        <v>50000</v>
      </c>
      <c r="Q146" s="122">
        <v>12</v>
      </c>
      <c r="R146" s="122">
        <v>12</v>
      </c>
      <c r="S146" s="441">
        <f t="shared" si="30"/>
        <v>50000</v>
      </c>
      <c r="T146" s="432">
        <f t="shared" si="31"/>
        <v>-5000</v>
      </c>
      <c r="U146" s="62">
        <f t="shared" si="32"/>
        <v>-5000</v>
      </c>
      <c r="V146" s="62">
        <f t="shared" si="29"/>
        <v>0</v>
      </c>
    </row>
    <row r="147" spans="1:24" ht="50.15" customHeight="1" x14ac:dyDescent="0.6">
      <c r="A147" s="440">
        <v>1343800930</v>
      </c>
      <c r="B147" s="120">
        <v>34</v>
      </c>
      <c r="C147" s="121" t="s">
        <v>12</v>
      </c>
      <c r="D147" s="121" t="s">
        <v>32</v>
      </c>
      <c r="E147" s="121"/>
      <c r="F147" s="121" t="s">
        <v>156</v>
      </c>
      <c r="G147" s="122">
        <v>2723096</v>
      </c>
      <c r="H147" s="122">
        <v>2925000</v>
      </c>
      <c r="I147" s="122">
        <v>3539005.1999999997</v>
      </c>
      <c r="J147" s="122">
        <v>2250000</v>
      </c>
      <c r="K147" s="122">
        <v>2925000</v>
      </c>
      <c r="L147" s="123"/>
      <c r="M147" s="123"/>
      <c r="N147" s="123"/>
      <c r="O147" s="226">
        <v>2245281</v>
      </c>
      <c r="P147" s="122">
        <v>2250000</v>
      </c>
      <c r="Q147" s="122">
        <v>12</v>
      </c>
      <c r="R147" s="122">
        <v>12</v>
      </c>
      <c r="S147" s="441">
        <f t="shared" si="30"/>
        <v>2250000</v>
      </c>
      <c r="T147" s="432">
        <f t="shared" si="31"/>
        <v>-675000</v>
      </c>
      <c r="U147" s="62">
        <f t="shared" si="32"/>
        <v>-675000</v>
      </c>
      <c r="V147" s="62">
        <f t="shared" si="29"/>
        <v>0</v>
      </c>
    </row>
    <row r="148" spans="1:24" ht="50.15" customHeight="1" x14ac:dyDescent="0.6">
      <c r="A148" s="440">
        <v>1343800931</v>
      </c>
      <c r="B148" s="120">
        <v>34</v>
      </c>
      <c r="C148" s="121" t="s">
        <v>12</v>
      </c>
      <c r="D148" s="121" t="s">
        <v>32</v>
      </c>
      <c r="E148" s="121"/>
      <c r="F148" s="121" t="s">
        <v>157</v>
      </c>
      <c r="G148" s="122">
        <v>1377</v>
      </c>
      <c r="H148" s="122">
        <v>0</v>
      </c>
      <c r="I148" s="122">
        <v>0</v>
      </c>
      <c r="J148" s="122">
        <v>0</v>
      </c>
      <c r="K148" s="122">
        <v>0</v>
      </c>
      <c r="L148" s="123"/>
      <c r="M148" s="123"/>
      <c r="N148" s="123"/>
      <c r="O148" s="226">
        <v>0</v>
      </c>
      <c r="P148" s="122">
        <v>0</v>
      </c>
      <c r="Q148" s="122">
        <v>12</v>
      </c>
      <c r="R148" s="122">
        <v>12</v>
      </c>
      <c r="S148" s="441">
        <f t="shared" si="30"/>
        <v>0</v>
      </c>
      <c r="T148" s="432">
        <f t="shared" si="31"/>
        <v>0</v>
      </c>
      <c r="U148" s="62">
        <f t="shared" si="32"/>
        <v>0</v>
      </c>
      <c r="V148" s="62">
        <f t="shared" si="29"/>
        <v>0</v>
      </c>
    </row>
    <row r="149" spans="1:24" ht="50.15" customHeight="1" x14ac:dyDescent="0.6">
      <c r="A149" s="440">
        <v>1343900930</v>
      </c>
      <c r="B149" s="120">
        <v>34</v>
      </c>
      <c r="C149" s="121" t="s">
        <v>12</v>
      </c>
      <c r="D149" s="121" t="s">
        <v>32</v>
      </c>
      <c r="E149" s="121"/>
      <c r="F149" s="121" t="s">
        <v>158</v>
      </c>
      <c r="G149" s="122">
        <v>1104313</v>
      </c>
      <c r="H149" s="122">
        <v>1050000</v>
      </c>
      <c r="I149" s="122">
        <v>1250132.3999999999</v>
      </c>
      <c r="J149" s="122">
        <v>1125000</v>
      </c>
      <c r="K149" s="122">
        <v>1050000</v>
      </c>
      <c r="L149" s="123"/>
      <c r="M149" s="123"/>
      <c r="N149" s="123"/>
      <c r="O149" s="226">
        <v>1209674</v>
      </c>
      <c r="P149" s="122">
        <v>1210000</v>
      </c>
      <c r="Q149" s="122">
        <v>12</v>
      </c>
      <c r="R149" s="122">
        <v>12</v>
      </c>
      <c r="S149" s="441">
        <f t="shared" si="30"/>
        <v>1210000</v>
      </c>
      <c r="T149" s="432">
        <f t="shared" si="31"/>
        <v>160000</v>
      </c>
      <c r="U149" s="62">
        <f t="shared" si="32"/>
        <v>160000</v>
      </c>
      <c r="V149" s="62">
        <f t="shared" si="29"/>
        <v>0</v>
      </c>
    </row>
    <row r="150" spans="1:24" ht="50.15" customHeight="1" x14ac:dyDescent="0.6">
      <c r="A150" s="440">
        <v>1344300220</v>
      </c>
      <c r="B150" s="120">
        <v>34</v>
      </c>
      <c r="C150" s="121" t="s">
        <v>13</v>
      </c>
      <c r="D150" s="121" t="s">
        <v>32</v>
      </c>
      <c r="E150" s="121"/>
      <c r="F150" s="121" t="s">
        <v>159</v>
      </c>
      <c r="G150" s="122">
        <v>31502.47</v>
      </c>
      <c r="H150" s="122">
        <v>20000</v>
      </c>
      <c r="I150" s="122">
        <v>17051.928</v>
      </c>
      <c r="J150" s="122">
        <v>22000</v>
      </c>
      <c r="K150" s="122">
        <v>20000</v>
      </c>
      <c r="L150" s="123"/>
      <c r="M150" s="123"/>
      <c r="N150" s="123"/>
      <c r="O150" s="226">
        <v>17126.080000000002</v>
      </c>
      <c r="P150" s="122">
        <v>22000</v>
      </c>
      <c r="Q150" s="122">
        <v>12</v>
      </c>
      <c r="R150" s="122">
        <v>12</v>
      </c>
      <c r="S150" s="441">
        <f t="shared" si="30"/>
        <v>22000</v>
      </c>
      <c r="T150" s="432">
        <f t="shared" si="31"/>
        <v>2000</v>
      </c>
      <c r="U150" s="62">
        <f t="shared" si="32"/>
        <v>2000</v>
      </c>
      <c r="V150" s="62">
        <f t="shared" si="29"/>
        <v>0</v>
      </c>
    </row>
    <row r="151" spans="1:24" ht="50.15" customHeight="1" x14ac:dyDescent="0.6">
      <c r="A151" s="440">
        <v>1344300930</v>
      </c>
      <c r="B151" s="120">
        <v>34</v>
      </c>
      <c r="C151" s="121" t="s">
        <v>12</v>
      </c>
      <c r="D151" s="121" t="s">
        <v>32</v>
      </c>
      <c r="E151" s="121"/>
      <c r="F151" s="121" t="s">
        <v>159</v>
      </c>
      <c r="G151" s="122">
        <v>764335</v>
      </c>
      <c r="H151" s="122">
        <v>675000</v>
      </c>
      <c r="I151" s="122">
        <v>634009.19999999995</v>
      </c>
      <c r="J151" s="122">
        <v>562500</v>
      </c>
      <c r="K151" s="122">
        <v>675000</v>
      </c>
      <c r="L151" s="123"/>
      <c r="M151" s="123"/>
      <c r="N151" s="123"/>
      <c r="O151" s="226">
        <v>564816</v>
      </c>
      <c r="P151" s="122">
        <v>565000</v>
      </c>
      <c r="Q151" s="122">
        <v>12</v>
      </c>
      <c r="R151" s="122">
        <v>12</v>
      </c>
      <c r="S151" s="441">
        <f t="shared" si="30"/>
        <v>565000</v>
      </c>
      <c r="T151" s="432">
        <f t="shared" si="31"/>
        <v>-110000</v>
      </c>
      <c r="U151" s="62">
        <f t="shared" si="32"/>
        <v>-110000</v>
      </c>
      <c r="V151" s="62">
        <f t="shared" si="29"/>
        <v>0</v>
      </c>
    </row>
    <row r="152" spans="1:24" ht="50.15" customHeight="1" x14ac:dyDescent="0.6">
      <c r="A152" s="440">
        <v>1344400220</v>
      </c>
      <c r="B152" s="120">
        <v>34</v>
      </c>
      <c r="C152" s="121" t="s">
        <v>13</v>
      </c>
      <c r="D152" s="121" t="s">
        <v>32</v>
      </c>
      <c r="E152" s="121"/>
      <c r="F152" s="121" t="s">
        <v>160</v>
      </c>
      <c r="G152" s="122">
        <v>18455.5</v>
      </c>
      <c r="H152" s="122">
        <v>25000</v>
      </c>
      <c r="I152" s="122">
        <v>9675.48</v>
      </c>
      <c r="J152" s="122">
        <v>20000</v>
      </c>
      <c r="K152" s="122">
        <v>25000</v>
      </c>
      <c r="L152" s="123"/>
      <c r="M152" s="123"/>
      <c r="N152" s="123"/>
      <c r="O152" s="226">
        <v>8062.9</v>
      </c>
      <c r="P152" s="122">
        <v>8000</v>
      </c>
      <c r="Q152" s="122">
        <v>12</v>
      </c>
      <c r="R152" s="122">
        <v>12</v>
      </c>
      <c r="S152" s="441">
        <f t="shared" si="30"/>
        <v>8000</v>
      </c>
      <c r="T152" s="432">
        <f t="shared" si="31"/>
        <v>-17000</v>
      </c>
      <c r="U152" s="62">
        <f t="shared" si="32"/>
        <v>-17000</v>
      </c>
      <c r="V152" s="62">
        <f t="shared" si="29"/>
        <v>0</v>
      </c>
    </row>
    <row r="153" spans="1:24" ht="50.15" customHeight="1" x14ac:dyDescent="0.6">
      <c r="A153" s="440">
        <v>1344400931</v>
      </c>
      <c r="B153" s="120">
        <v>34</v>
      </c>
      <c r="C153" s="121" t="s">
        <v>12</v>
      </c>
      <c r="D153" s="121" t="s">
        <v>32</v>
      </c>
      <c r="E153" s="121"/>
      <c r="F153" s="121" t="s">
        <v>160</v>
      </c>
      <c r="G153" s="122">
        <v>241730</v>
      </c>
      <c r="H153" s="122">
        <v>225000</v>
      </c>
      <c r="I153" s="122">
        <v>46797.600000000006</v>
      </c>
      <c r="J153" s="122">
        <v>225000</v>
      </c>
      <c r="K153" s="122">
        <v>225000</v>
      </c>
      <c r="L153" s="123"/>
      <c r="M153" s="123"/>
      <c r="N153" s="123"/>
      <c r="O153" s="226">
        <v>175927</v>
      </c>
      <c r="P153" s="122">
        <v>176000</v>
      </c>
      <c r="Q153" s="122">
        <v>12</v>
      </c>
      <c r="R153" s="122">
        <v>12</v>
      </c>
      <c r="S153" s="441">
        <f t="shared" si="30"/>
        <v>176000</v>
      </c>
      <c r="T153" s="432">
        <f t="shared" si="31"/>
        <v>-49000</v>
      </c>
      <c r="U153" s="62">
        <f t="shared" si="32"/>
        <v>-49000</v>
      </c>
      <c r="V153" s="62">
        <f t="shared" si="29"/>
        <v>0</v>
      </c>
    </row>
    <row r="154" spans="1:24" ht="50.15" customHeight="1" x14ac:dyDescent="0.6">
      <c r="A154" s="440">
        <v>1344400933</v>
      </c>
      <c r="B154" s="120">
        <v>34</v>
      </c>
      <c r="C154" s="121" t="s">
        <v>12</v>
      </c>
      <c r="D154" s="121" t="s">
        <v>32</v>
      </c>
      <c r="E154" s="121"/>
      <c r="F154" s="121" t="s">
        <v>161</v>
      </c>
      <c r="G154" s="122">
        <v>29104</v>
      </c>
      <c r="H154" s="122">
        <v>32000</v>
      </c>
      <c r="I154" s="122">
        <v>27897.600000000002</v>
      </c>
      <c r="J154" s="122">
        <v>32000</v>
      </c>
      <c r="K154" s="122">
        <v>32000</v>
      </c>
      <c r="L154" s="123"/>
      <c r="M154" s="123"/>
      <c r="N154" s="123"/>
      <c r="O154" s="226">
        <v>24568</v>
      </c>
      <c r="P154" s="122">
        <v>32000</v>
      </c>
      <c r="Q154" s="122">
        <v>12</v>
      </c>
      <c r="R154" s="122">
        <v>12</v>
      </c>
      <c r="S154" s="441">
        <f t="shared" si="30"/>
        <v>32000</v>
      </c>
      <c r="T154" s="432">
        <f t="shared" si="31"/>
        <v>0</v>
      </c>
      <c r="U154" s="62">
        <f t="shared" si="32"/>
        <v>0</v>
      </c>
      <c r="V154" s="62">
        <f t="shared" si="29"/>
        <v>0</v>
      </c>
    </row>
    <row r="155" spans="1:24" ht="50.15" customHeight="1" x14ac:dyDescent="0.6">
      <c r="A155" s="440">
        <v>1344400934</v>
      </c>
      <c r="B155" s="120">
        <v>34</v>
      </c>
      <c r="C155" s="121" t="s">
        <v>12</v>
      </c>
      <c r="D155" s="121" t="s">
        <v>32</v>
      </c>
      <c r="E155" s="121"/>
      <c r="F155" s="121" t="s">
        <v>162</v>
      </c>
      <c r="G155" s="122">
        <v>3215</v>
      </c>
      <c r="H155" s="122">
        <v>67500</v>
      </c>
      <c r="I155" s="122">
        <v>0</v>
      </c>
      <c r="J155" s="122">
        <v>90000</v>
      </c>
      <c r="K155" s="122">
        <v>67500</v>
      </c>
      <c r="L155" s="123"/>
      <c r="M155" s="123"/>
      <c r="N155" s="123"/>
      <c r="O155" s="226">
        <v>0</v>
      </c>
      <c r="P155" s="122">
        <v>67500</v>
      </c>
      <c r="Q155" s="122">
        <v>12</v>
      </c>
      <c r="R155" s="122">
        <v>12</v>
      </c>
      <c r="S155" s="441">
        <f t="shared" si="30"/>
        <v>67500</v>
      </c>
      <c r="T155" s="432">
        <f t="shared" si="31"/>
        <v>0</v>
      </c>
      <c r="U155" s="62">
        <f t="shared" si="32"/>
        <v>0</v>
      </c>
      <c r="V155" s="62">
        <f t="shared" si="29"/>
        <v>0</v>
      </c>
    </row>
    <row r="156" spans="1:24" ht="50.15" customHeight="1" x14ac:dyDescent="0.6">
      <c r="A156" s="440">
        <v>1344400935</v>
      </c>
      <c r="B156" s="120">
        <v>34</v>
      </c>
      <c r="C156" s="121" t="s">
        <v>12</v>
      </c>
      <c r="D156" s="121" t="s">
        <v>32</v>
      </c>
      <c r="E156" s="121"/>
      <c r="F156" s="121" t="s">
        <v>163</v>
      </c>
      <c r="G156" s="122">
        <v>10982</v>
      </c>
      <c r="H156" s="122">
        <v>18000</v>
      </c>
      <c r="I156" s="122">
        <v>1024.8000000000002</v>
      </c>
      <c r="J156" s="122">
        <v>18000</v>
      </c>
      <c r="K156" s="122">
        <v>18000</v>
      </c>
      <c r="L156" s="123"/>
      <c r="M156" s="123"/>
      <c r="N156" s="123"/>
      <c r="O156" s="226">
        <v>3361</v>
      </c>
      <c r="P156" s="122">
        <v>3360</v>
      </c>
      <c r="Q156" s="122">
        <v>12</v>
      </c>
      <c r="R156" s="122">
        <v>12</v>
      </c>
      <c r="S156" s="441">
        <f t="shared" si="30"/>
        <v>3360</v>
      </c>
      <c r="T156" s="432">
        <f t="shared" si="31"/>
        <v>-14640</v>
      </c>
      <c r="U156" s="62">
        <f t="shared" si="32"/>
        <v>-14640</v>
      </c>
      <c r="V156" s="62">
        <f t="shared" si="29"/>
        <v>0</v>
      </c>
    </row>
    <row r="157" spans="1:24" ht="50.15" customHeight="1" x14ac:dyDescent="0.6">
      <c r="A157" s="440">
        <v>1344400936</v>
      </c>
      <c r="B157" s="120">
        <v>34</v>
      </c>
      <c r="C157" s="121" t="s">
        <v>12</v>
      </c>
      <c r="D157" s="121" t="s">
        <v>32</v>
      </c>
      <c r="E157" s="121"/>
      <c r="F157" s="121" t="s">
        <v>164</v>
      </c>
      <c r="G157" s="122">
        <v>0</v>
      </c>
      <c r="H157" s="122">
        <v>31500</v>
      </c>
      <c r="I157" s="122">
        <v>0</v>
      </c>
      <c r="J157" s="122">
        <v>31500</v>
      </c>
      <c r="K157" s="122">
        <v>31500</v>
      </c>
      <c r="L157" s="123"/>
      <c r="M157" s="123"/>
      <c r="N157" s="123"/>
      <c r="O157" s="226">
        <v>0</v>
      </c>
      <c r="P157" s="122">
        <v>0</v>
      </c>
      <c r="Q157" s="122">
        <v>12</v>
      </c>
      <c r="R157" s="122">
        <v>12</v>
      </c>
      <c r="S157" s="441">
        <f t="shared" si="30"/>
        <v>0</v>
      </c>
      <c r="T157" s="432">
        <f t="shared" si="31"/>
        <v>-31500</v>
      </c>
      <c r="U157" s="62">
        <f t="shared" si="32"/>
        <v>-31500</v>
      </c>
      <c r="V157" s="62">
        <f t="shared" si="29"/>
        <v>0</v>
      </c>
    </row>
    <row r="158" spans="1:24" ht="50.15" customHeight="1" x14ac:dyDescent="0.6">
      <c r="A158" s="440">
        <v>1344400937</v>
      </c>
      <c r="B158" s="120">
        <v>34</v>
      </c>
      <c r="C158" s="121" t="s">
        <v>12</v>
      </c>
      <c r="D158" s="121" t="s">
        <v>32</v>
      </c>
      <c r="E158" s="121"/>
      <c r="F158" s="121" t="s">
        <v>165</v>
      </c>
      <c r="G158" s="122">
        <v>40000</v>
      </c>
      <c r="H158" s="122">
        <v>40000</v>
      </c>
      <c r="I158" s="122">
        <v>0</v>
      </c>
      <c r="J158" s="122">
        <v>40000</v>
      </c>
      <c r="K158" s="122">
        <v>40000</v>
      </c>
      <c r="L158" s="123"/>
      <c r="M158" s="123"/>
      <c r="N158" s="123"/>
      <c r="O158" s="226">
        <v>0</v>
      </c>
      <c r="P158" s="122">
        <v>0</v>
      </c>
      <c r="Q158" s="122">
        <v>12</v>
      </c>
      <c r="R158" s="122">
        <v>12</v>
      </c>
      <c r="S158" s="441">
        <f t="shared" si="30"/>
        <v>0</v>
      </c>
      <c r="T158" s="432">
        <f t="shared" si="31"/>
        <v>-40000</v>
      </c>
      <c r="U158" s="62">
        <f t="shared" si="32"/>
        <v>-40000</v>
      </c>
      <c r="V158" s="62">
        <f t="shared" si="29"/>
        <v>0</v>
      </c>
      <c r="X158" s="239">
        <f>11500*12</f>
        <v>138000</v>
      </c>
    </row>
    <row r="159" spans="1:24" ht="50.15" customHeight="1" x14ac:dyDescent="0.6">
      <c r="A159" s="440">
        <v>1344400939</v>
      </c>
      <c r="B159" s="120">
        <v>34</v>
      </c>
      <c r="C159" s="121" t="s">
        <v>8</v>
      </c>
      <c r="D159" s="121" t="s">
        <v>8</v>
      </c>
      <c r="E159" s="121"/>
      <c r="F159" s="121" t="s">
        <v>166</v>
      </c>
      <c r="G159" s="122">
        <v>0</v>
      </c>
      <c r="H159" s="122">
        <v>0</v>
      </c>
      <c r="I159" s="122">
        <v>0</v>
      </c>
      <c r="J159" s="122">
        <v>0</v>
      </c>
      <c r="K159" s="122">
        <v>0</v>
      </c>
      <c r="L159" s="123"/>
      <c r="M159" s="123"/>
      <c r="N159" s="123"/>
      <c r="O159" s="226">
        <v>0</v>
      </c>
      <c r="P159" s="122">
        <v>0</v>
      </c>
      <c r="Q159" s="122">
        <v>12</v>
      </c>
      <c r="R159" s="122">
        <v>12</v>
      </c>
      <c r="S159" s="441">
        <f t="shared" si="30"/>
        <v>0</v>
      </c>
      <c r="T159" s="432">
        <f t="shared" si="31"/>
        <v>0</v>
      </c>
      <c r="U159" s="62">
        <f t="shared" si="32"/>
        <v>0</v>
      </c>
      <c r="V159" s="62">
        <f t="shared" si="29"/>
        <v>0</v>
      </c>
    </row>
    <row r="160" spans="1:24" ht="50.15" customHeight="1" x14ac:dyDescent="0.6">
      <c r="A160" s="440">
        <v>1344500220</v>
      </c>
      <c r="B160" s="120">
        <v>34</v>
      </c>
      <c r="C160" s="121" t="s">
        <v>13</v>
      </c>
      <c r="D160" s="121" t="s">
        <v>32</v>
      </c>
      <c r="E160" s="121"/>
      <c r="F160" s="121" t="s">
        <v>167</v>
      </c>
      <c r="G160" s="122">
        <v>38475</v>
      </c>
      <c r="H160" s="122">
        <v>35000</v>
      </c>
      <c r="I160" s="122">
        <v>36818.399999999994</v>
      </c>
      <c r="J160" s="122">
        <v>30000</v>
      </c>
      <c r="K160" s="122">
        <v>35000</v>
      </c>
      <c r="L160" s="123"/>
      <c r="M160" s="123"/>
      <c r="N160" s="123"/>
      <c r="O160" s="226">
        <v>36752</v>
      </c>
      <c r="P160" s="122">
        <v>36000</v>
      </c>
      <c r="Q160" s="122">
        <v>12</v>
      </c>
      <c r="R160" s="122">
        <v>12</v>
      </c>
      <c r="S160" s="441">
        <f t="shared" si="30"/>
        <v>36000</v>
      </c>
      <c r="T160" s="432">
        <f t="shared" si="31"/>
        <v>1000</v>
      </c>
      <c r="U160" s="62">
        <f t="shared" si="32"/>
        <v>1000</v>
      </c>
      <c r="V160" s="62">
        <f t="shared" ref="V160:V191" si="33">S160-P160</f>
        <v>0</v>
      </c>
    </row>
    <row r="161" spans="1:22" ht="50.15" customHeight="1" x14ac:dyDescent="0.6">
      <c r="A161" s="440">
        <v>1344500930</v>
      </c>
      <c r="B161" s="120">
        <v>34</v>
      </c>
      <c r="C161" s="121" t="s">
        <v>12</v>
      </c>
      <c r="D161" s="121" t="s">
        <v>32</v>
      </c>
      <c r="E161" s="121"/>
      <c r="F161" s="121" t="s">
        <v>168</v>
      </c>
      <c r="G161" s="122">
        <v>174162</v>
      </c>
      <c r="H161" s="122">
        <v>202500</v>
      </c>
      <c r="I161" s="122">
        <v>131755.20000000001</v>
      </c>
      <c r="J161" s="122">
        <v>155250</v>
      </c>
      <c r="K161" s="122">
        <v>202500</v>
      </c>
      <c r="L161" s="123"/>
      <c r="M161" s="123"/>
      <c r="N161" s="123"/>
      <c r="O161" s="226">
        <v>178279</v>
      </c>
      <c r="P161" s="122">
        <v>178000</v>
      </c>
      <c r="Q161" s="122">
        <v>12</v>
      </c>
      <c r="R161" s="122">
        <v>12</v>
      </c>
      <c r="S161" s="441">
        <f t="shared" si="30"/>
        <v>178000</v>
      </c>
      <c r="T161" s="432">
        <f t="shared" si="31"/>
        <v>-24500</v>
      </c>
      <c r="U161" s="62">
        <f t="shared" si="32"/>
        <v>-24500</v>
      </c>
      <c r="V161" s="62">
        <f t="shared" si="33"/>
        <v>0</v>
      </c>
    </row>
    <row r="162" spans="1:22" ht="50.15" customHeight="1" x14ac:dyDescent="0.6">
      <c r="A162" s="440">
        <v>1344600220</v>
      </c>
      <c r="B162" s="120">
        <v>34</v>
      </c>
      <c r="C162" s="121" t="s">
        <v>13</v>
      </c>
      <c r="D162" s="121" t="s">
        <v>32</v>
      </c>
      <c r="E162" s="121"/>
      <c r="F162" s="121" t="s">
        <v>169</v>
      </c>
      <c r="G162" s="122">
        <v>26166.81</v>
      </c>
      <c r="H162" s="122">
        <v>40000</v>
      </c>
      <c r="I162" s="122">
        <v>30323.159999999996</v>
      </c>
      <c r="J162" s="122">
        <v>40000</v>
      </c>
      <c r="K162" s="122">
        <v>40000</v>
      </c>
      <c r="L162" s="123"/>
      <c r="M162" s="123"/>
      <c r="N162" s="123"/>
      <c r="O162" s="226">
        <v>29269.3</v>
      </c>
      <c r="P162" s="122">
        <v>30000</v>
      </c>
      <c r="Q162" s="122">
        <v>12</v>
      </c>
      <c r="R162" s="122">
        <v>12</v>
      </c>
      <c r="S162" s="441">
        <f t="shared" si="30"/>
        <v>30000</v>
      </c>
      <c r="T162" s="432">
        <f t="shared" si="31"/>
        <v>-10000</v>
      </c>
      <c r="U162" s="62">
        <f t="shared" si="32"/>
        <v>-10000</v>
      </c>
      <c r="V162" s="62">
        <f t="shared" si="33"/>
        <v>0</v>
      </c>
    </row>
    <row r="163" spans="1:22" ht="50.15" customHeight="1" x14ac:dyDescent="0.6">
      <c r="A163" s="440">
        <v>1345100930</v>
      </c>
      <c r="B163" s="120">
        <v>34</v>
      </c>
      <c r="C163" s="121" t="s">
        <v>12</v>
      </c>
      <c r="D163" s="121" t="s">
        <v>32</v>
      </c>
      <c r="E163" s="121"/>
      <c r="F163" s="121" t="s">
        <v>170</v>
      </c>
      <c r="G163" s="122">
        <v>4506959</v>
      </c>
      <c r="H163" s="122">
        <v>4200000</v>
      </c>
      <c r="I163" s="122">
        <v>4791442.8000000007</v>
      </c>
      <c r="J163" s="122">
        <v>4350000</v>
      </c>
      <c r="K163" s="122">
        <v>4200000</v>
      </c>
      <c r="L163" s="123"/>
      <c r="M163" s="123"/>
      <c r="N163" s="123"/>
      <c r="O163" s="226">
        <v>4911810</v>
      </c>
      <c r="P163" s="122">
        <v>4720000</v>
      </c>
      <c r="Q163" s="122">
        <v>12</v>
      </c>
      <c r="R163" s="122">
        <v>12</v>
      </c>
      <c r="S163" s="441">
        <f t="shared" si="30"/>
        <v>4720000</v>
      </c>
      <c r="T163" s="432">
        <f t="shared" si="31"/>
        <v>520000</v>
      </c>
      <c r="U163" s="62">
        <f t="shared" si="32"/>
        <v>520000</v>
      </c>
      <c r="V163" s="62">
        <f t="shared" si="33"/>
        <v>0</v>
      </c>
    </row>
    <row r="164" spans="1:22" ht="50.15" customHeight="1" x14ac:dyDescent="0.6">
      <c r="A164" s="440">
        <v>1345100931</v>
      </c>
      <c r="B164" s="120">
        <v>34</v>
      </c>
      <c r="C164" s="121" t="s">
        <v>12</v>
      </c>
      <c r="D164" s="121" t="s">
        <v>32</v>
      </c>
      <c r="E164" s="121"/>
      <c r="F164" s="121" t="s">
        <v>171</v>
      </c>
      <c r="G164" s="122">
        <v>267073</v>
      </c>
      <c r="H164" s="122">
        <v>243750</v>
      </c>
      <c r="I164" s="122">
        <v>367108.80000000005</v>
      </c>
      <c r="J164" s="122">
        <v>307500</v>
      </c>
      <c r="K164" s="122">
        <v>243750</v>
      </c>
      <c r="L164" s="123"/>
      <c r="M164" s="123"/>
      <c r="N164" s="123"/>
      <c r="O164" s="226">
        <v>370950</v>
      </c>
      <c r="P164" s="122">
        <v>371000</v>
      </c>
      <c r="Q164" s="122">
        <v>12</v>
      </c>
      <c r="R164" s="122">
        <v>12</v>
      </c>
      <c r="S164" s="441">
        <f t="shared" si="30"/>
        <v>371000</v>
      </c>
      <c r="T164" s="432">
        <f t="shared" si="31"/>
        <v>127250</v>
      </c>
      <c r="U164" s="62">
        <f t="shared" si="32"/>
        <v>127250</v>
      </c>
      <c r="V164" s="62">
        <f t="shared" si="33"/>
        <v>0</v>
      </c>
    </row>
    <row r="165" spans="1:22" ht="50.15" customHeight="1" x14ac:dyDescent="0.6">
      <c r="A165" s="440">
        <v>1345100932</v>
      </c>
      <c r="B165" s="120">
        <v>34</v>
      </c>
      <c r="C165" s="121" t="s">
        <v>12</v>
      </c>
      <c r="D165" s="121" t="s">
        <v>32</v>
      </c>
      <c r="E165" s="121"/>
      <c r="F165" s="121" t="s">
        <v>172</v>
      </c>
      <c r="G165" s="122">
        <v>7643</v>
      </c>
      <c r="H165" s="122">
        <v>7500</v>
      </c>
      <c r="I165" s="122">
        <v>4899.6000000000004</v>
      </c>
      <c r="J165" s="122">
        <v>7500</v>
      </c>
      <c r="K165" s="122">
        <v>7500</v>
      </c>
      <c r="L165" s="123"/>
      <c r="M165" s="123"/>
      <c r="N165" s="123"/>
      <c r="O165" s="226">
        <v>7820</v>
      </c>
      <c r="P165" s="122">
        <v>7500</v>
      </c>
      <c r="Q165" s="122">
        <v>12</v>
      </c>
      <c r="R165" s="122">
        <v>12</v>
      </c>
      <c r="S165" s="441">
        <f t="shared" si="30"/>
        <v>7500</v>
      </c>
      <c r="T165" s="432">
        <f t="shared" si="31"/>
        <v>0</v>
      </c>
      <c r="U165" s="62">
        <f t="shared" si="32"/>
        <v>0</v>
      </c>
      <c r="V165" s="62">
        <f t="shared" si="33"/>
        <v>0</v>
      </c>
    </row>
    <row r="166" spans="1:22" ht="50.15" customHeight="1" x14ac:dyDescent="0.6">
      <c r="A166" s="440">
        <v>1345100933</v>
      </c>
      <c r="B166" s="120">
        <v>34</v>
      </c>
      <c r="C166" s="121" t="s">
        <v>12</v>
      </c>
      <c r="D166" s="121" t="s">
        <v>32</v>
      </c>
      <c r="E166" s="121"/>
      <c r="F166" s="121" t="s">
        <v>173</v>
      </c>
      <c r="G166" s="122">
        <v>45209</v>
      </c>
      <c r="H166" s="122">
        <v>52500</v>
      </c>
      <c r="I166" s="122">
        <v>29434.800000000003</v>
      </c>
      <c r="J166" s="122">
        <v>52500</v>
      </c>
      <c r="K166" s="122">
        <v>52500</v>
      </c>
      <c r="L166" s="123"/>
      <c r="M166" s="123"/>
      <c r="N166" s="123"/>
      <c r="O166" s="226">
        <v>55447</v>
      </c>
      <c r="P166" s="122">
        <v>52500</v>
      </c>
      <c r="Q166" s="122">
        <v>12</v>
      </c>
      <c r="R166" s="122">
        <v>12</v>
      </c>
      <c r="S166" s="441">
        <f t="shared" si="30"/>
        <v>52500</v>
      </c>
      <c r="T166" s="432">
        <f t="shared" si="31"/>
        <v>0</v>
      </c>
      <c r="U166" s="62">
        <f t="shared" si="32"/>
        <v>0</v>
      </c>
      <c r="V166" s="62">
        <f t="shared" si="33"/>
        <v>0</v>
      </c>
    </row>
    <row r="167" spans="1:22" ht="50.15" customHeight="1" x14ac:dyDescent="0.6">
      <c r="A167" s="440">
        <v>1345100934</v>
      </c>
      <c r="B167" s="120">
        <v>34</v>
      </c>
      <c r="C167" s="121" t="s">
        <v>12</v>
      </c>
      <c r="D167" s="121" t="s">
        <v>32</v>
      </c>
      <c r="E167" s="121"/>
      <c r="F167" s="121" t="s">
        <v>174</v>
      </c>
      <c r="G167" s="122">
        <v>53636</v>
      </c>
      <c r="H167" s="122">
        <v>50250</v>
      </c>
      <c r="I167" s="122">
        <v>50938.799999999996</v>
      </c>
      <c r="J167" s="122">
        <v>35752.5</v>
      </c>
      <c r="K167" s="122">
        <v>50250</v>
      </c>
      <c r="L167" s="123"/>
      <c r="M167" s="123"/>
      <c r="N167" s="123"/>
      <c r="O167" s="226">
        <v>51539</v>
      </c>
      <c r="P167" s="122">
        <v>52000</v>
      </c>
      <c r="Q167" s="122">
        <v>12</v>
      </c>
      <c r="R167" s="122">
        <v>12</v>
      </c>
      <c r="S167" s="441">
        <f t="shared" si="30"/>
        <v>52000</v>
      </c>
      <c r="T167" s="432">
        <f t="shared" si="31"/>
        <v>1750</v>
      </c>
      <c r="U167" s="62">
        <f t="shared" si="32"/>
        <v>1750</v>
      </c>
      <c r="V167" s="62">
        <f t="shared" si="33"/>
        <v>0</v>
      </c>
    </row>
    <row r="168" spans="1:22" ht="50.15" customHeight="1" x14ac:dyDescent="0.6">
      <c r="A168" s="440">
        <v>1345100935</v>
      </c>
      <c r="B168" s="120">
        <v>34</v>
      </c>
      <c r="C168" s="121" t="s">
        <v>12</v>
      </c>
      <c r="D168" s="121" t="s">
        <v>32</v>
      </c>
      <c r="E168" s="121"/>
      <c r="F168" s="121" t="s">
        <v>175</v>
      </c>
      <c r="G168" s="122">
        <v>31297</v>
      </c>
      <c r="H168" s="122">
        <v>67200</v>
      </c>
      <c r="I168" s="122">
        <v>14098.800000000001</v>
      </c>
      <c r="J168" s="122">
        <v>37500</v>
      </c>
      <c r="K168" s="122">
        <v>67200</v>
      </c>
      <c r="L168" s="123"/>
      <c r="M168" s="123"/>
      <c r="N168" s="123"/>
      <c r="O168" s="226">
        <v>20430</v>
      </c>
      <c r="P168" s="122">
        <v>20000</v>
      </c>
      <c r="Q168" s="122">
        <v>12</v>
      </c>
      <c r="R168" s="122">
        <v>12</v>
      </c>
      <c r="S168" s="441">
        <f t="shared" si="30"/>
        <v>20000</v>
      </c>
      <c r="T168" s="432">
        <f t="shared" si="31"/>
        <v>-47200</v>
      </c>
      <c r="U168" s="62">
        <f t="shared" si="32"/>
        <v>-47200</v>
      </c>
      <c r="V168" s="62">
        <f t="shared" si="33"/>
        <v>0</v>
      </c>
    </row>
    <row r="169" spans="1:22" ht="50.15" customHeight="1" x14ac:dyDescent="0.6">
      <c r="A169" s="440">
        <v>1345100936</v>
      </c>
      <c r="B169" s="120">
        <v>34</v>
      </c>
      <c r="C169" s="121" t="s">
        <v>12</v>
      </c>
      <c r="D169" s="121" t="s">
        <v>32</v>
      </c>
      <c r="E169" s="121"/>
      <c r="F169" s="121" t="s">
        <v>176</v>
      </c>
      <c r="G169" s="122">
        <v>35390</v>
      </c>
      <c r="H169" s="122">
        <v>37500</v>
      </c>
      <c r="I169" s="122">
        <v>21295.199999999997</v>
      </c>
      <c r="J169" s="122">
        <v>35752.5</v>
      </c>
      <c r="K169" s="122">
        <v>37500</v>
      </c>
      <c r="L169" s="123"/>
      <c r="M169" s="123"/>
      <c r="N169" s="123"/>
      <c r="O169" s="226">
        <v>35816</v>
      </c>
      <c r="P169" s="122">
        <v>36000</v>
      </c>
      <c r="Q169" s="122">
        <v>12</v>
      </c>
      <c r="R169" s="122">
        <v>12</v>
      </c>
      <c r="S169" s="441">
        <f t="shared" si="30"/>
        <v>36000</v>
      </c>
      <c r="T169" s="432">
        <f t="shared" si="31"/>
        <v>-1500</v>
      </c>
      <c r="U169" s="62">
        <f t="shared" si="32"/>
        <v>-1500</v>
      </c>
      <c r="V169" s="62">
        <f t="shared" si="33"/>
        <v>0</v>
      </c>
    </row>
    <row r="170" spans="1:22" ht="50.15" customHeight="1" x14ac:dyDescent="0.6">
      <c r="A170" s="440">
        <v>1345100937</v>
      </c>
      <c r="B170" s="120">
        <v>34</v>
      </c>
      <c r="C170" s="121" t="s">
        <v>12</v>
      </c>
      <c r="D170" s="121" t="s">
        <v>32</v>
      </c>
      <c r="E170" s="121"/>
      <c r="F170" s="121" t="s">
        <v>177</v>
      </c>
      <c r="G170" s="122">
        <v>1443413</v>
      </c>
      <c r="H170" s="122">
        <v>1200000</v>
      </c>
      <c r="I170" s="122">
        <v>1244767.2000000002</v>
      </c>
      <c r="J170" s="122">
        <v>1309000</v>
      </c>
      <c r="K170" s="122">
        <v>1200000</v>
      </c>
      <c r="L170" s="123"/>
      <c r="M170" s="123"/>
      <c r="N170" s="123"/>
      <c r="O170" s="226">
        <v>1424918</v>
      </c>
      <c r="P170" s="122">
        <v>1310000</v>
      </c>
      <c r="Q170" s="122">
        <v>12</v>
      </c>
      <c r="R170" s="122">
        <v>12</v>
      </c>
      <c r="S170" s="441">
        <f t="shared" si="30"/>
        <v>1310000</v>
      </c>
      <c r="T170" s="432">
        <f t="shared" si="31"/>
        <v>110000</v>
      </c>
      <c r="U170" s="62">
        <f t="shared" si="32"/>
        <v>110000</v>
      </c>
      <c r="V170" s="62">
        <f t="shared" si="33"/>
        <v>0</v>
      </c>
    </row>
    <row r="171" spans="1:22" ht="50.15" customHeight="1" x14ac:dyDescent="0.6">
      <c r="A171" s="440">
        <v>1345100938</v>
      </c>
      <c r="B171" s="120">
        <v>34</v>
      </c>
      <c r="C171" s="121" t="s">
        <v>12</v>
      </c>
      <c r="D171" s="121" t="s">
        <v>32</v>
      </c>
      <c r="E171" s="121"/>
      <c r="F171" s="121" t="s">
        <v>178</v>
      </c>
      <c r="G171" s="122">
        <v>0</v>
      </c>
      <c r="H171" s="122">
        <v>3750</v>
      </c>
      <c r="I171" s="122">
        <v>0</v>
      </c>
      <c r="J171" s="122">
        <v>3750</v>
      </c>
      <c r="K171" s="122">
        <v>3750</v>
      </c>
      <c r="L171" s="123"/>
      <c r="M171" s="123"/>
      <c r="N171" s="123"/>
      <c r="O171" s="226">
        <v>0</v>
      </c>
      <c r="P171" s="122">
        <v>0</v>
      </c>
      <c r="Q171" s="122">
        <v>12</v>
      </c>
      <c r="R171" s="122">
        <v>12</v>
      </c>
      <c r="S171" s="441">
        <f t="shared" si="30"/>
        <v>0</v>
      </c>
      <c r="T171" s="432">
        <f t="shared" si="31"/>
        <v>-3750</v>
      </c>
      <c r="U171" s="62">
        <f t="shared" si="32"/>
        <v>-3750</v>
      </c>
      <c r="V171" s="62">
        <f t="shared" si="33"/>
        <v>0</v>
      </c>
    </row>
    <row r="172" spans="1:22" ht="50.15" customHeight="1" x14ac:dyDescent="0.6">
      <c r="A172" s="440">
        <v>1345200220</v>
      </c>
      <c r="B172" s="120">
        <v>34</v>
      </c>
      <c r="C172" s="121" t="s">
        <v>13</v>
      </c>
      <c r="D172" s="121" t="s">
        <v>32</v>
      </c>
      <c r="E172" s="121"/>
      <c r="F172" s="121" t="s">
        <v>179</v>
      </c>
      <c r="G172" s="122">
        <v>40662.92</v>
      </c>
      <c r="H172" s="122">
        <v>48000</v>
      </c>
      <c r="I172" s="122">
        <v>35116.811999999998</v>
      </c>
      <c r="J172" s="122">
        <v>35000</v>
      </c>
      <c r="K172" s="122">
        <v>48000</v>
      </c>
      <c r="L172" s="123"/>
      <c r="M172" s="123"/>
      <c r="N172" s="123"/>
      <c r="O172" s="226">
        <v>30179.01</v>
      </c>
      <c r="P172" s="122">
        <v>35000</v>
      </c>
      <c r="Q172" s="122">
        <v>12</v>
      </c>
      <c r="R172" s="122">
        <v>12</v>
      </c>
      <c r="S172" s="441">
        <f t="shared" si="30"/>
        <v>35000</v>
      </c>
      <c r="T172" s="432">
        <f t="shared" si="31"/>
        <v>-13000</v>
      </c>
      <c r="U172" s="62">
        <f t="shared" si="32"/>
        <v>-13000</v>
      </c>
      <c r="V172" s="62">
        <f t="shared" si="33"/>
        <v>0</v>
      </c>
    </row>
    <row r="173" spans="1:22" ht="50.15" customHeight="1" x14ac:dyDescent="0.6">
      <c r="A173" s="440">
        <v>1345200221</v>
      </c>
      <c r="B173" s="120">
        <v>34</v>
      </c>
      <c r="C173" s="121" t="s">
        <v>13</v>
      </c>
      <c r="D173" s="121" t="s">
        <v>32</v>
      </c>
      <c r="E173" s="121"/>
      <c r="F173" s="121" t="s">
        <v>180</v>
      </c>
      <c r="G173" s="122">
        <v>14670</v>
      </c>
      <c r="H173" s="122">
        <v>11000</v>
      </c>
      <c r="I173" s="122">
        <v>12764.855999999998</v>
      </c>
      <c r="J173" s="122">
        <v>12000</v>
      </c>
      <c r="K173" s="122">
        <v>11000</v>
      </c>
      <c r="L173" s="123"/>
      <c r="M173" s="123"/>
      <c r="N173" s="123"/>
      <c r="O173" s="226">
        <v>13041.38</v>
      </c>
      <c r="P173" s="122">
        <v>12000</v>
      </c>
      <c r="Q173" s="122">
        <v>12</v>
      </c>
      <c r="R173" s="122">
        <v>12</v>
      </c>
      <c r="S173" s="441">
        <f t="shared" si="30"/>
        <v>12000</v>
      </c>
      <c r="T173" s="432">
        <f t="shared" si="31"/>
        <v>1000</v>
      </c>
      <c r="U173" s="62">
        <f t="shared" si="32"/>
        <v>1000</v>
      </c>
      <c r="V173" s="62">
        <f t="shared" si="33"/>
        <v>0</v>
      </c>
    </row>
    <row r="174" spans="1:22" ht="50.15" customHeight="1" x14ac:dyDescent="0.6">
      <c r="A174" s="440">
        <v>1345200930</v>
      </c>
      <c r="B174" s="120">
        <v>34</v>
      </c>
      <c r="C174" s="121" t="s">
        <v>12</v>
      </c>
      <c r="D174" s="121" t="s">
        <v>32</v>
      </c>
      <c r="E174" s="121"/>
      <c r="F174" s="121" t="s">
        <v>181</v>
      </c>
      <c r="G174" s="122">
        <v>698640</v>
      </c>
      <c r="H174" s="122">
        <v>699000</v>
      </c>
      <c r="I174" s="122">
        <v>645474</v>
      </c>
      <c r="J174" s="122">
        <v>625878.46732499998</v>
      </c>
      <c r="K174" s="122">
        <v>699000</v>
      </c>
      <c r="L174" s="123"/>
      <c r="M174" s="123"/>
      <c r="N174" s="123"/>
      <c r="O174" s="226">
        <v>664278</v>
      </c>
      <c r="P174" s="122">
        <v>665000</v>
      </c>
      <c r="Q174" s="122">
        <v>12</v>
      </c>
      <c r="R174" s="122">
        <v>12</v>
      </c>
      <c r="S174" s="441">
        <f t="shared" si="30"/>
        <v>665000</v>
      </c>
      <c r="T174" s="432">
        <f t="shared" si="31"/>
        <v>-34000</v>
      </c>
      <c r="U174" s="62">
        <f t="shared" si="32"/>
        <v>-34000</v>
      </c>
      <c r="V174" s="62">
        <f t="shared" si="33"/>
        <v>0</v>
      </c>
    </row>
    <row r="175" spans="1:22" ht="50.15" customHeight="1" x14ac:dyDescent="0.6">
      <c r="A175" s="440">
        <v>1345200933</v>
      </c>
      <c r="B175" s="120">
        <v>34</v>
      </c>
      <c r="C175" s="121" t="s">
        <v>12</v>
      </c>
      <c r="D175" s="121" t="s">
        <v>32</v>
      </c>
      <c r="E175" s="121"/>
      <c r="F175" s="121" t="s">
        <v>182</v>
      </c>
      <c r="G175" s="122">
        <v>833595</v>
      </c>
      <c r="H175" s="122">
        <v>760000</v>
      </c>
      <c r="I175" s="122">
        <v>764716.8</v>
      </c>
      <c r="J175" s="122">
        <v>830000</v>
      </c>
      <c r="K175" s="122">
        <v>760000</v>
      </c>
      <c r="L175" s="123"/>
      <c r="M175" s="123"/>
      <c r="N175" s="123"/>
      <c r="O175" s="226">
        <v>751251</v>
      </c>
      <c r="P175" s="122">
        <f>726000*0.75</f>
        <v>544500</v>
      </c>
      <c r="Q175" s="122">
        <v>12</v>
      </c>
      <c r="R175" s="122">
        <v>12</v>
      </c>
      <c r="S175" s="441">
        <f t="shared" si="30"/>
        <v>544500</v>
      </c>
      <c r="T175" s="432">
        <f t="shared" si="31"/>
        <v>-215500</v>
      </c>
      <c r="U175" s="62">
        <f t="shared" si="32"/>
        <v>-215500</v>
      </c>
      <c r="V175" s="62">
        <f t="shared" si="33"/>
        <v>0</v>
      </c>
    </row>
    <row r="176" spans="1:22" ht="50.15" customHeight="1" x14ac:dyDescent="0.6">
      <c r="A176" s="440">
        <v>1345300930</v>
      </c>
      <c r="B176" s="120">
        <v>34</v>
      </c>
      <c r="C176" s="121" t="s">
        <v>12</v>
      </c>
      <c r="D176" s="121" t="s">
        <v>32</v>
      </c>
      <c r="E176" s="121"/>
      <c r="F176" s="121" t="s">
        <v>183</v>
      </c>
      <c r="G176" s="122">
        <v>5569</v>
      </c>
      <c r="H176" s="122">
        <v>4000</v>
      </c>
      <c r="I176" s="122">
        <v>3051.6000000000004</v>
      </c>
      <c r="J176" s="122">
        <v>4000</v>
      </c>
      <c r="K176" s="122">
        <v>4000</v>
      </c>
      <c r="L176" s="123"/>
      <c r="M176" s="123"/>
      <c r="N176" s="123"/>
      <c r="O176" s="226">
        <v>11669</v>
      </c>
      <c r="P176" s="122">
        <v>12000</v>
      </c>
      <c r="Q176" s="122">
        <v>12</v>
      </c>
      <c r="R176" s="122">
        <v>12</v>
      </c>
      <c r="S176" s="441">
        <f t="shared" si="30"/>
        <v>12000</v>
      </c>
      <c r="T176" s="432">
        <f t="shared" si="31"/>
        <v>8000</v>
      </c>
      <c r="U176" s="62">
        <f t="shared" si="32"/>
        <v>8000</v>
      </c>
      <c r="V176" s="62">
        <f t="shared" si="33"/>
        <v>0</v>
      </c>
    </row>
    <row r="177" spans="1:22" ht="50.15" customHeight="1" x14ac:dyDescent="0.6">
      <c r="A177" s="440">
        <v>1345300932</v>
      </c>
      <c r="B177" s="120">
        <v>34</v>
      </c>
      <c r="C177" s="121" t="s">
        <v>12</v>
      </c>
      <c r="D177" s="121" t="s">
        <v>32</v>
      </c>
      <c r="E177" s="121"/>
      <c r="F177" s="121" t="s">
        <v>184</v>
      </c>
      <c r="G177" s="122">
        <v>0</v>
      </c>
      <c r="H177" s="122">
        <v>4000</v>
      </c>
      <c r="I177" s="122">
        <v>222</v>
      </c>
      <c r="J177" s="122">
        <v>3000</v>
      </c>
      <c r="K177" s="122">
        <v>4000</v>
      </c>
      <c r="L177" s="123"/>
      <c r="M177" s="123"/>
      <c r="N177" s="123"/>
      <c r="O177" s="226">
        <v>1400</v>
      </c>
      <c r="P177" s="122">
        <v>1000</v>
      </c>
      <c r="Q177" s="122">
        <v>12</v>
      </c>
      <c r="R177" s="122">
        <v>12</v>
      </c>
      <c r="S177" s="441">
        <f t="shared" si="30"/>
        <v>1000</v>
      </c>
      <c r="T177" s="432">
        <f t="shared" si="31"/>
        <v>-3000</v>
      </c>
      <c r="U177" s="62">
        <f t="shared" si="32"/>
        <v>-3000</v>
      </c>
      <c r="V177" s="62">
        <f t="shared" si="33"/>
        <v>0</v>
      </c>
    </row>
    <row r="178" spans="1:22" ht="50.15" customHeight="1" x14ac:dyDescent="0.6">
      <c r="A178" s="440">
        <v>1345300933</v>
      </c>
      <c r="B178" s="120">
        <v>34</v>
      </c>
      <c r="C178" s="121" t="s">
        <v>12</v>
      </c>
      <c r="D178" s="121" t="s">
        <v>32</v>
      </c>
      <c r="E178" s="121"/>
      <c r="F178" s="121" t="s">
        <v>185</v>
      </c>
      <c r="G178" s="122">
        <v>134977</v>
      </c>
      <c r="H178" s="122">
        <v>180000</v>
      </c>
      <c r="I178" s="122">
        <v>134294.40000000002</v>
      </c>
      <c r="J178" s="122">
        <v>179066</v>
      </c>
      <c r="K178" s="122">
        <v>180000</v>
      </c>
      <c r="L178" s="123"/>
      <c r="M178" s="123"/>
      <c r="N178" s="123"/>
      <c r="O178" s="226">
        <v>169435</v>
      </c>
      <c r="P178" s="122">
        <v>170000</v>
      </c>
      <c r="Q178" s="122">
        <v>12</v>
      </c>
      <c r="R178" s="122">
        <v>12</v>
      </c>
      <c r="S178" s="441">
        <f t="shared" si="30"/>
        <v>170000</v>
      </c>
      <c r="T178" s="432">
        <f t="shared" si="31"/>
        <v>-10000</v>
      </c>
      <c r="U178" s="62">
        <f t="shared" si="32"/>
        <v>-10000</v>
      </c>
      <c r="V178" s="62">
        <f t="shared" si="33"/>
        <v>0</v>
      </c>
    </row>
    <row r="179" spans="1:22" ht="50.15" customHeight="1" x14ac:dyDescent="0.6">
      <c r="A179" s="440">
        <v>1346300930</v>
      </c>
      <c r="B179" s="120">
        <v>34</v>
      </c>
      <c r="C179" s="121" t="s">
        <v>12</v>
      </c>
      <c r="D179" s="121" t="s">
        <v>32</v>
      </c>
      <c r="E179" s="121"/>
      <c r="F179" s="121" t="s">
        <v>186</v>
      </c>
      <c r="G179" s="122">
        <v>12856</v>
      </c>
      <c r="H179" s="122">
        <v>15000</v>
      </c>
      <c r="I179" s="122">
        <v>9532.7999999999993</v>
      </c>
      <c r="J179" s="122">
        <v>15000</v>
      </c>
      <c r="K179" s="122">
        <v>15000</v>
      </c>
      <c r="L179" s="123"/>
      <c r="M179" s="123"/>
      <c r="N179" s="123"/>
      <c r="O179" s="226">
        <v>11353</v>
      </c>
      <c r="P179" s="122">
        <v>12000</v>
      </c>
      <c r="Q179" s="122">
        <v>12</v>
      </c>
      <c r="R179" s="122">
        <v>12</v>
      </c>
      <c r="S179" s="441">
        <f t="shared" si="30"/>
        <v>12000</v>
      </c>
      <c r="T179" s="432">
        <f t="shared" si="31"/>
        <v>-3000</v>
      </c>
      <c r="U179" s="62">
        <f t="shared" si="32"/>
        <v>-3000</v>
      </c>
      <c r="V179" s="62">
        <f t="shared" si="33"/>
        <v>0</v>
      </c>
    </row>
    <row r="180" spans="1:22" ht="50.15" customHeight="1" x14ac:dyDescent="0.6">
      <c r="A180" s="440">
        <v>1346400931</v>
      </c>
      <c r="B180" s="120">
        <v>34</v>
      </c>
      <c r="C180" s="121" t="s">
        <v>12</v>
      </c>
      <c r="D180" s="121" t="s">
        <v>32</v>
      </c>
      <c r="E180" s="121"/>
      <c r="F180" s="121" t="s">
        <v>187</v>
      </c>
      <c r="G180" s="122">
        <v>-5268</v>
      </c>
      <c r="H180" s="122">
        <v>0</v>
      </c>
      <c r="I180" s="122">
        <v>4034.3999999999996</v>
      </c>
      <c r="J180" s="122">
        <v>4000</v>
      </c>
      <c r="K180" s="122">
        <v>0</v>
      </c>
      <c r="L180" s="123"/>
      <c r="M180" s="123"/>
      <c r="N180" s="123"/>
      <c r="O180" s="226">
        <v>3362</v>
      </c>
      <c r="P180" s="122">
        <v>4000</v>
      </c>
      <c r="Q180" s="122">
        <v>12</v>
      </c>
      <c r="R180" s="122">
        <v>12</v>
      </c>
      <c r="S180" s="441">
        <f t="shared" si="30"/>
        <v>4000</v>
      </c>
      <c r="T180" s="432">
        <f t="shared" si="31"/>
        <v>4000</v>
      </c>
      <c r="U180" s="62">
        <f t="shared" si="32"/>
        <v>4000</v>
      </c>
      <c r="V180" s="62">
        <f t="shared" si="33"/>
        <v>0</v>
      </c>
    </row>
    <row r="181" spans="1:22" ht="50.15" customHeight="1" x14ac:dyDescent="0.6">
      <c r="A181" s="440">
        <v>1346500930</v>
      </c>
      <c r="B181" s="120">
        <v>34</v>
      </c>
      <c r="C181" s="121" t="s">
        <v>12</v>
      </c>
      <c r="D181" s="121" t="s">
        <v>32</v>
      </c>
      <c r="E181" s="121"/>
      <c r="F181" s="121" t="s">
        <v>188</v>
      </c>
      <c r="G181" s="122">
        <v>105300</v>
      </c>
      <c r="H181" s="122">
        <v>105300</v>
      </c>
      <c r="I181" s="122">
        <v>79110</v>
      </c>
      <c r="J181" s="122">
        <v>75000</v>
      </c>
      <c r="K181" s="122">
        <v>105300</v>
      </c>
      <c r="L181" s="123"/>
      <c r="M181" s="123"/>
      <c r="N181" s="123"/>
      <c r="O181" s="226">
        <v>65925</v>
      </c>
      <c r="P181" s="122">
        <v>66000</v>
      </c>
      <c r="Q181" s="122">
        <v>12</v>
      </c>
      <c r="R181" s="122">
        <v>12</v>
      </c>
      <c r="S181" s="441">
        <f t="shared" si="30"/>
        <v>66000</v>
      </c>
      <c r="T181" s="432">
        <f t="shared" si="31"/>
        <v>-39300</v>
      </c>
      <c r="U181" s="62">
        <f t="shared" si="32"/>
        <v>-39300</v>
      </c>
      <c r="V181" s="62">
        <f t="shared" si="33"/>
        <v>0</v>
      </c>
    </row>
    <row r="182" spans="1:22" ht="50.15" customHeight="1" x14ac:dyDescent="0.6">
      <c r="A182" s="440">
        <v>1346500932</v>
      </c>
      <c r="B182" s="120">
        <v>34</v>
      </c>
      <c r="C182" s="121" t="s">
        <v>12</v>
      </c>
      <c r="D182" s="121" t="s">
        <v>32</v>
      </c>
      <c r="E182" s="121"/>
      <c r="F182" s="121" t="s">
        <v>189</v>
      </c>
      <c r="G182" s="122">
        <v>1950718</v>
      </c>
      <c r="H182" s="122">
        <v>1762500</v>
      </c>
      <c r="I182" s="122">
        <v>1795516.7999999998</v>
      </c>
      <c r="J182" s="122">
        <v>2100000</v>
      </c>
      <c r="K182" s="122">
        <v>1762500</v>
      </c>
      <c r="L182" s="123"/>
      <c r="M182" s="123"/>
      <c r="N182" s="123"/>
      <c r="O182" s="226">
        <v>2140849</v>
      </c>
      <c r="P182" s="122">
        <v>2150000</v>
      </c>
      <c r="Q182" s="122">
        <v>12</v>
      </c>
      <c r="R182" s="122">
        <v>12</v>
      </c>
      <c r="S182" s="441">
        <f t="shared" si="30"/>
        <v>2150000</v>
      </c>
      <c r="T182" s="432">
        <f t="shared" si="31"/>
        <v>387500</v>
      </c>
      <c r="U182" s="62">
        <f t="shared" si="32"/>
        <v>387500</v>
      </c>
      <c r="V182" s="62">
        <f t="shared" si="33"/>
        <v>0</v>
      </c>
    </row>
    <row r="183" spans="1:22" ht="50.15" customHeight="1" x14ac:dyDescent="0.6">
      <c r="A183" s="440">
        <v>1346500933</v>
      </c>
      <c r="B183" s="120">
        <v>34</v>
      </c>
      <c r="C183" s="121" t="s">
        <v>12</v>
      </c>
      <c r="D183" s="121" t="s">
        <v>32</v>
      </c>
      <c r="E183" s="121"/>
      <c r="F183" s="121" t="s">
        <v>190</v>
      </c>
      <c r="G183" s="122">
        <v>302245</v>
      </c>
      <c r="H183" s="122">
        <v>337500</v>
      </c>
      <c r="I183" s="122">
        <v>340272</v>
      </c>
      <c r="J183" s="122">
        <v>337500</v>
      </c>
      <c r="K183" s="122">
        <v>337500</v>
      </c>
      <c r="L183" s="123"/>
      <c r="M183" s="123"/>
      <c r="N183" s="123"/>
      <c r="O183" s="226">
        <v>367108</v>
      </c>
      <c r="P183" s="122">
        <v>368000</v>
      </c>
      <c r="Q183" s="122">
        <v>12</v>
      </c>
      <c r="R183" s="122">
        <v>12</v>
      </c>
      <c r="S183" s="441">
        <f t="shared" si="30"/>
        <v>368000</v>
      </c>
      <c r="T183" s="432">
        <f t="shared" si="31"/>
        <v>30500</v>
      </c>
      <c r="U183" s="62">
        <f t="shared" si="32"/>
        <v>30500</v>
      </c>
      <c r="V183" s="62">
        <f t="shared" si="33"/>
        <v>0</v>
      </c>
    </row>
    <row r="184" spans="1:22" ht="50.15" customHeight="1" x14ac:dyDescent="0.6">
      <c r="A184" s="440">
        <v>1346600220</v>
      </c>
      <c r="B184" s="120">
        <v>34</v>
      </c>
      <c r="C184" s="121" t="s">
        <v>13</v>
      </c>
      <c r="D184" s="121" t="s">
        <v>32</v>
      </c>
      <c r="E184" s="121"/>
      <c r="F184" s="121" t="s">
        <v>191</v>
      </c>
      <c r="G184" s="122">
        <v>30967</v>
      </c>
      <c r="H184" s="122">
        <v>52500</v>
      </c>
      <c r="I184" s="122">
        <v>74520.887999999992</v>
      </c>
      <c r="J184" s="122">
        <v>52500</v>
      </c>
      <c r="K184" s="122">
        <v>52500</v>
      </c>
      <c r="L184" s="123"/>
      <c r="M184" s="123"/>
      <c r="N184" s="123"/>
      <c r="O184" s="226">
        <v>81249.740000000005</v>
      </c>
      <c r="P184" s="122">
        <v>81000</v>
      </c>
      <c r="Q184" s="122">
        <v>12</v>
      </c>
      <c r="R184" s="122">
        <v>12</v>
      </c>
      <c r="S184" s="441">
        <f t="shared" si="30"/>
        <v>81000</v>
      </c>
      <c r="T184" s="432">
        <f t="shared" si="31"/>
        <v>28500</v>
      </c>
      <c r="U184" s="62">
        <f t="shared" si="32"/>
        <v>28500</v>
      </c>
      <c r="V184" s="62">
        <f t="shared" si="33"/>
        <v>0</v>
      </c>
    </row>
    <row r="185" spans="1:22" ht="50.15" customHeight="1" x14ac:dyDescent="0.6">
      <c r="A185" s="440">
        <v>1346600930</v>
      </c>
      <c r="B185" s="120">
        <v>34</v>
      </c>
      <c r="C185" s="121" t="s">
        <v>12</v>
      </c>
      <c r="D185" s="121" t="s">
        <v>32</v>
      </c>
      <c r="E185" s="121"/>
      <c r="F185" s="121" t="s">
        <v>192</v>
      </c>
      <c r="G185" s="122">
        <v>87855</v>
      </c>
      <c r="H185" s="122">
        <v>150000</v>
      </c>
      <c r="I185" s="122">
        <v>112657.20000000001</v>
      </c>
      <c r="J185" s="122">
        <v>150000</v>
      </c>
      <c r="K185" s="122">
        <v>150000</v>
      </c>
      <c r="L185" s="123"/>
      <c r="M185" s="123"/>
      <c r="N185" s="123"/>
      <c r="O185" s="226">
        <v>112298</v>
      </c>
      <c r="P185" s="122">
        <v>112000</v>
      </c>
      <c r="Q185" s="122">
        <v>12</v>
      </c>
      <c r="R185" s="122">
        <v>12</v>
      </c>
      <c r="S185" s="441">
        <f t="shared" si="30"/>
        <v>112000</v>
      </c>
      <c r="T185" s="432">
        <f t="shared" si="31"/>
        <v>-38000</v>
      </c>
      <c r="U185" s="62">
        <f t="shared" si="32"/>
        <v>-38000</v>
      </c>
      <c r="V185" s="62">
        <f t="shared" si="33"/>
        <v>0</v>
      </c>
    </row>
    <row r="186" spans="1:22" ht="50.15" customHeight="1" x14ac:dyDescent="0.6">
      <c r="A186" s="440">
        <v>1346700930</v>
      </c>
      <c r="B186" s="120">
        <v>34</v>
      </c>
      <c r="C186" s="121" t="s">
        <v>12</v>
      </c>
      <c r="D186" s="121" t="s">
        <v>32</v>
      </c>
      <c r="E186" s="121"/>
      <c r="F186" s="121" t="s">
        <v>193</v>
      </c>
      <c r="G186" s="122">
        <v>51581</v>
      </c>
      <c r="H186" s="122">
        <v>154500</v>
      </c>
      <c r="I186" s="122">
        <v>142994.40000000002</v>
      </c>
      <c r="J186" s="122">
        <v>154500</v>
      </c>
      <c r="K186" s="122">
        <v>154500</v>
      </c>
      <c r="L186" s="123"/>
      <c r="M186" s="123"/>
      <c r="N186" s="123"/>
      <c r="O186" s="226">
        <v>131088</v>
      </c>
      <c r="P186" s="122">
        <v>131000</v>
      </c>
      <c r="Q186" s="122">
        <v>12</v>
      </c>
      <c r="R186" s="122">
        <v>12</v>
      </c>
      <c r="S186" s="441">
        <f t="shared" si="30"/>
        <v>131000</v>
      </c>
      <c r="T186" s="432">
        <f t="shared" si="31"/>
        <v>-23500</v>
      </c>
      <c r="U186" s="62">
        <f t="shared" si="32"/>
        <v>-23500</v>
      </c>
      <c r="V186" s="62">
        <f t="shared" si="33"/>
        <v>0</v>
      </c>
    </row>
    <row r="187" spans="1:22" ht="50.15" customHeight="1" x14ac:dyDescent="0.6">
      <c r="A187" s="440">
        <v>1346700931</v>
      </c>
      <c r="B187" s="120">
        <v>34</v>
      </c>
      <c r="C187" s="121" t="s">
        <v>12</v>
      </c>
      <c r="D187" s="121" t="s">
        <v>32</v>
      </c>
      <c r="E187" s="121"/>
      <c r="F187" s="121" t="s">
        <v>194</v>
      </c>
      <c r="G187" s="122">
        <v>80629</v>
      </c>
      <c r="H187" s="122">
        <v>30000</v>
      </c>
      <c r="I187" s="122">
        <v>153582</v>
      </c>
      <c r="J187" s="122">
        <v>150000</v>
      </c>
      <c r="K187" s="122">
        <v>30000</v>
      </c>
      <c r="L187" s="123"/>
      <c r="M187" s="123"/>
      <c r="N187" s="123"/>
      <c r="O187" s="226">
        <v>201126</v>
      </c>
      <c r="P187" s="122">
        <v>200000</v>
      </c>
      <c r="Q187" s="122">
        <v>12</v>
      </c>
      <c r="R187" s="122">
        <v>12</v>
      </c>
      <c r="S187" s="441">
        <f t="shared" si="30"/>
        <v>200000</v>
      </c>
      <c r="T187" s="432">
        <f t="shared" si="31"/>
        <v>170000</v>
      </c>
      <c r="U187" s="62">
        <f t="shared" si="32"/>
        <v>170000</v>
      </c>
      <c r="V187" s="62">
        <f t="shared" si="33"/>
        <v>0</v>
      </c>
    </row>
    <row r="188" spans="1:22" ht="50.15" customHeight="1" x14ac:dyDescent="0.6">
      <c r="A188" s="440">
        <v>1346700932</v>
      </c>
      <c r="B188" s="120">
        <v>34</v>
      </c>
      <c r="C188" s="121" t="s">
        <v>8</v>
      </c>
      <c r="D188" s="121" t="s">
        <v>8</v>
      </c>
      <c r="E188" s="121"/>
      <c r="F188" s="121" t="s">
        <v>195</v>
      </c>
      <c r="G188" s="122">
        <v>0</v>
      </c>
      <c r="H188" s="122">
        <v>0</v>
      </c>
      <c r="I188" s="122">
        <v>0</v>
      </c>
      <c r="J188" s="122">
        <v>0</v>
      </c>
      <c r="K188" s="122">
        <v>0</v>
      </c>
      <c r="L188" s="123"/>
      <c r="M188" s="123"/>
      <c r="N188" s="123"/>
      <c r="O188" s="226">
        <v>0</v>
      </c>
      <c r="P188" s="122">
        <v>0</v>
      </c>
      <c r="Q188" s="122">
        <v>12</v>
      </c>
      <c r="R188" s="122">
        <v>12</v>
      </c>
      <c r="S188" s="441">
        <f t="shared" si="30"/>
        <v>0</v>
      </c>
      <c r="T188" s="432">
        <f t="shared" si="31"/>
        <v>0</v>
      </c>
      <c r="U188" s="62">
        <f t="shared" si="32"/>
        <v>0</v>
      </c>
      <c r="V188" s="62">
        <f t="shared" si="33"/>
        <v>0</v>
      </c>
    </row>
    <row r="189" spans="1:22" ht="50.15" customHeight="1" x14ac:dyDescent="0.6">
      <c r="A189" s="440">
        <v>1346700933</v>
      </c>
      <c r="B189" s="120">
        <v>34</v>
      </c>
      <c r="C189" s="121" t="s">
        <v>12</v>
      </c>
      <c r="D189" s="121" t="s">
        <v>32</v>
      </c>
      <c r="E189" s="121"/>
      <c r="F189" s="121" t="s">
        <v>196</v>
      </c>
      <c r="G189" s="122">
        <v>617871</v>
      </c>
      <c r="H189" s="122">
        <v>525000</v>
      </c>
      <c r="I189" s="122">
        <v>781762.8</v>
      </c>
      <c r="J189" s="122">
        <v>825000</v>
      </c>
      <c r="K189" s="122">
        <v>525000</v>
      </c>
      <c r="L189" s="123"/>
      <c r="M189" s="123"/>
      <c r="N189" s="123"/>
      <c r="O189" s="226">
        <v>817452</v>
      </c>
      <c r="P189" s="122">
        <v>820000</v>
      </c>
      <c r="Q189" s="122">
        <v>12</v>
      </c>
      <c r="R189" s="122">
        <v>12</v>
      </c>
      <c r="S189" s="441">
        <f t="shared" si="30"/>
        <v>820000</v>
      </c>
      <c r="T189" s="432">
        <f t="shared" si="31"/>
        <v>295000</v>
      </c>
      <c r="U189" s="62">
        <f t="shared" si="32"/>
        <v>295000</v>
      </c>
      <c r="V189" s="62">
        <f t="shared" si="33"/>
        <v>0</v>
      </c>
    </row>
    <row r="190" spans="1:22" ht="50.15" customHeight="1" x14ac:dyDescent="0.6">
      <c r="A190" s="440">
        <v>1346700935</v>
      </c>
      <c r="B190" s="120">
        <v>34</v>
      </c>
      <c r="C190" s="121" t="s">
        <v>12</v>
      </c>
      <c r="D190" s="121" t="s">
        <v>32</v>
      </c>
      <c r="E190" s="121"/>
      <c r="F190" s="121" t="s">
        <v>197</v>
      </c>
      <c r="G190" s="122">
        <v>28958</v>
      </c>
      <c r="H190" s="122">
        <v>30000</v>
      </c>
      <c r="I190" s="122">
        <v>26797.199999999997</v>
      </c>
      <c r="J190" s="122">
        <v>30000</v>
      </c>
      <c r="K190" s="122">
        <v>30000</v>
      </c>
      <c r="L190" s="123"/>
      <c r="M190" s="123"/>
      <c r="N190" s="123"/>
      <c r="O190" s="226">
        <v>39380</v>
      </c>
      <c r="P190" s="122">
        <v>40000</v>
      </c>
      <c r="Q190" s="122">
        <v>12</v>
      </c>
      <c r="R190" s="122">
        <v>12</v>
      </c>
      <c r="S190" s="441">
        <f t="shared" si="30"/>
        <v>40000</v>
      </c>
      <c r="T190" s="432">
        <f t="shared" si="31"/>
        <v>10000</v>
      </c>
      <c r="U190" s="62">
        <f t="shared" si="32"/>
        <v>10000</v>
      </c>
      <c r="V190" s="62">
        <f t="shared" si="33"/>
        <v>0</v>
      </c>
    </row>
    <row r="191" spans="1:22" ht="50.15" customHeight="1" x14ac:dyDescent="0.6">
      <c r="A191" s="440">
        <v>1346700936</v>
      </c>
      <c r="B191" s="120">
        <v>34</v>
      </c>
      <c r="C191" s="121" t="s">
        <v>12</v>
      </c>
      <c r="D191" s="121" t="s">
        <v>32</v>
      </c>
      <c r="E191" s="121"/>
      <c r="F191" s="121" t="s">
        <v>198</v>
      </c>
      <c r="G191" s="122">
        <v>0</v>
      </c>
      <c r="H191" s="122">
        <v>157500</v>
      </c>
      <c r="I191" s="122">
        <v>0</v>
      </c>
      <c r="J191" s="122">
        <v>157500</v>
      </c>
      <c r="K191" s="122">
        <v>157500</v>
      </c>
      <c r="L191" s="123"/>
      <c r="M191" s="123"/>
      <c r="N191" s="123"/>
      <c r="O191" s="226">
        <v>16376</v>
      </c>
      <c r="P191" s="122">
        <v>17000</v>
      </c>
      <c r="Q191" s="122">
        <v>12</v>
      </c>
      <c r="R191" s="122">
        <v>12</v>
      </c>
      <c r="S191" s="441">
        <f t="shared" si="30"/>
        <v>17000</v>
      </c>
      <c r="T191" s="432">
        <f t="shared" si="31"/>
        <v>-140500</v>
      </c>
      <c r="U191" s="62">
        <f t="shared" si="32"/>
        <v>-140500</v>
      </c>
      <c r="V191" s="62">
        <f t="shared" si="33"/>
        <v>0</v>
      </c>
    </row>
    <row r="192" spans="1:22" ht="50.15" customHeight="1" x14ac:dyDescent="0.6">
      <c r="A192" s="440">
        <v>1346700937</v>
      </c>
      <c r="B192" s="120">
        <v>34</v>
      </c>
      <c r="C192" s="121" t="s">
        <v>12</v>
      </c>
      <c r="D192" s="121" t="s">
        <v>32</v>
      </c>
      <c r="E192" s="121"/>
      <c r="F192" s="121" t="s">
        <v>199</v>
      </c>
      <c r="G192" s="122">
        <v>70277</v>
      </c>
      <c r="H192" s="122">
        <v>63750</v>
      </c>
      <c r="I192" s="122">
        <v>62997.600000000006</v>
      </c>
      <c r="J192" s="122">
        <v>93750</v>
      </c>
      <c r="K192" s="122">
        <v>63750</v>
      </c>
      <c r="L192" s="123"/>
      <c r="M192" s="123"/>
      <c r="N192" s="123"/>
      <c r="O192" s="226">
        <v>83234</v>
      </c>
      <c r="P192" s="122">
        <v>85000</v>
      </c>
      <c r="Q192" s="122">
        <v>12</v>
      </c>
      <c r="R192" s="122">
        <v>12</v>
      </c>
      <c r="S192" s="441">
        <f t="shared" si="30"/>
        <v>85000</v>
      </c>
      <c r="T192" s="432">
        <f t="shared" si="31"/>
        <v>21250</v>
      </c>
      <c r="U192" s="62">
        <f t="shared" si="32"/>
        <v>21250</v>
      </c>
      <c r="V192" s="62">
        <f t="shared" ref="V192:V213" si="34">S192-P192</f>
        <v>0</v>
      </c>
    </row>
    <row r="193" spans="1:22" ht="50.15" customHeight="1" x14ac:dyDescent="0.6">
      <c r="A193" s="440">
        <v>1346700938</v>
      </c>
      <c r="B193" s="120">
        <v>34</v>
      </c>
      <c r="C193" s="121" t="s">
        <v>12</v>
      </c>
      <c r="D193" s="121" t="s">
        <v>32</v>
      </c>
      <c r="E193" s="121"/>
      <c r="F193" s="121" t="s">
        <v>200</v>
      </c>
      <c r="G193" s="122">
        <v>90192</v>
      </c>
      <c r="H193" s="122">
        <v>52710</v>
      </c>
      <c r="I193" s="122">
        <v>86996.4</v>
      </c>
      <c r="J193" s="122">
        <v>52710</v>
      </c>
      <c r="K193" s="122">
        <v>52710</v>
      </c>
      <c r="L193" s="123"/>
      <c r="M193" s="123"/>
      <c r="N193" s="123"/>
      <c r="O193" s="226">
        <v>86154</v>
      </c>
      <c r="P193" s="122">
        <v>86000</v>
      </c>
      <c r="Q193" s="122">
        <v>12</v>
      </c>
      <c r="R193" s="122">
        <v>12</v>
      </c>
      <c r="S193" s="441">
        <f t="shared" si="30"/>
        <v>86000</v>
      </c>
      <c r="T193" s="432">
        <f t="shared" ref="T193:T213" si="35">P193-K193</f>
        <v>33290</v>
      </c>
      <c r="U193" s="62">
        <f t="shared" ref="U193:U213" si="36">S193-K193</f>
        <v>33290</v>
      </c>
      <c r="V193" s="62">
        <f t="shared" si="34"/>
        <v>0</v>
      </c>
    </row>
    <row r="194" spans="1:22" ht="50.15" customHeight="1" x14ac:dyDescent="0.6">
      <c r="A194" s="440">
        <v>1346800930</v>
      </c>
      <c r="B194" s="120">
        <v>34</v>
      </c>
      <c r="C194" s="121" t="s">
        <v>12</v>
      </c>
      <c r="D194" s="121" t="s">
        <v>32</v>
      </c>
      <c r="E194" s="121"/>
      <c r="F194" s="121" t="s">
        <v>201</v>
      </c>
      <c r="G194" s="122">
        <v>-6271</v>
      </c>
      <c r="H194" s="122">
        <v>11250</v>
      </c>
      <c r="I194" s="122">
        <v>0</v>
      </c>
      <c r="J194" s="122">
        <v>0</v>
      </c>
      <c r="K194" s="122">
        <v>11250</v>
      </c>
      <c r="L194" s="123"/>
      <c r="M194" s="123"/>
      <c r="N194" s="123"/>
      <c r="O194" s="226">
        <v>1217</v>
      </c>
      <c r="P194" s="122">
        <v>1000</v>
      </c>
      <c r="Q194" s="122">
        <v>12</v>
      </c>
      <c r="R194" s="122">
        <v>12</v>
      </c>
      <c r="S194" s="441">
        <f t="shared" ref="S194:S216" si="37">P194*Q194/R194</f>
        <v>1000</v>
      </c>
      <c r="T194" s="432">
        <f t="shared" si="35"/>
        <v>-10250</v>
      </c>
      <c r="U194" s="62">
        <f t="shared" si="36"/>
        <v>-10250</v>
      </c>
      <c r="V194" s="62">
        <f t="shared" si="34"/>
        <v>0</v>
      </c>
    </row>
    <row r="195" spans="1:22" ht="50.15" customHeight="1" x14ac:dyDescent="0.6">
      <c r="A195" s="440">
        <v>1346800931</v>
      </c>
      <c r="B195" s="120">
        <v>34</v>
      </c>
      <c r="C195" s="121" t="s">
        <v>12</v>
      </c>
      <c r="D195" s="121" t="s">
        <v>32</v>
      </c>
      <c r="E195" s="121"/>
      <c r="F195" s="121" t="s">
        <v>202</v>
      </c>
      <c r="G195" s="122">
        <v>11313</v>
      </c>
      <c r="H195" s="122">
        <v>4500</v>
      </c>
      <c r="I195" s="122">
        <v>13584</v>
      </c>
      <c r="J195" s="122">
        <v>15000</v>
      </c>
      <c r="K195" s="122">
        <v>4500</v>
      </c>
      <c r="L195" s="123"/>
      <c r="M195" s="123"/>
      <c r="N195" s="123"/>
      <c r="O195" s="226">
        <v>61080</v>
      </c>
      <c r="P195" s="122">
        <v>61000</v>
      </c>
      <c r="Q195" s="122">
        <v>12</v>
      </c>
      <c r="R195" s="122">
        <v>12</v>
      </c>
      <c r="S195" s="441">
        <f t="shared" si="37"/>
        <v>61000</v>
      </c>
      <c r="T195" s="432">
        <f t="shared" si="35"/>
        <v>56500</v>
      </c>
      <c r="U195" s="62">
        <f t="shared" si="36"/>
        <v>56500</v>
      </c>
      <c r="V195" s="62">
        <f t="shared" si="34"/>
        <v>0</v>
      </c>
    </row>
    <row r="196" spans="1:22" ht="50.15" customHeight="1" x14ac:dyDescent="0.6">
      <c r="A196" s="440">
        <v>1346800932</v>
      </c>
      <c r="B196" s="120">
        <v>34</v>
      </c>
      <c r="C196" s="121" t="s">
        <v>12</v>
      </c>
      <c r="D196" s="121" t="s">
        <v>32</v>
      </c>
      <c r="E196" s="121"/>
      <c r="F196" s="121" t="s">
        <v>203</v>
      </c>
      <c r="G196" s="122">
        <v>40926</v>
      </c>
      <c r="H196" s="122">
        <v>40000</v>
      </c>
      <c r="I196" s="122">
        <v>32517.600000000002</v>
      </c>
      <c r="J196" s="122">
        <v>40000</v>
      </c>
      <c r="K196" s="122">
        <v>40000</v>
      </c>
      <c r="L196" s="123"/>
      <c r="M196" s="123"/>
      <c r="N196" s="123"/>
      <c r="O196" s="226">
        <v>32266</v>
      </c>
      <c r="P196" s="122">
        <v>40000</v>
      </c>
      <c r="Q196" s="122">
        <v>12</v>
      </c>
      <c r="R196" s="122">
        <v>12</v>
      </c>
      <c r="S196" s="441">
        <f t="shared" si="37"/>
        <v>40000</v>
      </c>
      <c r="T196" s="432">
        <f t="shared" si="35"/>
        <v>0</v>
      </c>
      <c r="U196" s="62">
        <f t="shared" si="36"/>
        <v>0</v>
      </c>
      <c r="V196" s="62">
        <f t="shared" si="34"/>
        <v>0</v>
      </c>
    </row>
    <row r="197" spans="1:22" ht="50.15" customHeight="1" x14ac:dyDescent="0.6">
      <c r="A197" s="440">
        <v>1346800933</v>
      </c>
      <c r="B197" s="120">
        <v>34</v>
      </c>
      <c r="C197" s="121" t="s">
        <v>12</v>
      </c>
      <c r="D197" s="121" t="s">
        <v>32</v>
      </c>
      <c r="E197" s="121"/>
      <c r="F197" s="121" t="s">
        <v>204</v>
      </c>
      <c r="G197" s="122">
        <v>0</v>
      </c>
      <c r="H197" s="122">
        <v>3750</v>
      </c>
      <c r="I197" s="122">
        <v>0</v>
      </c>
      <c r="J197" s="122">
        <v>3750</v>
      </c>
      <c r="K197" s="122">
        <v>3750</v>
      </c>
      <c r="L197" s="123"/>
      <c r="M197" s="123"/>
      <c r="N197" s="123"/>
      <c r="O197" s="226">
        <v>0</v>
      </c>
      <c r="P197" s="122">
        <v>0</v>
      </c>
      <c r="Q197" s="122">
        <v>12</v>
      </c>
      <c r="R197" s="122">
        <v>12</v>
      </c>
      <c r="S197" s="441">
        <f t="shared" si="37"/>
        <v>0</v>
      </c>
      <c r="T197" s="432">
        <f t="shared" si="35"/>
        <v>-3750</v>
      </c>
      <c r="U197" s="62">
        <f t="shared" si="36"/>
        <v>-3750</v>
      </c>
      <c r="V197" s="62">
        <f t="shared" si="34"/>
        <v>0</v>
      </c>
    </row>
    <row r="198" spans="1:22" ht="50.15" customHeight="1" x14ac:dyDescent="0.6">
      <c r="A198" s="440">
        <v>1347100931</v>
      </c>
      <c r="B198" s="120">
        <v>34</v>
      </c>
      <c r="C198" s="121" t="s">
        <v>12</v>
      </c>
      <c r="D198" s="121" t="s">
        <v>32</v>
      </c>
      <c r="E198" s="121"/>
      <c r="F198" s="121" t="s">
        <v>205</v>
      </c>
      <c r="G198" s="122">
        <v>0</v>
      </c>
      <c r="H198" s="122">
        <v>15000</v>
      </c>
      <c r="I198" s="122">
        <v>0</v>
      </c>
      <c r="J198" s="122">
        <v>15000</v>
      </c>
      <c r="K198" s="122">
        <v>15000</v>
      </c>
      <c r="L198" s="123"/>
      <c r="M198" s="123"/>
      <c r="N198" s="123"/>
      <c r="O198" s="226">
        <v>0</v>
      </c>
      <c r="P198" s="122">
        <v>0</v>
      </c>
      <c r="Q198" s="122">
        <v>12</v>
      </c>
      <c r="R198" s="122">
        <v>12</v>
      </c>
      <c r="S198" s="441">
        <f t="shared" si="37"/>
        <v>0</v>
      </c>
      <c r="T198" s="432">
        <f t="shared" si="35"/>
        <v>-15000</v>
      </c>
      <c r="U198" s="62">
        <f t="shared" si="36"/>
        <v>-15000</v>
      </c>
      <c r="V198" s="62">
        <f t="shared" si="34"/>
        <v>0</v>
      </c>
    </row>
    <row r="199" spans="1:22" ht="50.15" customHeight="1" x14ac:dyDescent="0.6">
      <c r="A199" s="440">
        <v>1347100932</v>
      </c>
      <c r="B199" s="120">
        <v>34</v>
      </c>
      <c r="C199" s="121" t="s">
        <v>12</v>
      </c>
      <c r="D199" s="121" t="s">
        <v>32</v>
      </c>
      <c r="E199" s="121"/>
      <c r="F199" s="121" t="s">
        <v>206</v>
      </c>
      <c r="G199" s="122">
        <v>0</v>
      </c>
      <c r="H199" s="122">
        <v>9477.75</v>
      </c>
      <c r="I199" s="122">
        <v>20876.400000000001</v>
      </c>
      <c r="J199" s="122">
        <v>24000</v>
      </c>
      <c r="K199" s="122">
        <v>9477.75</v>
      </c>
      <c r="L199" s="123"/>
      <c r="M199" s="123"/>
      <c r="N199" s="123"/>
      <c r="O199" s="226">
        <v>17443</v>
      </c>
      <c r="P199" s="122">
        <v>18000</v>
      </c>
      <c r="Q199" s="122">
        <v>12</v>
      </c>
      <c r="R199" s="122">
        <v>12</v>
      </c>
      <c r="S199" s="441">
        <f t="shared" si="37"/>
        <v>18000</v>
      </c>
      <c r="T199" s="432">
        <f t="shared" si="35"/>
        <v>8522.25</v>
      </c>
      <c r="U199" s="62">
        <f t="shared" si="36"/>
        <v>8522.25</v>
      </c>
      <c r="V199" s="62">
        <f t="shared" si="34"/>
        <v>0</v>
      </c>
    </row>
    <row r="200" spans="1:22" ht="50.15" customHeight="1" x14ac:dyDescent="0.6">
      <c r="A200" s="440">
        <v>1347100935</v>
      </c>
      <c r="B200" s="120">
        <v>34</v>
      </c>
      <c r="C200" s="121" t="s">
        <v>12</v>
      </c>
      <c r="D200" s="121" t="s">
        <v>32</v>
      </c>
      <c r="E200" s="121"/>
      <c r="F200" s="121" t="s">
        <v>207</v>
      </c>
      <c r="G200" s="122">
        <v>28440</v>
      </c>
      <c r="H200" s="122">
        <v>15000</v>
      </c>
      <c r="I200" s="122">
        <v>14101.199999999999</v>
      </c>
      <c r="J200" s="122">
        <v>22500</v>
      </c>
      <c r="K200" s="122">
        <v>15000</v>
      </c>
      <c r="L200" s="123"/>
      <c r="M200" s="123"/>
      <c r="N200" s="123"/>
      <c r="O200" s="226">
        <v>25726</v>
      </c>
      <c r="P200" s="122">
        <v>25000</v>
      </c>
      <c r="Q200" s="122">
        <v>12</v>
      </c>
      <c r="R200" s="122">
        <v>12</v>
      </c>
      <c r="S200" s="441">
        <f t="shared" si="37"/>
        <v>25000</v>
      </c>
      <c r="T200" s="432">
        <f t="shared" si="35"/>
        <v>10000</v>
      </c>
      <c r="U200" s="62">
        <f t="shared" si="36"/>
        <v>10000</v>
      </c>
      <c r="V200" s="62">
        <f t="shared" si="34"/>
        <v>0</v>
      </c>
    </row>
    <row r="201" spans="1:22" ht="50.15" customHeight="1" x14ac:dyDescent="0.6">
      <c r="A201" s="440">
        <v>1347100936</v>
      </c>
      <c r="B201" s="120">
        <v>34</v>
      </c>
      <c r="C201" s="121" t="s">
        <v>12</v>
      </c>
      <c r="D201" s="121" t="s">
        <v>32</v>
      </c>
      <c r="E201" s="121"/>
      <c r="F201" s="121" t="s">
        <v>208</v>
      </c>
      <c r="G201" s="122">
        <v>200284</v>
      </c>
      <c r="H201" s="122">
        <v>204000</v>
      </c>
      <c r="I201" s="122">
        <v>142749.59999999998</v>
      </c>
      <c r="J201" s="122">
        <v>204000</v>
      </c>
      <c r="K201" s="122">
        <v>204000</v>
      </c>
      <c r="L201" s="123"/>
      <c r="M201" s="123"/>
      <c r="N201" s="123"/>
      <c r="O201" s="226">
        <v>220908</v>
      </c>
      <c r="P201" s="122">
        <v>220000</v>
      </c>
      <c r="Q201" s="122">
        <v>12</v>
      </c>
      <c r="R201" s="122">
        <v>12</v>
      </c>
      <c r="S201" s="441">
        <f t="shared" si="37"/>
        <v>220000</v>
      </c>
      <c r="T201" s="432">
        <f t="shared" si="35"/>
        <v>16000</v>
      </c>
      <c r="U201" s="62">
        <f t="shared" si="36"/>
        <v>16000</v>
      </c>
      <c r="V201" s="62">
        <f t="shared" si="34"/>
        <v>0</v>
      </c>
    </row>
    <row r="202" spans="1:22" ht="50.15" customHeight="1" x14ac:dyDescent="0.6">
      <c r="A202" s="440">
        <v>1347100937</v>
      </c>
      <c r="B202" s="120">
        <v>34</v>
      </c>
      <c r="C202" s="121" t="s">
        <v>12</v>
      </c>
      <c r="D202" s="121" t="s">
        <v>32</v>
      </c>
      <c r="E202" s="121"/>
      <c r="F202" s="121" t="s">
        <v>209</v>
      </c>
      <c r="G202" s="122">
        <v>0</v>
      </c>
      <c r="H202" s="122">
        <v>30750</v>
      </c>
      <c r="I202" s="122">
        <v>0</v>
      </c>
      <c r="J202" s="122">
        <v>7500</v>
      </c>
      <c r="K202" s="122">
        <v>30750</v>
      </c>
      <c r="L202" s="123"/>
      <c r="M202" s="123"/>
      <c r="N202" s="123"/>
      <c r="O202" s="226">
        <v>0</v>
      </c>
      <c r="P202" s="122">
        <v>0</v>
      </c>
      <c r="Q202" s="122">
        <v>12</v>
      </c>
      <c r="R202" s="122">
        <v>12</v>
      </c>
      <c r="S202" s="441">
        <f t="shared" si="37"/>
        <v>0</v>
      </c>
      <c r="T202" s="432">
        <f t="shared" si="35"/>
        <v>-30750</v>
      </c>
      <c r="U202" s="62">
        <f t="shared" si="36"/>
        <v>-30750</v>
      </c>
      <c r="V202" s="62">
        <f t="shared" si="34"/>
        <v>0</v>
      </c>
    </row>
    <row r="203" spans="1:22" ht="50.15" customHeight="1" x14ac:dyDescent="0.6">
      <c r="A203" s="440">
        <v>1347300930</v>
      </c>
      <c r="B203" s="120">
        <v>34</v>
      </c>
      <c r="C203" s="121" t="s">
        <v>12</v>
      </c>
      <c r="D203" s="121" t="s">
        <v>32</v>
      </c>
      <c r="E203" s="121"/>
      <c r="F203" s="121" t="s">
        <v>210</v>
      </c>
      <c r="G203" s="122">
        <v>0</v>
      </c>
      <c r="H203" s="122">
        <v>2250</v>
      </c>
      <c r="I203" s="122">
        <v>0</v>
      </c>
      <c r="J203" s="122">
        <v>2250</v>
      </c>
      <c r="K203" s="122">
        <v>2250</v>
      </c>
      <c r="L203" s="123"/>
      <c r="M203" s="123"/>
      <c r="N203" s="123"/>
      <c r="O203" s="226">
        <v>0</v>
      </c>
      <c r="P203" s="122">
        <v>0</v>
      </c>
      <c r="Q203" s="122">
        <v>12</v>
      </c>
      <c r="R203" s="122">
        <v>12</v>
      </c>
      <c r="S203" s="441">
        <f t="shared" si="37"/>
        <v>0</v>
      </c>
      <c r="T203" s="432">
        <f t="shared" si="35"/>
        <v>-2250</v>
      </c>
      <c r="U203" s="62">
        <f t="shared" si="36"/>
        <v>-2250</v>
      </c>
      <c r="V203" s="62">
        <f t="shared" si="34"/>
        <v>0</v>
      </c>
    </row>
    <row r="204" spans="1:22" ht="50.15" customHeight="1" x14ac:dyDescent="0.6">
      <c r="A204" s="440">
        <v>1347300931</v>
      </c>
      <c r="B204" s="120">
        <v>34</v>
      </c>
      <c r="C204" s="121" t="s">
        <v>12</v>
      </c>
      <c r="D204" s="121" t="s">
        <v>32</v>
      </c>
      <c r="E204" s="121"/>
      <c r="F204" s="121" t="s">
        <v>211</v>
      </c>
      <c r="G204" s="122">
        <v>125849</v>
      </c>
      <c r="H204" s="122">
        <v>180000</v>
      </c>
      <c r="I204" s="122">
        <v>112071.59999999999</v>
      </c>
      <c r="J204" s="122">
        <v>0</v>
      </c>
      <c r="K204" s="122">
        <v>180000</v>
      </c>
      <c r="L204" s="123"/>
      <c r="M204" s="123"/>
      <c r="N204" s="123"/>
      <c r="O204" s="226">
        <v>99715</v>
      </c>
      <c r="P204" s="122">
        <v>100000</v>
      </c>
      <c r="Q204" s="122">
        <v>12</v>
      </c>
      <c r="R204" s="122">
        <v>12</v>
      </c>
      <c r="S204" s="441">
        <f t="shared" si="37"/>
        <v>100000</v>
      </c>
      <c r="T204" s="432">
        <f t="shared" si="35"/>
        <v>-80000</v>
      </c>
      <c r="U204" s="62">
        <f t="shared" si="36"/>
        <v>-80000</v>
      </c>
      <c r="V204" s="62">
        <f t="shared" si="34"/>
        <v>0</v>
      </c>
    </row>
    <row r="205" spans="1:22" ht="50.15" customHeight="1" x14ac:dyDescent="0.6">
      <c r="A205" s="440">
        <v>1347400931</v>
      </c>
      <c r="B205" s="120">
        <v>34</v>
      </c>
      <c r="C205" s="121" t="s">
        <v>8</v>
      </c>
      <c r="D205" s="121" t="s">
        <v>8</v>
      </c>
      <c r="E205" s="121"/>
      <c r="F205" s="121" t="s">
        <v>212</v>
      </c>
      <c r="G205" s="122">
        <v>0</v>
      </c>
      <c r="H205" s="122">
        <v>0</v>
      </c>
      <c r="I205" s="122">
        <v>0</v>
      </c>
      <c r="J205" s="122">
        <v>0</v>
      </c>
      <c r="K205" s="122">
        <v>0</v>
      </c>
      <c r="L205" s="123"/>
      <c r="M205" s="123"/>
      <c r="N205" s="123"/>
      <c r="O205" s="226">
        <v>0</v>
      </c>
      <c r="P205" s="122">
        <v>0</v>
      </c>
      <c r="Q205" s="122">
        <v>12</v>
      </c>
      <c r="R205" s="122">
        <v>12</v>
      </c>
      <c r="S205" s="441">
        <f t="shared" si="37"/>
        <v>0</v>
      </c>
      <c r="T205" s="432">
        <f t="shared" si="35"/>
        <v>0</v>
      </c>
      <c r="U205" s="62">
        <f t="shared" si="36"/>
        <v>0</v>
      </c>
      <c r="V205" s="62">
        <f t="shared" si="34"/>
        <v>0</v>
      </c>
    </row>
    <row r="206" spans="1:22" ht="50.15" customHeight="1" x14ac:dyDescent="0.6">
      <c r="A206" s="440">
        <v>1348200930</v>
      </c>
      <c r="B206" s="120">
        <v>34</v>
      </c>
      <c r="C206" s="121" t="s">
        <v>12</v>
      </c>
      <c r="D206" s="121" t="s">
        <v>32</v>
      </c>
      <c r="E206" s="121"/>
      <c r="F206" s="121" t="s">
        <v>213</v>
      </c>
      <c r="G206" s="122">
        <v>0</v>
      </c>
      <c r="H206" s="122">
        <v>0</v>
      </c>
      <c r="I206" s="122">
        <v>2700</v>
      </c>
      <c r="J206" s="122">
        <v>0</v>
      </c>
      <c r="K206" s="122">
        <v>0</v>
      </c>
      <c r="L206" s="123"/>
      <c r="M206" s="123"/>
      <c r="N206" s="123"/>
      <c r="O206" s="226">
        <v>750</v>
      </c>
      <c r="P206" s="122">
        <v>0</v>
      </c>
      <c r="Q206" s="122">
        <v>12</v>
      </c>
      <c r="R206" s="122">
        <v>12</v>
      </c>
      <c r="S206" s="441">
        <f t="shared" si="37"/>
        <v>0</v>
      </c>
      <c r="T206" s="432">
        <f t="shared" si="35"/>
        <v>0</v>
      </c>
      <c r="U206" s="62">
        <f t="shared" si="36"/>
        <v>0</v>
      </c>
      <c r="V206" s="62">
        <f t="shared" si="34"/>
        <v>0</v>
      </c>
    </row>
    <row r="207" spans="1:22" ht="50.15" customHeight="1" x14ac:dyDescent="0.6">
      <c r="A207" s="440">
        <v>1348500930</v>
      </c>
      <c r="B207" s="120">
        <v>34</v>
      </c>
      <c r="C207" s="121" t="s">
        <v>12</v>
      </c>
      <c r="D207" s="121" t="s">
        <v>32</v>
      </c>
      <c r="E207" s="121"/>
      <c r="F207" s="121" t="s">
        <v>214</v>
      </c>
      <c r="G207" s="122">
        <v>0</v>
      </c>
      <c r="H207" s="122">
        <v>3000</v>
      </c>
      <c r="I207" s="122">
        <v>0</v>
      </c>
      <c r="J207" s="122">
        <v>100000</v>
      </c>
      <c r="K207" s="122">
        <v>3000</v>
      </c>
      <c r="L207" s="123"/>
      <c r="M207" s="123"/>
      <c r="N207" s="123"/>
      <c r="O207" s="226">
        <v>0</v>
      </c>
      <c r="P207" s="122">
        <v>0</v>
      </c>
      <c r="Q207" s="122">
        <v>12</v>
      </c>
      <c r="R207" s="122">
        <v>12</v>
      </c>
      <c r="S207" s="441">
        <f t="shared" si="37"/>
        <v>0</v>
      </c>
      <c r="T207" s="432">
        <f t="shared" si="35"/>
        <v>-3000</v>
      </c>
      <c r="U207" s="62">
        <f t="shared" si="36"/>
        <v>-3000</v>
      </c>
      <c r="V207" s="62">
        <f t="shared" si="34"/>
        <v>0</v>
      </c>
    </row>
    <row r="208" spans="1:22" ht="50.15" customHeight="1" x14ac:dyDescent="0.6">
      <c r="A208" s="440">
        <v>1349000933</v>
      </c>
      <c r="B208" s="120">
        <v>34</v>
      </c>
      <c r="C208" s="121" t="s">
        <v>12</v>
      </c>
      <c r="D208" s="121" t="s">
        <v>32</v>
      </c>
      <c r="E208" s="121"/>
      <c r="F208" s="121" t="s">
        <v>215</v>
      </c>
      <c r="G208" s="122">
        <v>375</v>
      </c>
      <c r="H208" s="122">
        <v>7500</v>
      </c>
      <c r="I208" s="122">
        <v>900</v>
      </c>
      <c r="J208" s="122">
        <v>7500</v>
      </c>
      <c r="K208" s="122">
        <v>7500</v>
      </c>
      <c r="L208" s="123"/>
      <c r="M208" s="123"/>
      <c r="N208" s="123"/>
      <c r="O208" s="226">
        <v>5175</v>
      </c>
      <c r="P208" s="122">
        <v>5000</v>
      </c>
      <c r="Q208" s="122">
        <v>12</v>
      </c>
      <c r="R208" s="122">
        <v>12</v>
      </c>
      <c r="S208" s="441">
        <f t="shared" si="37"/>
        <v>5000</v>
      </c>
      <c r="T208" s="432">
        <f t="shared" si="35"/>
        <v>-2500</v>
      </c>
      <c r="U208" s="62">
        <f t="shared" si="36"/>
        <v>-2500</v>
      </c>
      <c r="V208" s="62">
        <f t="shared" si="34"/>
        <v>0</v>
      </c>
    </row>
    <row r="209" spans="1:24" ht="50.15" customHeight="1" x14ac:dyDescent="0.6">
      <c r="A209" s="440">
        <v>1349000934</v>
      </c>
      <c r="B209" s="120">
        <v>34</v>
      </c>
      <c r="C209" s="121" t="s">
        <v>12</v>
      </c>
      <c r="D209" s="121" t="s">
        <v>32</v>
      </c>
      <c r="E209" s="121"/>
      <c r="F209" s="121" t="s">
        <v>216</v>
      </c>
      <c r="G209" s="122">
        <v>750</v>
      </c>
      <c r="H209" s="122">
        <v>0</v>
      </c>
      <c r="I209" s="122">
        <v>0</v>
      </c>
      <c r="J209" s="122">
        <v>0</v>
      </c>
      <c r="K209" s="122">
        <v>0</v>
      </c>
      <c r="L209" s="123"/>
      <c r="M209" s="123"/>
      <c r="N209" s="123"/>
      <c r="O209" s="226">
        <v>0</v>
      </c>
      <c r="P209" s="122">
        <v>0</v>
      </c>
      <c r="Q209" s="122">
        <v>12</v>
      </c>
      <c r="R209" s="122">
        <v>12</v>
      </c>
      <c r="S209" s="441">
        <f t="shared" si="37"/>
        <v>0</v>
      </c>
      <c r="T209" s="432">
        <f t="shared" si="35"/>
        <v>0</v>
      </c>
      <c r="U209" s="62">
        <f t="shared" si="36"/>
        <v>0</v>
      </c>
      <c r="V209" s="62">
        <f t="shared" si="34"/>
        <v>0</v>
      </c>
    </row>
    <row r="210" spans="1:24" ht="50.15" customHeight="1" x14ac:dyDescent="0.6">
      <c r="A210" s="440">
        <v>1349000935</v>
      </c>
      <c r="B210" s="120">
        <v>34</v>
      </c>
      <c r="C210" s="121" t="s">
        <v>12</v>
      </c>
      <c r="D210" s="121" t="s">
        <v>32</v>
      </c>
      <c r="E210" s="121"/>
      <c r="F210" s="121" t="s">
        <v>217</v>
      </c>
      <c r="G210" s="122">
        <v>28802</v>
      </c>
      <c r="H210" s="122">
        <v>0</v>
      </c>
      <c r="I210" s="122">
        <v>13449.599999999999</v>
      </c>
      <c r="J210" s="122">
        <v>0</v>
      </c>
      <c r="K210" s="122">
        <v>0</v>
      </c>
      <c r="L210" s="123"/>
      <c r="M210" s="123"/>
      <c r="N210" s="123"/>
      <c r="O210" s="226">
        <v>49450</v>
      </c>
      <c r="P210" s="122">
        <v>50000</v>
      </c>
      <c r="Q210" s="122">
        <v>12</v>
      </c>
      <c r="R210" s="122">
        <v>12</v>
      </c>
      <c r="S210" s="441">
        <f t="shared" si="37"/>
        <v>50000</v>
      </c>
      <c r="T210" s="432">
        <f t="shared" si="35"/>
        <v>50000</v>
      </c>
      <c r="U210" s="62">
        <f t="shared" si="36"/>
        <v>50000</v>
      </c>
      <c r="V210" s="62">
        <f t="shared" si="34"/>
        <v>0</v>
      </c>
    </row>
    <row r="211" spans="1:24" ht="50.15" customHeight="1" x14ac:dyDescent="0.6">
      <c r="A211" s="440">
        <v>1349000936</v>
      </c>
      <c r="B211" s="120">
        <v>34</v>
      </c>
      <c r="C211" s="121" t="s">
        <v>12</v>
      </c>
      <c r="D211" s="121" t="s">
        <v>32</v>
      </c>
      <c r="E211" s="121"/>
      <c r="F211" s="121" t="s">
        <v>217</v>
      </c>
      <c r="G211" s="122">
        <v>38970</v>
      </c>
      <c r="H211" s="122">
        <v>0</v>
      </c>
      <c r="I211" s="122">
        <v>124035.59999999999</v>
      </c>
      <c r="J211" s="122">
        <v>277500</v>
      </c>
      <c r="K211" s="122">
        <v>0</v>
      </c>
      <c r="L211" s="123"/>
      <c r="M211" s="123"/>
      <c r="N211" s="123"/>
      <c r="O211" s="226">
        <v>278724</v>
      </c>
      <c r="P211" s="122">
        <v>278000</v>
      </c>
      <c r="Q211" s="122">
        <v>12</v>
      </c>
      <c r="R211" s="122">
        <v>12</v>
      </c>
      <c r="S211" s="441">
        <f t="shared" si="37"/>
        <v>278000</v>
      </c>
      <c r="T211" s="432">
        <f t="shared" si="35"/>
        <v>278000</v>
      </c>
      <c r="U211" s="62">
        <f t="shared" si="36"/>
        <v>278000</v>
      </c>
      <c r="V211" s="62">
        <f t="shared" si="34"/>
        <v>0</v>
      </c>
    </row>
    <row r="212" spans="1:24" ht="50.15" customHeight="1" x14ac:dyDescent="0.6">
      <c r="A212" s="440">
        <v>1349000937</v>
      </c>
      <c r="B212" s="120">
        <v>34</v>
      </c>
      <c r="C212" s="121" t="s">
        <v>12</v>
      </c>
      <c r="D212" s="121" t="s">
        <v>32</v>
      </c>
      <c r="E212" s="121"/>
      <c r="F212" s="121" t="s">
        <v>218</v>
      </c>
      <c r="G212" s="122">
        <v>0</v>
      </c>
      <c r="H212" s="122">
        <v>3750</v>
      </c>
      <c r="I212" s="122">
        <v>0</v>
      </c>
      <c r="J212" s="122">
        <v>3750</v>
      </c>
      <c r="K212" s="122">
        <v>3750</v>
      </c>
      <c r="L212" s="123"/>
      <c r="M212" s="123"/>
      <c r="N212" s="123"/>
      <c r="O212" s="226">
        <v>0</v>
      </c>
      <c r="P212" s="122">
        <v>0</v>
      </c>
      <c r="Q212" s="122">
        <v>12</v>
      </c>
      <c r="R212" s="122">
        <v>12</v>
      </c>
      <c r="S212" s="441">
        <f t="shared" si="37"/>
        <v>0</v>
      </c>
      <c r="T212" s="432">
        <f t="shared" si="35"/>
        <v>-3750</v>
      </c>
      <c r="U212" s="62">
        <f t="shared" si="36"/>
        <v>-3750</v>
      </c>
      <c r="V212" s="62">
        <f t="shared" si="34"/>
        <v>0</v>
      </c>
    </row>
    <row r="213" spans="1:24" ht="50.15" customHeight="1" thickBot="1" x14ac:dyDescent="0.65">
      <c r="A213" s="472">
        <v>1349200930</v>
      </c>
      <c r="B213" s="334">
        <v>34</v>
      </c>
      <c r="C213" s="335" t="s">
        <v>12</v>
      </c>
      <c r="D213" s="335" t="s">
        <v>32</v>
      </c>
      <c r="E213" s="335"/>
      <c r="F213" s="335" t="s">
        <v>219</v>
      </c>
      <c r="G213" s="281">
        <v>0</v>
      </c>
      <c r="H213" s="281">
        <v>24750</v>
      </c>
      <c r="I213" s="281">
        <v>0</v>
      </c>
      <c r="J213" s="281">
        <v>11250</v>
      </c>
      <c r="K213" s="281">
        <v>24750</v>
      </c>
      <c r="L213" s="280"/>
      <c r="M213" s="280"/>
      <c r="N213" s="280"/>
      <c r="O213" s="426">
        <v>0</v>
      </c>
      <c r="P213" s="281">
        <v>0</v>
      </c>
      <c r="Q213" s="281">
        <v>12</v>
      </c>
      <c r="R213" s="281">
        <v>12</v>
      </c>
      <c r="S213" s="473">
        <f t="shared" si="37"/>
        <v>0</v>
      </c>
      <c r="T213" s="432">
        <f t="shared" si="35"/>
        <v>-24750</v>
      </c>
      <c r="U213" s="62">
        <f t="shared" si="36"/>
        <v>-24750</v>
      </c>
      <c r="V213" s="62">
        <f t="shared" si="34"/>
        <v>0</v>
      </c>
    </row>
    <row r="214" spans="1:24" ht="50.15" customHeight="1" thickBot="1" x14ac:dyDescent="0.65">
      <c r="A214" s="407"/>
      <c r="B214" s="64"/>
      <c r="C214" s="65"/>
      <c r="D214" s="65"/>
      <c r="E214" s="65"/>
      <c r="F214" s="65"/>
      <c r="G214" s="66">
        <f t="shared" ref="G214:M214" si="38">SUM(G128:G213)</f>
        <v>23742252.080000002</v>
      </c>
      <c r="H214" s="66">
        <f t="shared" si="38"/>
        <v>23396842.809999999</v>
      </c>
      <c r="I214" s="66">
        <f t="shared" si="38"/>
        <v>24556476.324000005</v>
      </c>
      <c r="J214" s="66">
        <f t="shared" si="38"/>
        <v>24432526.971999999</v>
      </c>
      <c r="K214" s="66">
        <f t="shared" si="38"/>
        <v>23396842.810000002</v>
      </c>
      <c r="L214" s="66">
        <f t="shared" si="38"/>
        <v>0</v>
      </c>
      <c r="M214" s="66">
        <f t="shared" si="38"/>
        <v>0</v>
      </c>
      <c r="N214" s="66"/>
      <c r="O214" s="66">
        <f t="shared" ref="O214:U214" si="39">SUM(O128:O213)</f>
        <v>24715216.41</v>
      </c>
      <c r="P214" s="66">
        <f t="shared" si="39"/>
        <v>24642673.004675001</v>
      </c>
      <c r="Q214" s="66">
        <f t="shared" si="39"/>
        <v>1020</v>
      </c>
      <c r="R214" s="66">
        <f t="shared" si="39"/>
        <v>1020</v>
      </c>
      <c r="S214" s="66">
        <f t="shared" si="39"/>
        <v>24642673.004675001</v>
      </c>
      <c r="T214" s="398">
        <f t="shared" si="39"/>
        <v>1245830.1946750004</v>
      </c>
      <c r="U214" s="393">
        <f t="shared" si="39"/>
        <v>1245830.1946750004</v>
      </c>
      <c r="V214" s="393">
        <f>SUM(V128:V213)</f>
        <v>0</v>
      </c>
    </row>
    <row r="215" spans="1:24" ht="50.15" customHeight="1" x14ac:dyDescent="0.35">
      <c r="A215" s="474" t="s">
        <v>665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333"/>
      <c r="N215" s="118"/>
      <c r="O215" s="118"/>
      <c r="P215" s="318"/>
      <c r="Q215" s="118"/>
      <c r="R215" s="118"/>
      <c r="S215" s="466"/>
      <c r="T215" s="461"/>
      <c r="U215" s="391"/>
      <c r="V215" s="391"/>
    </row>
    <row r="216" spans="1:24" ht="50.15" customHeight="1" x14ac:dyDescent="0.6">
      <c r="A216" s="468">
        <v>1361000950</v>
      </c>
      <c r="B216" s="404">
        <v>36</v>
      </c>
      <c r="C216" s="405" t="s">
        <v>9</v>
      </c>
      <c r="D216" s="405" t="s">
        <v>32</v>
      </c>
      <c r="E216" s="405"/>
      <c r="F216" s="405" t="s">
        <v>220</v>
      </c>
      <c r="G216" s="399">
        <v>345370</v>
      </c>
      <c r="H216" s="399">
        <v>400000</v>
      </c>
      <c r="I216" s="399">
        <v>-7984.7999999999993</v>
      </c>
      <c r="J216" s="399">
        <v>150000</v>
      </c>
      <c r="K216" s="399">
        <v>400000</v>
      </c>
      <c r="L216" s="427"/>
      <c r="M216" s="427"/>
      <c r="N216" s="427"/>
      <c r="O216" s="428">
        <v>166000</v>
      </c>
      <c r="P216" s="399">
        <v>150000</v>
      </c>
      <c r="Q216" s="399">
        <v>12</v>
      </c>
      <c r="R216" s="399">
        <v>12</v>
      </c>
      <c r="S216" s="469">
        <f t="shared" si="37"/>
        <v>150000</v>
      </c>
      <c r="T216" s="432">
        <f>P216-K216</f>
        <v>-250000</v>
      </c>
      <c r="U216" s="62">
        <f>S216-K216</f>
        <v>-250000</v>
      </c>
      <c r="V216" s="62">
        <f>S216-P216</f>
        <v>0</v>
      </c>
      <c r="W216" s="153" t="s">
        <v>810</v>
      </c>
    </row>
    <row r="217" spans="1:24" ht="50.15" customHeight="1" thickBot="1" x14ac:dyDescent="0.65">
      <c r="A217" s="468">
        <v>1361100950</v>
      </c>
      <c r="B217" s="404">
        <v>36</v>
      </c>
      <c r="C217" s="121" t="s">
        <v>29</v>
      </c>
      <c r="D217" s="405" t="s">
        <v>32</v>
      </c>
      <c r="E217" s="405"/>
      <c r="F217" s="405" t="s">
        <v>3569</v>
      </c>
      <c r="G217" s="399">
        <v>345370</v>
      </c>
      <c r="H217" s="399">
        <v>0</v>
      </c>
      <c r="I217" s="399">
        <v>-7984.7999999999993</v>
      </c>
      <c r="J217" s="399">
        <v>150000</v>
      </c>
      <c r="K217" s="399">
        <v>0</v>
      </c>
      <c r="L217" s="427"/>
      <c r="M217" s="427"/>
      <c r="N217" s="427"/>
      <c r="O217" s="428">
        <v>0</v>
      </c>
      <c r="P217" s="399">
        <v>0</v>
      </c>
      <c r="Q217" s="399">
        <v>12</v>
      </c>
      <c r="R217" s="399">
        <v>12</v>
      </c>
      <c r="S217" s="473">
        <v>50000</v>
      </c>
      <c r="T217" s="432">
        <f>P217-K217</f>
        <v>0</v>
      </c>
      <c r="U217" s="62">
        <f>S217-K217</f>
        <v>50000</v>
      </c>
      <c r="V217" s="62">
        <f>S217-P217</f>
        <v>50000</v>
      </c>
      <c r="X217" s="239" t="s">
        <v>3569</v>
      </c>
    </row>
    <row r="218" spans="1:24" ht="50.15" customHeight="1" thickBot="1" x14ac:dyDescent="0.65">
      <c r="A218" s="407"/>
      <c r="B218" s="64"/>
      <c r="C218" s="65"/>
      <c r="D218" s="65"/>
      <c r="E218" s="65"/>
      <c r="F218" s="65"/>
      <c r="G218" s="66">
        <f>SUM(G216)</f>
        <v>345370</v>
      </c>
      <c r="H218" s="66">
        <f>SUM(H216:H217)</f>
        <v>400000</v>
      </c>
      <c r="I218" s="66">
        <f t="shared" ref="I218:V218" si="40">SUM(I216:I217)</f>
        <v>-15969.599999999999</v>
      </c>
      <c r="J218" s="66">
        <f t="shared" si="40"/>
        <v>300000</v>
      </c>
      <c r="K218" s="66">
        <f t="shared" si="40"/>
        <v>400000</v>
      </c>
      <c r="L218" s="66">
        <f t="shared" si="40"/>
        <v>0</v>
      </c>
      <c r="M218" s="66">
        <f t="shared" si="40"/>
        <v>0</v>
      </c>
      <c r="N218" s="66">
        <f t="shared" si="40"/>
        <v>0</v>
      </c>
      <c r="O218" s="66">
        <f t="shared" si="40"/>
        <v>166000</v>
      </c>
      <c r="P218" s="66">
        <f t="shared" si="40"/>
        <v>150000</v>
      </c>
      <c r="Q218" s="66">
        <f t="shared" si="40"/>
        <v>24</v>
      </c>
      <c r="R218" s="66">
        <f t="shared" si="40"/>
        <v>24</v>
      </c>
      <c r="S218" s="66">
        <f t="shared" si="40"/>
        <v>200000</v>
      </c>
      <c r="T218" s="66">
        <f t="shared" si="40"/>
        <v>-250000</v>
      </c>
      <c r="U218" s="66">
        <f t="shared" si="40"/>
        <v>-200000</v>
      </c>
      <c r="V218" s="66">
        <f t="shared" si="40"/>
        <v>50000</v>
      </c>
    </row>
    <row r="219" spans="1:24" ht="50.15" customHeight="1" x14ac:dyDescent="0.35">
      <c r="A219" s="474" t="s">
        <v>571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333"/>
      <c r="N219" s="118"/>
      <c r="O219" s="118"/>
      <c r="P219" s="318"/>
      <c r="Q219" s="118"/>
      <c r="R219" s="118"/>
      <c r="S219" s="466"/>
      <c r="T219" s="461"/>
      <c r="U219" s="391"/>
      <c r="V219" s="391"/>
    </row>
    <row r="220" spans="1:24" ht="50.15" customHeight="1" x14ac:dyDescent="0.6">
      <c r="A220" s="59">
        <v>1371000220</v>
      </c>
      <c r="B220" s="60">
        <v>37</v>
      </c>
      <c r="C220" s="61" t="s">
        <v>4</v>
      </c>
      <c r="D220" s="61" t="s">
        <v>32</v>
      </c>
      <c r="E220" s="61"/>
      <c r="F220" s="61" t="s">
        <v>221</v>
      </c>
      <c r="G220" s="62">
        <v>2400</v>
      </c>
      <c r="H220" s="62">
        <v>3000</v>
      </c>
      <c r="I220" s="62">
        <v>480</v>
      </c>
      <c r="J220" s="62">
        <v>1000</v>
      </c>
      <c r="K220" s="62">
        <v>3000</v>
      </c>
      <c r="L220" s="63"/>
      <c r="M220" s="63"/>
      <c r="N220" s="63"/>
      <c r="O220" s="62">
        <v>480</v>
      </c>
      <c r="P220" s="62">
        <v>1000</v>
      </c>
      <c r="Q220" s="62">
        <v>12</v>
      </c>
      <c r="R220" s="62">
        <v>12</v>
      </c>
      <c r="S220" s="467">
        <f t="shared" ref="S220:S227" si="41">P220*Q220/R220</f>
        <v>1000</v>
      </c>
      <c r="T220" s="432">
        <f>P220-K220</f>
        <v>-2000</v>
      </c>
      <c r="U220" s="62">
        <f>S220-K220</f>
        <v>-2000</v>
      </c>
      <c r="V220" s="62">
        <f>S220-P220</f>
        <v>0</v>
      </c>
    </row>
    <row r="221" spans="1:24" ht="50.15" customHeight="1" x14ac:dyDescent="0.6">
      <c r="A221" s="59">
        <v>1371000221</v>
      </c>
      <c r="B221" s="60">
        <v>37</v>
      </c>
      <c r="C221" s="61" t="s">
        <v>4</v>
      </c>
      <c r="D221" s="61" t="s">
        <v>32</v>
      </c>
      <c r="E221" s="61"/>
      <c r="F221" s="61" t="s">
        <v>222</v>
      </c>
      <c r="G221" s="62">
        <v>550</v>
      </c>
      <c r="H221" s="62">
        <v>1000</v>
      </c>
      <c r="I221" s="62">
        <v>0</v>
      </c>
      <c r="J221" s="62">
        <v>500</v>
      </c>
      <c r="K221" s="62">
        <v>1000</v>
      </c>
      <c r="L221" s="63"/>
      <c r="M221" s="63"/>
      <c r="N221" s="63"/>
      <c r="O221" s="62">
        <v>0</v>
      </c>
      <c r="P221" s="62">
        <v>500</v>
      </c>
      <c r="Q221" s="62">
        <v>12</v>
      </c>
      <c r="R221" s="62">
        <v>12</v>
      </c>
      <c r="S221" s="467">
        <f t="shared" si="41"/>
        <v>500</v>
      </c>
      <c r="T221" s="432">
        <f>P221-K221</f>
        <v>-500</v>
      </c>
      <c r="U221" s="62">
        <f>S221-K221</f>
        <v>-500</v>
      </c>
      <c r="V221" s="62">
        <f>S221-P221</f>
        <v>0</v>
      </c>
    </row>
    <row r="222" spans="1:24" ht="50.15" customHeight="1" x14ac:dyDescent="0.6">
      <c r="A222" s="59">
        <v>1371000990</v>
      </c>
      <c r="B222" s="60">
        <v>37</v>
      </c>
      <c r="C222" s="61" t="s">
        <v>9</v>
      </c>
      <c r="D222" s="61" t="s">
        <v>32</v>
      </c>
      <c r="E222" s="61"/>
      <c r="F222" s="61" t="s">
        <v>712</v>
      </c>
      <c r="G222" s="62">
        <v>0</v>
      </c>
      <c r="H222" s="62">
        <v>929269.2</v>
      </c>
      <c r="I222" s="62">
        <v>1000000</v>
      </c>
      <c r="J222" s="62">
        <v>929269</v>
      </c>
      <c r="K222" s="62">
        <v>929269</v>
      </c>
      <c r="L222" s="63"/>
      <c r="M222" s="63"/>
      <c r="N222" s="63"/>
      <c r="O222" s="62">
        <v>900000</v>
      </c>
      <c r="P222" s="62">
        <v>929269</v>
      </c>
      <c r="Q222" s="62">
        <v>12</v>
      </c>
      <c r="R222" s="62">
        <v>12</v>
      </c>
      <c r="S222" s="467">
        <f t="shared" si="41"/>
        <v>929269</v>
      </c>
      <c r="T222" s="432">
        <f>P222-K222</f>
        <v>0</v>
      </c>
      <c r="U222" s="62">
        <f>S222-K222</f>
        <v>0</v>
      </c>
      <c r="V222" s="62">
        <f>S222-P222</f>
        <v>0</v>
      </c>
      <c r="W222" s="153" t="s">
        <v>811</v>
      </c>
    </row>
    <row r="223" spans="1:24" ht="50.15" customHeight="1" thickBot="1" x14ac:dyDescent="0.65">
      <c r="A223" s="468">
        <v>1371000991</v>
      </c>
      <c r="B223" s="404">
        <v>37</v>
      </c>
      <c r="C223" s="405" t="s">
        <v>9</v>
      </c>
      <c r="D223" s="405" t="s">
        <v>32</v>
      </c>
      <c r="E223" s="405"/>
      <c r="F223" s="405" t="s">
        <v>223</v>
      </c>
      <c r="G223" s="399">
        <v>0</v>
      </c>
      <c r="H223" s="399">
        <v>354176</v>
      </c>
      <c r="I223" s="399">
        <v>307503.59999999998</v>
      </c>
      <c r="J223" s="399">
        <v>354176</v>
      </c>
      <c r="K223" s="399">
        <v>354176</v>
      </c>
      <c r="L223" s="427"/>
      <c r="M223" s="427"/>
      <c r="N223" s="427"/>
      <c r="O223" s="399">
        <v>106000</v>
      </c>
      <c r="P223" s="399">
        <v>354176</v>
      </c>
      <c r="Q223" s="399">
        <v>12</v>
      </c>
      <c r="R223" s="399">
        <v>12</v>
      </c>
      <c r="S223" s="469">
        <f t="shared" si="41"/>
        <v>354176</v>
      </c>
      <c r="T223" s="432">
        <f>P223-K223</f>
        <v>0</v>
      </c>
      <c r="U223" s="62">
        <f>S223-K223</f>
        <v>0</v>
      </c>
      <c r="V223" s="62">
        <f>S223-P223</f>
        <v>0</v>
      </c>
      <c r="W223" s="153" t="s">
        <v>813</v>
      </c>
    </row>
    <row r="224" spans="1:24" ht="50.15" customHeight="1" thickBot="1" x14ac:dyDescent="0.65">
      <c r="A224" s="407"/>
      <c r="B224" s="64"/>
      <c r="C224" s="65"/>
      <c r="D224" s="65"/>
      <c r="E224" s="65"/>
      <c r="F224" s="65"/>
      <c r="G224" s="66">
        <f t="shared" ref="G224:M224" si="42">SUM(G220:G223)</f>
        <v>2950</v>
      </c>
      <c r="H224" s="66">
        <f t="shared" si="42"/>
        <v>1287445.2</v>
      </c>
      <c r="I224" s="66">
        <f t="shared" si="42"/>
        <v>1307983.6000000001</v>
      </c>
      <c r="J224" s="66">
        <f t="shared" si="42"/>
        <v>1284945</v>
      </c>
      <c r="K224" s="66">
        <f t="shared" si="42"/>
        <v>1287445</v>
      </c>
      <c r="L224" s="66">
        <f t="shared" si="42"/>
        <v>0</v>
      </c>
      <c r="M224" s="66">
        <f t="shared" si="42"/>
        <v>0</v>
      </c>
      <c r="N224" s="66"/>
      <c r="O224" s="66">
        <f t="shared" ref="O224:U224" si="43">SUM(O220:O223)</f>
        <v>1006480</v>
      </c>
      <c r="P224" s="66">
        <f t="shared" si="43"/>
        <v>1284945</v>
      </c>
      <c r="Q224" s="66">
        <f t="shared" si="43"/>
        <v>48</v>
      </c>
      <c r="R224" s="66">
        <f t="shared" si="43"/>
        <v>48</v>
      </c>
      <c r="S224" s="66">
        <f t="shared" si="43"/>
        <v>1284945</v>
      </c>
      <c r="T224" s="398">
        <f t="shared" si="43"/>
        <v>-2500</v>
      </c>
      <c r="U224" s="393">
        <f t="shared" si="43"/>
        <v>-2500</v>
      </c>
      <c r="V224" s="393">
        <f>SUM(V220:V223)</f>
        <v>0</v>
      </c>
    </row>
    <row r="225" spans="1:23" ht="50.15" customHeight="1" x14ac:dyDescent="0.35">
      <c r="A225" s="474" t="s">
        <v>253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333"/>
      <c r="N225" s="118"/>
      <c r="O225" s="118"/>
      <c r="P225" s="318"/>
      <c r="Q225" s="118"/>
      <c r="R225" s="118"/>
      <c r="S225" s="466"/>
      <c r="T225" s="461"/>
      <c r="U225" s="391"/>
      <c r="V225" s="391"/>
    </row>
    <row r="226" spans="1:23" ht="50.15" customHeight="1" x14ac:dyDescent="0.6">
      <c r="A226" s="59">
        <v>1413100211</v>
      </c>
      <c r="B226" s="60">
        <v>41</v>
      </c>
      <c r="C226" s="61" t="s">
        <v>14</v>
      </c>
      <c r="D226" s="61" t="s">
        <v>32</v>
      </c>
      <c r="E226" s="61"/>
      <c r="F226" s="61" t="s">
        <v>224</v>
      </c>
      <c r="G226" s="62">
        <v>22018.21</v>
      </c>
      <c r="H226" s="62">
        <v>20000</v>
      </c>
      <c r="I226" s="62">
        <v>4916.616</v>
      </c>
      <c r="J226" s="62">
        <v>5000</v>
      </c>
      <c r="K226" s="62">
        <v>20000</v>
      </c>
      <c r="L226" s="63"/>
      <c r="M226" s="63"/>
      <c r="N226" s="63"/>
      <c r="O226" s="62">
        <v>4916.616</v>
      </c>
      <c r="P226" s="62">
        <v>5000</v>
      </c>
      <c r="Q226" s="62">
        <v>12</v>
      </c>
      <c r="R226" s="62">
        <v>12</v>
      </c>
      <c r="S226" s="467">
        <f t="shared" si="41"/>
        <v>5000</v>
      </c>
      <c r="T226" s="432">
        <f>P226-K226</f>
        <v>-15000</v>
      </c>
      <c r="U226" s="62">
        <f>S226-K226</f>
        <v>-15000</v>
      </c>
      <c r="V226" s="62">
        <f>S226-P226</f>
        <v>0</v>
      </c>
    </row>
    <row r="227" spans="1:23" ht="50.15" customHeight="1" x14ac:dyDescent="0.6">
      <c r="A227" s="59">
        <v>1413200220</v>
      </c>
      <c r="B227" s="60">
        <v>41</v>
      </c>
      <c r="C227" s="61" t="s">
        <v>4</v>
      </c>
      <c r="D227" s="61" t="s">
        <v>32</v>
      </c>
      <c r="E227" s="61"/>
      <c r="F227" s="61" t="s">
        <v>225</v>
      </c>
      <c r="G227" s="62">
        <v>0</v>
      </c>
      <c r="H227" s="62">
        <v>0</v>
      </c>
      <c r="I227" s="62">
        <v>211.20000000000002</v>
      </c>
      <c r="J227" s="62">
        <v>0</v>
      </c>
      <c r="K227" s="62">
        <v>0</v>
      </c>
      <c r="L227" s="63"/>
      <c r="M227" s="63"/>
      <c r="N227" s="63"/>
      <c r="O227" s="62">
        <v>211.20000000000002</v>
      </c>
      <c r="P227" s="62">
        <v>0</v>
      </c>
      <c r="Q227" s="62">
        <v>12</v>
      </c>
      <c r="R227" s="62">
        <v>12</v>
      </c>
      <c r="S227" s="467">
        <f t="shared" si="41"/>
        <v>0</v>
      </c>
      <c r="T227" s="432">
        <f>P227-K227</f>
        <v>0</v>
      </c>
      <c r="U227" s="62">
        <f>S227-K227</f>
        <v>0</v>
      </c>
      <c r="V227" s="62">
        <f>S227-P227</f>
        <v>0</v>
      </c>
    </row>
    <row r="228" spans="1:23" ht="50.15" customHeight="1" thickBot="1" x14ac:dyDescent="0.65">
      <c r="A228" s="468">
        <v>1413300990</v>
      </c>
      <c r="B228" s="404">
        <v>41</v>
      </c>
      <c r="C228" s="405" t="s">
        <v>8</v>
      </c>
      <c r="D228" s="405" t="s">
        <v>8</v>
      </c>
      <c r="E228" s="405"/>
      <c r="F228" s="405" t="s">
        <v>226</v>
      </c>
      <c r="G228" s="399">
        <v>0</v>
      </c>
      <c r="H228" s="399">
        <v>0</v>
      </c>
      <c r="I228" s="399">
        <v>0</v>
      </c>
      <c r="J228" s="399">
        <v>0</v>
      </c>
      <c r="K228" s="399">
        <v>0</v>
      </c>
      <c r="L228" s="427"/>
      <c r="M228" s="427"/>
      <c r="N228" s="427"/>
      <c r="O228" s="399">
        <v>0</v>
      </c>
      <c r="P228" s="399">
        <v>0</v>
      </c>
      <c r="Q228" s="399">
        <v>0</v>
      </c>
      <c r="R228" s="399">
        <v>0</v>
      </c>
      <c r="S228" s="469">
        <v>0</v>
      </c>
      <c r="T228" s="432">
        <f>P228-K228</f>
        <v>0</v>
      </c>
      <c r="U228" s="62">
        <f>S228-K228</f>
        <v>0</v>
      </c>
      <c r="V228" s="62">
        <f>S228-P228</f>
        <v>0</v>
      </c>
    </row>
    <row r="229" spans="1:23" ht="50.15" customHeight="1" thickBot="1" x14ac:dyDescent="0.65">
      <c r="A229" s="407"/>
      <c r="B229" s="64"/>
      <c r="C229" s="65"/>
      <c r="D229" s="65"/>
      <c r="E229" s="65"/>
      <c r="F229" s="65"/>
      <c r="G229" s="66">
        <f t="shared" ref="G229:M229" si="44">SUM(G226:G228)</f>
        <v>22018.21</v>
      </c>
      <c r="H229" s="66">
        <f t="shared" si="44"/>
        <v>20000</v>
      </c>
      <c r="I229" s="66">
        <f t="shared" si="44"/>
        <v>5127.8159999999998</v>
      </c>
      <c r="J229" s="66">
        <f t="shared" si="44"/>
        <v>5000</v>
      </c>
      <c r="K229" s="66">
        <f t="shared" si="44"/>
        <v>20000</v>
      </c>
      <c r="L229" s="66">
        <f t="shared" si="44"/>
        <v>0</v>
      </c>
      <c r="M229" s="66">
        <f t="shared" si="44"/>
        <v>0</v>
      </c>
      <c r="N229" s="66"/>
      <c r="O229" s="66">
        <f t="shared" ref="O229:U229" si="45">SUM(O226:O228)</f>
        <v>5127.8159999999998</v>
      </c>
      <c r="P229" s="66">
        <f t="shared" si="45"/>
        <v>5000</v>
      </c>
      <c r="Q229" s="66">
        <f t="shared" si="45"/>
        <v>24</v>
      </c>
      <c r="R229" s="66">
        <f t="shared" si="45"/>
        <v>24</v>
      </c>
      <c r="S229" s="66">
        <f t="shared" si="45"/>
        <v>5000</v>
      </c>
      <c r="T229" s="398">
        <f t="shared" si="45"/>
        <v>-15000</v>
      </c>
      <c r="U229" s="393">
        <f t="shared" si="45"/>
        <v>-15000</v>
      </c>
      <c r="V229" s="393">
        <f>SUM(V226:V228)</f>
        <v>0</v>
      </c>
    </row>
    <row r="230" spans="1:23" ht="50.15" customHeight="1" x14ac:dyDescent="0.35">
      <c r="A230" s="474" t="s">
        <v>641</v>
      </c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333"/>
      <c r="N230" s="118"/>
      <c r="O230" s="118"/>
      <c r="P230" s="318"/>
      <c r="Q230" s="118"/>
      <c r="R230" s="118"/>
      <c r="S230" s="466"/>
      <c r="T230" s="461"/>
      <c r="U230" s="391"/>
      <c r="V230" s="391"/>
    </row>
    <row r="231" spans="1:23" ht="50.15" customHeight="1" x14ac:dyDescent="0.6">
      <c r="A231" s="59">
        <v>1432000510</v>
      </c>
      <c r="B231" s="60">
        <v>43</v>
      </c>
      <c r="C231" s="61" t="s">
        <v>4</v>
      </c>
      <c r="D231" s="61" t="s">
        <v>32</v>
      </c>
      <c r="E231" s="61"/>
      <c r="F231" s="61" t="s">
        <v>2148</v>
      </c>
      <c r="G231" s="62">
        <v>897575</v>
      </c>
      <c r="H231" s="62">
        <v>898000</v>
      </c>
      <c r="I231" s="62">
        <v>1098000</v>
      </c>
      <c r="J231" s="62">
        <v>1596000</v>
      </c>
      <c r="K231" s="62">
        <v>1098000</v>
      </c>
      <c r="L231" s="63"/>
      <c r="M231" s="63"/>
      <c r="N231" s="63"/>
      <c r="O231" s="242">
        <v>826012</v>
      </c>
      <c r="P231" s="62">
        <v>898000</v>
      </c>
      <c r="Q231" s="62">
        <v>12</v>
      </c>
      <c r="R231" s="62">
        <v>12</v>
      </c>
      <c r="S231" s="467">
        <f>P231*Q231/R231+400000</f>
        <v>1298000</v>
      </c>
      <c r="T231" s="432">
        <f>P231-K231</f>
        <v>-200000</v>
      </c>
      <c r="U231" s="62">
        <f>S231-K231</f>
        <v>200000</v>
      </c>
      <c r="V231" s="62">
        <f>S231-P231</f>
        <v>400000</v>
      </c>
      <c r="W231" s="338" t="s">
        <v>814</v>
      </c>
    </row>
    <row r="232" spans="1:23" ht="50.15" customHeight="1" thickBot="1" x14ac:dyDescent="0.65">
      <c r="A232" s="468">
        <v>1432000640</v>
      </c>
      <c r="B232" s="404">
        <v>43</v>
      </c>
      <c r="C232" s="405" t="s">
        <v>4</v>
      </c>
      <c r="D232" s="405" t="s">
        <v>32</v>
      </c>
      <c r="E232" s="405"/>
      <c r="F232" s="405" t="s">
        <v>228</v>
      </c>
      <c r="G232" s="399">
        <v>265187.74</v>
      </c>
      <c r="H232" s="399">
        <v>266000</v>
      </c>
      <c r="I232" s="399">
        <v>137000</v>
      </c>
      <c r="J232" s="399">
        <v>269964</v>
      </c>
      <c r="K232" s="399">
        <v>266000</v>
      </c>
      <c r="L232" s="427"/>
      <c r="M232" s="427"/>
      <c r="N232" s="427"/>
      <c r="O232" s="428">
        <v>137000</v>
      </c>
      <c r="P232" s="399">
        <f>269964</f>
        <v>269964</v>
      </c>
      <c r="Q232" s="399">
        <v>12</v>
      </c>
      <c r="R232" s="399">
        <v>12</v>
      </c>
      <c r="S232" s="469">
        <f>P232*Q232/R232</f>
        <v>269964</v>
      </c>
      <c r="T232" s="432">
        <f>P232-K232</f>
        <v>3964</v>
      </c>
      <c r="U232" s="62">
        <f>S232-K232</f>
        <v>3964</v>
      </c>
      <c r="V232" s="62">
        <f>S232-P232</f>
        <v>0</v>
      </c>
      <c r="W232" s="338" t="s">
        <v>815</v>
      </c>
    </row>
    <row r="233" spans="1:23" ht="50.15" customHeight="1" thickBot="1" x14ac:dyDescent="0.65">
      <c r="A233" s="407"/>
      <c r="B233" s="64"/>
      <c r="C233" s="65"/>
      <c r="D233" s="65"/>
      <c r="E233" s="65"/>
      <c r="F233" s="65"/>
      <c r="G233" s="66">
        <f t="shared" ref="G233:M233" si="46">SUM(G231:G232)</f>
        <v>1162762.74</v>
      </c>
      <c r="H233" s="66">
        <f t="shared" si="46"/>
        <v>1164000</v>
      </c>
      <c r="I233" s="66">
        <f t="shared" si="46"/>
        <v>1235000</v>
      </c>
      <c r="J233" s="66">
        <f t="shared" si="46"/>
        <v>1865964</v>
      </c>
      <c r="K233" s="66">
        <f t="shared" si="46"/>
        <v>1364000</v>
      </c>
      <c r="L233" s="66">
        <f t="shared" si="46"/>
        <v>0</v>
      </c>
      <c r="M233" s="66">
        <f t="shared" si="46"/>
        <v>0</v>
      </c>
      <c r="N233" s="66"/>
      <c r="O233" s="66">
        <f t="shared" ref="O233:U233" si="47">SUM(O231:O232)</f>
        <v>963012</v>
      </c>
      <c r="P233" s="66">
        <f t="shared" si="47"/>
        <v>1167964</v>
      </c>
      <c r="Q233" s="66">
        <f t="shared" si="47"/>
        <v>24</v>
      </c>
      <c r="R233" s="66">
        <f t="shared" si="47"/>
        <v>24</v>
      </c>
      <c r="S233" s="66">
        <f t="shared" si="47"/>
        <v>1567964</v>
      </c>
      <c r="T233" s="398">
        <f t="shared" si="47"/>
        <v>-196036</v>
      </c>
      <c r="U233" s="393">
        <f t="shared" si="47"/>
        <v>203964</v>
      </c>
      <c r="V233" s="393">
        <f>SUM(V231:V232)</f>
        <v>400000</v>
      </c>
    </row>
    <row r="234" spans="1:23" ht="50.15" customHeight="1" x14ac:dyDescent="0.35">
      <c r="A234" s="474" t="s">
        <v>642</v>
      </c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333"/>
      <c r="N234" s="118"/>
      <c r="O234" s="118"/>
      <c r="P234" s="318"/>
      <c r="Q234" s="118"/>
      <c r="R234" s="118"/>
      <c r="S234" s="466"/>
      <c r="T234" s="461"/>
      <c r="U234" s="391"/>
      <c r="V234" s="391"/>
    </row>
    <row r="235" spans="1:23" ht="50.15" customHeight="1" x14ac:dyDescent="0.6">
      <c r="A235" s="59">
        <v>1472000212</v>
      </c>
      <c r="B235" s="60">
        <v>47</v>
      </c>
      <c r="C235" s="61" t="s">
        <v>4</v>
      </c>
      <c r="D235" s="61" t="s">
        <v>32</v>
      </c>
      <c r="E235" s="61"/>
      <c r="F235" s="61" t="s">
        <v>229</v>
      </c>
      <c r="G235" s="62">
        <v>2009.9</v>
      </c>
      <c r="H235" s="62">
        <v>2000</v>
      </c>
      <c r="I235" s="62">
        <v>551.89200000000005</v>
      </c>
      <c r="J235" s="62">
        <v>2000</v>
      </c>
      <c r="K235" s="62">
        <v>2000</v>
      </c>
      <c r="L235" s="63"/>
      <c r="M235" s="63"/>
      <c r="N235" s="63"/>
      <c r="O235" s="62">
        <v>551.89200000000005</v>
      </c>
      <c r="P235" s="62">
        <v>500</v>
      </c>
      <c r="Q235" s="62">
        <v>12</v>
      </c>
      <c r="R235" s="62">
        <v>12</v>
      </c>
      <c r="S235" s="467">
        <f t="shared" ref="S235:S243" si="48">P235*Q235/R235</f>
        <v>500</v>
      </c>
      <c r="T235" s="432">
        <f>P235-K235</f>
        <v>-1500</v>
      </c>
      <c r="U235" s="62">
        <f>S235-K235</f>
        <v>-1500</v>
      </c>
      <c r="V235" s="62">
        <f>S235-P235</f>
        <v>0</v>
      </c>
    </row>
    <row r="236" spans="1:23" ht="50.15" customHeight="1" x14ac:dyDescent="0.6">
      <c r="A236" s="59">
        <v>1472000590</v>
      </c>
      <c r="B236" s="60">
        <v>47</v>
      </c>
      <c r="C236" s="61" t="s">
        <v>4</v>
      </c>
      <c r="D236" s="61" t="s">
        <v>32</v>
      </c>
      <c r="E236" s="61"/>
      <c r="F236" s="61" t="s">
        <v>230</v>
      </c>
      <c r="G236" s="62">
        <v>244800</v>
      </c>
      <c r="H236" s="62">
        <v>245000</v>
      </c>
      <c r="I236" s="62">
        <v>245000</v>
      </c>
      <c r="J236" s="62">
        <v>245000</v>
      </c>
      <c r="K236" s="62">
        <v>245000</v>
      </c>
      <c r="L236" s="63"/>
      <c r="M236" s="63"/>
      <c r="N236" s="63"/>
      <c r="O236" s="62">
        <v>118201</v>
      </c>
      <c r="P236" s="62">
        <v>245000</v>
      </c>
      <c r="Q236" s="62">
        <v>12</v>
      </c>
      <c r="R236" s="62">
        <v>12</v>
      </c>
      <c r="S236" s="467">
        <f t="shared" si="48"/>
        <v>245000</v>
      </c>
      <c r="T236" s="432">
        <f>P236-K236</f>
        <v>0</v>
      </c>
      <c r="U236" s="62">
        <f>S236-K236</f>
        <v>0</v>
      </c>
      <c r="V236" s="62">
        <f>S236-P236</f>
        <v>0</v>
      </c>
      <c r="W236" s="153" t="s">
        <v>817</v>
      </c>
    </row>
    <row r="237" spans="1:23" ht="50.15" customHeight="1" thickBot="1" x14ac:dyDescent="0.65">
      <c r="A237" s="468">
        <v>1473000591</v>
      </c>
      <c r="B237" s="404">
        <v>47</v>
      </c>
      <c r="C237" s="405" t="s">
        <v>4</v>
      </c>
      <c r="D237" s="405" t="s">
        <v>32</v>
      </c>
      <c r="E237" s="405"/>
      <c r="F237" s="405" t="s">
        <v>231</v>
      </c>
      <c r="G237" s="399">
        <v>216884</v>
      </c>
      <c r="H237" s="399">
        <v>225202</v>
      </c>
      <c r="I237" s="399">
        <v>499864.80000000005</v>
      </c>
      <c r="J237" s="399">
        <v>0</v>
      </c>
      <c r="K237" s="399">
        <v>225202</v>
      </c>
      <c r="L237" s="427"/>
      <c r="M237" s="427"/>
      <c r="N237" s="427"/>
      <c r="O237" s="428">
        <v>695412</v>
      </c>
      <c r="P237" s="399">
        <v>225202</v>
      </c>
      <c r="Q237" s="399">
        <v>12</v>
      </c>
      <c r="R237" s="399">
        <v>12</v>
      </c>
      <c r="S237" s="469">
        <v>225202</v>
      </c>
      <c r="T237" s="432">
        <f>P237-K237</f>
        <v>0</v>
      </c>
      <c r="U237" s="62">
        <f>S237-K237</f>
        <v>0</v>
      </c>
      <c r="V237" s="399">
        <f>S237-P237</f>
        <v>0</v>
      </c>
      <c r="W237" s="153" t="s">
        <v>816</v>
      </c>
    </row>
    <row r="238" spans="1:23" ht="50.15" customHeight="1" thickBot="1" x14ac:dyDescent="0.65">
      <c r="A238" s="407"/>
      <c r="B238" s="401"/>
      <c r="C238" s="402"/>
      <c r="D238" s="65"/>
      <c r="E238" s="65"/>
      <c r="F238" s="403"/>
      <c r="G238" s="408">
        <f t="shared" ref="G238:M238" si="49">SUM(G235:G237)</f>
        <v>463693.9</v>
      </c>
      <c r="H238" s="66">
        <f t="shared" si="49"/>
        <v>472202</v>
      </c>
      <c r="I238" s="66">
        <f t="shared" si="49"/>
        <v>745416.69200000004</v>
      </c>
      <c r="J238" s="66">
        <f t="shared" si="49"/>
        <v>247000</v>
      </c>
      <c r="K238" s="66">
        <f t="shared" si="49"/>
        <v>472202</v>
      </c>
      <c r="L238" s="66">
        <f t="shared" si="49"/>
        <v>0</v>
      </c>
      <c r="M238" s="66">
        <f t="shared" si="49"/>
        <v>0</v>
      </c>
      <c r="N238" s="66"/>
      <c r="O238" s="390">
        <f t="shared" ref="O238:U238" si="50">SUM(O235:O237)</f>
        <v>814164.89199999999</v>
      </c>
      <c r="P238" s="66">
        <f t="shared" si="50"/>
        <v>470702</v>
      </c>
      <c r="Q238" s="66">
        <f t="shared" si="50"/>
        <v>36</v>
      </c>
      <c r="R238" s="66">
        <f t="shared" si="50"/>
        <v>36</v>
      </c>
      <c r="S238" s="66">
        <f t="shared" si="50"/>
        <v>470702</v>
      </c>
      <c r="T238" s="398">
        <f t="shared" si="50"/>
        <v>-1500</v>
      </c>
      <c r="U238" s="396">
        <f t="shared" si="50"/>
        <v>-1500</v>
      </c>
      <c r="V238" s="66">
        <f>SUM(V235:V237)</f>
        <v>0</v>
      </c>
      <c r="W238" s="498">
        <f>P237-K237</f>
        <v>0</v>
      </c>
    </row>
    <row r="239" spans="1:23" ht="50.15" customHeight="1" x14ac:dyDescent="0.35">
      <c r="A239" s="474" t="s">
        <v>670</v>
      </c>
      <c r="B239" s="328"/>
      <c r="C239" s="328"/>
      <c r="D239" s="118"/>
      <c r="E239" s="118"/>
      <c r="F239" s="328"/>
      <c r="G239" s="118"/>
      <c r="H239" s="118"/>
      <c r="I239" s="118"/>
      <c r="J239" s="118"/>
      <c r="K239" s="118"/>
      <c r="L239" s="118"/>
      <c r="M239" s="333"/>
      <c r="N239" s="118"/>
      <c r="O239" s="118"/>
      <c r="P239" s="329"/>
      <c r="Q239" s="328"/>
      <c r="R239" s="328"/>
      <c r="S239" s="471"/>
      <c r="T239" s="461"/>
      <c r="U239" s="391"/>
      <c r="V239" s="400"/>
    </row>
    <row r="240" spans="1:23" ht="50.15" customHeight="1" x14ac:dyDescent="0.6">
      <c r="A240" s="59">
        <v>1590000590</v>
      </c>
      <c r="B240" s="60">
        <v>59</v>
      </c>
      <c r="C240" s="61" t="s">
        <v>15</v>
      </c>
      <c r="D240" s="61" t="s">
        <v>32</v>
      </c>
      <c r="E240" s="61"/>
      <c r="F240" s="61" t="s">
        <v>232</v>
      </c>
      <c r="G240" s="62">
        <v>687045.67</v>
      </c>
      <c r="H240" s="62">
        <v>693027.27</v>
      </c>
      <c r="I240" s="62">
        <v>583353.15599999996</v>
      </c>
      <c r="J240" s="62">
        <v>600000</v>
      </c>
      <c r="K240" s="62">
        <v>693027.27272727271</v>
      </c>
      <c r="L240" s="63"/>
      <c r="M240" s="63"/>
      <c r="N240" s="63"/>
      <c r="O240" s="242">
        <v>591077.18000000005</v>
      </c>
      <c r="P240" s="62">
        <v>590000</v>
      </c>
      <c r="Q240" s="62">
        <v>12</v>
      </c>
      <c r="R240" s="62">
        <v>12</v>
      </c>
      <c r="S240" s="467">
        <f t="shared" si="48"/>
        <v>590000</v>
      </c>
      <c r="T240" s="432">
        <f>P240-K240</f>
        <v>-103027.27272727271</v>
      </c>
      <c r="U240" s="62">
        <f>S240-K240</f>
        <v>-103027.27272727271</v>
      </c>
      <c r="V240" s="62">
        <f>S240-P240</f>
        <v>0</v>
      </c>
      <c r="W240" s="338" t="s">
        <v>818</v>
      </c>
    </row>
    <row r="241" spans="1:23" ht="50.15" customHeight="1" x14ac:dyDescent="0.6">
      <c r="A241" s="59">
        <v>1590000730</v>
      </c>
      <c r="B241" s="60">
        <v>59</v>
      </c>
      <c r="C241" s="61" t="s">
        <v>15</v>
      </c>
      <c r="D241" s="61" t="s">
        <v>32</v>
      </c>
      <c r="E241" s="61"/>
      <c r="F241" s="61" t="s">
        <v>233</v>
      </c>
      <c r="G241" s="62">
        <v>136843</v>
      </c>
      <c r="H241" s="62">
        <v>136000</v>
      </c>
      <c r="I241" s="62">
        <v>65169.600000000006</v>
      </c>
      <c r="J241" s="62">
        <v>75000</v>
      </c>
      <c r="K241" s="62">
        <v>136000</v>
      </c>
      <c r="L241" s="63"/>
      <c r="M241" s="63"/>
      <c r="N241" s="63"/>
      <c r="O241" s="242">
        <v>91490.65</v>
      </c>
      <c r="P241" s="62">
        <v>92000</v>
      </c>
      <c r="Q241" s="62">
        <v>12</v>
      </c>
      <c r="R241" s="62">
        <v>12</v>
      </c>
      <c r="S241" s="467">
        <f t="shared" si="48"/>
        <v>92000</v>
      </c>
      <c r="T241" s="432">
        <f>P241-K241</f>
        <v>-44000</v>
      </c>
      <c r="U241" s="62">
        <f>S241-K241</f>
        <v>-44000</v>
      </c>
      <c r="V241" s="62">
        <f>S241-P241</f>
        <v>0</v>
      </c>
      <c r="W241" s="338" t="s">
        <v>819</v>
      </c>
    </row>
    <row r="242" spans="1:23" ht="50.15" customHeight="1" x14ac:dyDescent="0.6">
      <c r="A242" s="59">
        <v>1599000910</v>
      </c>
      <c r="B242" s="60">
        <v>59</v>
      </c>
      <c r="C242" s="61" t="s">
        <v>617</v>
      </c>
      <c r="D242" s="61" t="s">
        <v>32</v>
      </c>
      <c r="E242" s="61"/>
      <c r="F242" s="61" t="s">
        <v>16</v>
      </c>
      <c r="G242" s="62">
        <v>5500000</v>
      </c>
      <c r="H242" s="62">
        <v>12000000</v>
      </c>
      <c r="I242" s="62">
        <v>8259000</v>
      </c>
      <c r="J242" s="62">
        <v>0</v>
      </c>
      <c r="K242" s="62"/>
      <c r="L242" s="63"/>
      <c r="M242" s="63"/>
      <c r="N242" s="63"/>
      <c r="O242" s="62">
        <v>8259000</v>
      </c>
      <c r="P242" s="62">
        <v>0</v>
      </c>
      <c r="Q242" s="62">
        <v>12</v>
      </c>
      <c r="R242" s="62">
        <v>12</v>
      </c>
      <c r="S242" s="467">
        <f t="shared" si="48"/>
        <v>0</v>
      </c>
      <c r="T242" s="432">
        <f>P242-K242</f>
        <v>0</v>
      </c>
      <c r="U242" s="62">
        <f>S242-K242</f>
        <v>0</v>
      </c>
      <c r="V242" s="62">
        <f>S242-P242</f>
        <v>0</v>
      </c>
    </row>
    <row r="243" spans="1:23" ht="50.15" customHeight="1" thickBot="1" x14ac:dyDescent="0.65">
      <c r="A243" s="468" t="s">
        <v>1</v>
      </c>
      <c r="B243" s="404">
        <v>59</v>
      </c>
      <c r="C243" s="405" t="s">
        <v>29</v>
      </c>
      <c r="D243" s="405" t="s">
        <v>32</v>
      </c>
      <c r="E243" s="405"/>
      <c r="F243" s="405" t="s">
        <v>581</v>
      </c>
      <c r="G243" s="399" t="s">
        <v>8</v>
      </c>
      <c r="H243" s="399" t="s">
        <v>8</v>
      </c>
      <c r="I243" s="399">
        <v>0</v>
      </c>
      <c r="J243" s="399"/>
      <c r="K243" s="399">
        <v>900000</v>
      </c>
      <c r="L243" s="427"/>
      <c r="M243" s="427"/>
      <c r="N243" s="427"/>
      <c r="O243" s="399">
        <v>0</v>
      </c>
      <c r="P243" s="399"/>
      <c r="Q243" s="399">
        <v>12</v>
      </c>
      <c r="R243" s="399">
        <v>12</v>
      </c>
      <c r="S243" s="469">
        <f t="shared" si="48"/>
        <v>0</v>
      </c>
      <c r="T243" s="432">
        <f>P243-K243</f>
        <v>-900000</v>
      </c>
      <c r="U243" s="62">
        <f>S243-K243</f>
        <v>-900000</v>
      </c>
      <c r="V243" s="62">
        <f>S243-P243</f>
        <v>0</v>
      </c>
    </row>
    <row r="244" spans="1:23" ht="50.15" customHeight="1" thickBot="1" x14ac:dyDescent="0.65">
      <c r="A244" s="407"/>
      <c r="B244" s="64"/>
      <c r="C244" s="65"/>
      <c r="D244" s="65"/>
      <c r="E244" s="65"/>
      <c r="F244" s="65"/>
      <c r="G244" s="66">
        <f t="shared" ref="G244:M244" si="51">SUM(G240:G243)</f>
        <v>6323888.6699999999</v>
      </c>
      <c r="H244" s="66">
        <f t="shared" si="51"/>
        <v>12829027.27</v>
      </c>
      <c r="I244" s="66">
        <f t="shared" si="51"/>
        <v>8907522.7559999991</v>
      </c>
      <c r="J244" s="66">
        <f t="shared" si="51"/>
        <v>675000</v>
      </c>
      <c r="K244" s="66">
        <f t="shared" si="51"/>
        <v>1729027.2727272727</v>
      </c>
      <c r="L244" s="66">
        <f t="shared" si="51"/>
        <v>0</v>
      </c>
      <c r="M244" s="66">
        <f t="shared" si="51"/>
        <v>0</v>
      </c>
      <c r="N244" s="66"/>
      <c r="O244" s="66">
        <f t="shared" ref="O244:V244" si="52">SUM(O240:O243)</f>
        <v>8941567.8300000001</v>
      </c>
      <c r="P244" s="66">
        <f t="shared" si="52"/>
        <v>682000</v>
      </c>
      <c r="Q244" s="66">
        <f t="shared" si="52"/>
        <v>48</v>
      </c>
      <c r="R244" s="66">
        <f t="shared" si="52"/>
        <v>48</v>
      </c>
      <c r="S244" s="66">
        <f t="shared" si="52"/>
        <v>682000</v>
      </c>
      <c r="T244" s="398">
        <f t="shared" si="52"/>
        <v>-1047027.2727272727</v>
      </c>
      <c r="U244" s="393">
        <f t="shared" si="52"/>
        <v>-1047027.2727272727</v>
      </c>
      <c r="V244" s="393">
        <f t="shared" si="52"/>
        <v>0</v>
      </c>
    </row>
    <row r="245" spans="1:23" ht="50.15" customHeight="1" thickBot="1" x14ac:dyDescent="0.65">
      <c r="A245" s="475"/>
      <c r="B245" s="68"/>
      <c r="C245" s="67"/>
      <c r="D245" s="67"/>
      <c r="E245" s="67"/>
      <c r="F245" s="67" t="s">
        <v>616</v>
      </c>
      <c r="G245" s="69">
        <f t="shared" ref="G245:M245" si="53">G244+G238+G233+G229+G224+G218+G214+G126+G123+G114+G63+G28+G14+G7</f>
        <v>179418068.5</v>
      </c>
      <c r="H245" s="69">
        <f t="shared" si="53"/>
        <v>188618275.93000001</v>
      </c>
      <c r="I245" s="69">
        <f t="shared" si="53"/>
        <v>189962335.11200002</v>
      </c>
      <c r="J245" s="69">
        <f t="shared" si="53"/>
        <v>186327292.00945178</v>
      </c>
      <c r="K245" s="69">
        <f t="shared" si="53"/>
        <v>180715638.09674677</v>
      </c>
      <c r="L245" s="69">
        <f t="shared" si="53"/>
        <v>0</v>
      </c>
      <c r="M245" s="78">
        <f t="shared" si="53"/>
        <v>0</v>
      </c>
      <c r="N245" s="127"/>
      <c r="O245" s="69">
        <f t="shared" ref="O245:V245" si="54">O244+O238+O233+O229+O224+O218+O214+O126+O123+O114+O63+O28+O14+O7</f>
        <v>189763911.178</v>
      </c>
      <c r="P245" s="69">
        <f t="shared" si="54"/>
        <v>187951378.724675</v>
      </c>
      <c r="Q245" s="69">
        <f t="shared" si="54"/>
        <v>2496.5509999999999</v>
      </c>
      <c r="R245" s="69">
        <f t="shared" si="54"/>
        <v>2532</v>
      </c>
      <c r="S245" s="78">
        <f t="shared" si="54"/>
        <v>190632570.724675</v>
      </c>
      <c r="T245" s="448">
        <f t="shared" si="54"/>
        <v>7235740.6279282197</v>
      </c>
      <c r="U245" s="394">
        <f t="shared" si="54"/>
        <v>9416932.6279282197</v>
      </c>
      <c r="V245" s="394">
        <f t="shared" si="54"/>
        <v>2181192</v>
      </c>
    </row>
    <row r="246" spans="1:23" ht="50.15" customHeight="1" thickBot="1" x14ac:dyDescent="0.65">
      <c r="A246" s="476"/>
      <c r="B246" s="71"/>
      <c r="C246" s="70"/>
      <c r="D246" s="70"/>
      <c r="E246" s="70"/>
      <c r="F246" s="70"/>
      <c r="G246" s="72"/>
      <c r="H246" s="72"/>
      <c r="I246" s="72"/>
      <c r="J246" s="72"/>
      <c r="K246" s="72"/>
      <c r="L246" s="73"/>
      <c r="M246" s="73"/>
      <c r="N246" s="73"/>
      <c r="O246" s="72"/>
      <c r="P246" s="72"/>
      <c r="Q246" s="72"/>
      <c r="R246" s="72"/>
      <c r="S246" s="477"/>
      <c r="T246" s="462"/>
      <c r="U246" s="122"/>
      <c r="V246" s="122"/>
    </row>
    <row r="247" spans="1:23" ht="50.15" customHeight="1" thickBot="1" x14ac:dyDescent="0.4">
      <c r="A247" s="478"/>
      <c r="B247" s="79"/>
      <c r="C247" s="79"/>
      <c r="D247" s="79"/>
      <c r="E247" s="79"/>
      <c r="F247" s="80" t="s">
        <v>648</v>
      </c>
      <c r="G247" s="79"/>
      <c r="H247" s="79"/>
      <c r="I247" s="79"/>
      <c r="J247" s="79"/>
      <c r="K247" s="79"/>
      <c r="L247" s="79"/>
      <c r="M247" s="81"/>
      <c r="N247" s="79"/>
      <c r="O247" s="79"/>
      <c r="P247" s="316"/>
      <c r="Q247" s="79"/>
      <c r="R247" s="79"/>
      <c r="S247" s="479"/>
      <c r="T247" s="463"/>
      <c r="U247" s="392"/>
      <c r="V247" s="392"/>
    </row>
    <row r="248" spans="1:23" ht="50.15" customHeight="1" thickBot="1" x14ac:dyDescent="0.4">
      <c r="A248" s="480" t="s">
        <v>671</v>
      </c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7"/>
      <c r="O248" s="57"/>
      <c r="P248" s="317"/>
      <c r="Q248" s="57"/>
      <c r="R248" s="57"/>
      <c r="S248" s="481"/>
      <c r="T248" s="461"/>
      <c r="U248" s="391"/>
      <c r="V248" s="391"/>
    </row>
    <row r="249" spans="1:23" s="243" customFormat="1" ht="50.15" customHeight="1" x14ac:dyDescent="0.6">
      <c r="A249" s="472">
        <v>1611000110</v>
      </c>
      <c r="B249" s="334">
        <v>61</v>
      </c>
      <c r="C249" s="335" t="s">
        <v>17</v>
      </c>
      <c r="D249" s="335" t="s">
        <v>33</v>
      </c>
      <c r="E249" s="335" t="s">
        <v>583</v>
      </c>
      <c r="F249" s="335" t="s">
        <v>234</v>
      </c>
      <c r="G249" s="281">
        <v>472486.65</v>
      </c>
      <c r="H249" s="281">
        <v>0</v>
      </c>
      <c r="I249" s="281">
        <v>0</v>
      </c>
      <c r="J249" s="281">
        <v>0</v>
      </c>
      <c r="K249" s="281">
        <v>0</v>
      </c>
      <c r="L249" s="280">
        <v>0</v>
      </c>
      <c r="M249" s="336">
        <v>0</v>
      </c>
      <c r="N249" s="319">
        <v>0</v>
      </c>
      <c r="O249" s="281">
        <v>0</v>
      </c>
      <c r="P249" s="281">
        <v>0</v>
      </c>
      <c r="Q249" s="281">
        <v>0</v>
      </c>
      <c r="R249" s="281">
        <v>0</v>
      </c>
      <c r="S249" s="482">
        <v>0</v>
      </c>
      <c r="T249" s="432">
        <f>P249-K249</f>
        <v>0</v>
      </c>
      <c r="U249" s="62">
        <f>S249-K249</f>
        <v>0</v>
      </c>
      <c r="V249" s="62">
        <f t="shared" ref="V249:V280" si="55">S249-P249</f>
        <v>0</v>
      </c>
      <c r="W249" s="156" t="s">
        <v>2137</v>
      </c>
    </row>
    <row r="250" spans="1:23" ht="50.15" customHeight="1" x14ac:dyDescent="0.6">
      <c r="A250" s="440">
        <v>1611000510</v>
      </c>
      <c r="B250" s="120">
        <v>61</v>
      </c>
      <c r="C250" s="121" t="s">
        <v>18</v>
      </c>
      <c r="D250" s="121" t="s">
        <v>33</v>
      </c>
      <c r="E250" s="121"/>
      <c r="F250" s="121" t="s">
        <v>235</v>
      </c>
      <c r="G250" s="122">
        <v>8494.92</v>
      </c>
      <c r="H250" s="122">
        <v>11000</v>
      </c>
      <c r="I250" s="122">
        <v>13000</v>
      </c>
      <c r="J250" s="122">
        <v>13000</v>
      </c>
      <c r="K250" s="122">
        <v>11000</v>
      </c>
      <c r="L250" s="123"/>
      <c r="M250" s="123"/>
      <c r="N250" s="123"/>
      <c r="O250" s="122">
        <v>13000</v>
      </c>
      <c r="P250" s="122">
        <v>13000</v>
      </c>
      <c r="Q250" s="122">
        <v>12</v>
      </c>
      <c r="R250" s="122">
        <v>12</v>
      </c>
      <c r="S250" s="441">
        <f t="shared" ref="S250:S313" si="56">P250*Q250/R250</f>
        <v>13000</v>
      </c>
      <c r="T250" s="432">
        <f t="shared" ref="T250:T299" si="57">P250-K250</f>
        <v>2000</v>
      </c>
      <c r="U250" s="62">
        <f t="shared" ref="U250:U299" si="58">S250-K250</f>
        <v>2000</v>
      </c>
      <c r="V250" s="62">
        <f t="shared" si="55"/>
        <v>0</v>
      </c>
    </row>
    <row r="251" spans="1:23" ht="50.15" customHeight="1" x14ac:dyDescent="0.6">
      <c r="A251" s="440">
        <v>1611000512</v>
      </c>
      <c r="B251" s="120">
        <v>61</v>
      </c>
      <c r="C251" s="121" t="s">
        <v>18</v>
      </c>
      <c r="D251" s="121" t="s">
        <v>33</v>
      </c>
      <c r="E251" s="121"/>
      <c r="F251" s="121" t="s">
        <v>236</v>
      </c>
      <c r="G251" s="122">
        <v>1915</v>
      </c>
      <c r="H251" s="122">
        <v>2000</v>
      </c>
      <c r="I251" s="122">
        <v>3700.7159999999994</v>
      </c>
      <c r="J251" s="122">
        <v>4000</v>
      </c>
      <c r="K251" s="122">
        <v>2000</v>
      </c>
      <c r="L251" s="123"/>
      <c r="M251" s="123"/>
      <c r="N251" s="123"/>
      <c r="O251" s="122">
        <v>3084</v>
      </c>
      <c r="P251" s="122"/>
      <c r="Q251" s="122">
        <v>12</v>
      </c>
      <c r="R251" s="122">
        <v>12</v>
      </c>
      <c r="S251" s="441">
        <f t="shared" si="56"/>
        <v>0</v>
      </c>
      <c r="T251" s="432">
        <f t="shared" si="57"/>
        <v>-2000</v>
      </c>
      <c r="U251" s="62">
        <f t="shared" si="58"/>
        <v>-2000</v>
      </c>
      <c r="V251" s="62">
        <f t="shared" si="55"/>
        <v>0</v>
      </c>
    </row>
    <row r="252" spans="1:23" ht="50.15" customHeight="1" x14ac:dyDescent="0.6">
      <c r="A252" s="440">
        <v>1611000513</v>
      </c>
      <c r="B252" s="120">
        <v>61</v>
      </c>
      <c r="C252" s="121" t="s">
        <v>18</v>
      </c>
      <c r="D252" s="121" t="s">
        <v>33</v>
      </c>
      <c r="E252" s="121"/>
      <c r="F252" s="121" t="s">
        <v>237</v>
      </c>
      <c r="G252" s="122">
        <v>12000</v>
      </c>
      <c r="H252" s="122">
        <v>12000</v>
      </c>
      <c r="I252" s="122">
        <v>0</v>
      </c>
      <c r="J252" s="122">
        <v>12000</v>
      </c>
      <c r="K252" s="122">
        <v>12000</v>
      </c>
      <c r="L252" s="123"/>
      <c r="M252" s="123"/>
      <c r="N252" s="123"/>
      <c r="O252" s="122">
        <v>12000</v>
      </c>
      <c r="P252" s="122">
        <v>12000</v>
      </c>
      <c r="Q252" s="122">
        <v>12</v>
      </c>
      <c r="R252" s="122">
        <v>12</v>
      </c>
      <c r="S252" s="441">
        <f t="shared" si="56"/>
        <v>12000</v>
      </c>
      <c r="T252" s="432">
        <f t="shared" si="57"/>
        <v>0</v>
      </c>
      <c r="U252" s="62">
        <f t="shared" si="58"/>
        <v>0</v>
      </c>
      <c r="V252" s="62">
        <f t="shared" si="55"/>
        <v>0</v>
      </c>
      <c r="W252" s="338" t="s">
        <v>820</v>
      </c>
    </row>
    <row r="253" spans="1:23" ht="50.15" customHeight="1" x14ac:dyDescent="0.6">
      <c r="A253" s="440">
        <v>1611000520</v>
      </c>
      <c r="B253" s="120">
        <v>61</v>
      </c>
      <c r="C253" s="121" t="s">
        <v>18</v>
      </c>
      <c r="D253" s="121" t="s">
        <v>33</v>
      </c>
      <c r="E253" s="121"/>
      <c r="F253" s="121" t="s">
        <v>238</v>
      </c>
      <c r="G253" s="122">
        <v>0</v>
      </c>
      <c r="H253" s="122">
        <v>2000</v>
      </c>
      <c r="I253" s="122">
        <v>3340.7999999999997</v>
      </c>
      <c r="J253" s="122">
        <v>2000</v>
      </c>
      <c r="K253" s="122">
        <v>2000</v>
      </c>
      <c r="L253" s="123"/>
      <c r="M253" s="123"/>
      <c r="N253" s="123"/>
      <c r="O253" s="122">
        <v>2784</v>
      </c>
      <c r="P253" s="122">
        <v>2000</v>
      </c>
      <c r="Q253" s="122">
        <v>12</v>
      </c>
      <c r="R253" s="122">
        <v>12</v>
      </c>
      <c r="S253" s="441">
        <f t="shared" si="56"/>
        <v>2000</v>
      </c>
      <c r="T253" s="432">
        <f t="shared" si="57"/>
        <v>0</v>
      </c>
      <c r="U253" s="62">
        <f t="shared" si="58"/>
        <v>0</v>
      </c>
      <c r="V253" s="62">
        <f t="shared" si="55"/>
        <v>0</v>
      </c>
    </row>
    <row r="254" spans="1:23" ht="50.15" customHeight="1" x14ac:dyDescent="0.6">
      <c r="A254" s="440">
        <v>1611000531</v>
      </c>
      <c r="B254" s="120">
        <v>61</v>
      </c>
      <c r="C254" s="121" t="s">
        <v>18</v>
      </c>
      <c r="D254" s="121" t="s">
        <v>33</v>
      </c>
      <c r="E254" s="121"/>
      <c r="F254" s="121" t="s">
        <v>239</v>
      </c>
      <c r="G254" s="122">
        <v>32721.83</v>
      </c>
      <c r="H254" s="122">
        <v>39000</v>
      </c>
      <c r="I254" s="122">
        <v>29374.776000000002</v>
      </c>
      <c r="J254" s="122">
        <v>66960</v>
      </c>
      <c r="K254" s="122">
        <v>39000</v>
      </c>
      <c r="L254" s="123"/>
      <c r="M254" s="123"/>
      <c r="N254" s="123"/>
      <c r="O254" s="122">
        <f>21208+20000</f>
        <v>41208</v>
      </c>
      <c r="P254" s="122">
        <v>39000</v>
      </c>
      <c r="Q254" s="122">
        <v>12</v>
      </c>
      <c r="R254" s="122">
        <v>12</v>
      </c>
      <c r="S254" s="441">
        <f t="shared" si="56"/>
        <v>39000</v>
      </c>
      <c r="T254" s="432">
        <f t="shared" si="57"/>
        <v>0</v>
      </c>
      <c r="U254" s="62">
        <f t="shared" si="58"/>
        <v>0</v>
      </c>
      <c r="V254" s="62">
        <f t="shared" si="55"/>
        <v>0</v>
      </c>
    </row>
    <row r="255" spans="1:23" s="243" customFormat="1" ht="50.15" customHeight="1" x14ac:dyDescent="0.6">
      <c r="A255" s="440">
        <v>1611000535</v>
      </c>
      <c r="B255" s="120">
        <v>61</v>
      </c>
      <c r="C255" s="121" t="s">
        <v>18</v>
      </c>
      <c r="D255" s="121" t="s">
        <v>33</v>
      </c>
      <c r="E255" s="121"/>
      <c r="F255" s="121" t="s">
        <v>240</v>
      </c>
      <c r="G255" s="122">
        <v>75519.460000000006</v>
      </c>
      <c r="H255" s="122">
        <v>60000</v>
      </c>
      <c r="I255" s="122">
        <v>26575.175999999999</v>
      </c>
      <c r="J255" s="122">
        <v>139600</v>
      </c>
      <c r="K255" s="122">
        <v>60000</v>
      </c>
      <c r="L255" s="123"/>
      <c r="M255" s="123"/>
      <c r="N255" s="123"/>
      <c r="O255" s="122">
        <f>86440-20000</f>
        <v>66440</v>
      </c>
      <c r="P255" s="122">
        <v>60000</v>
      </c>
      <c r="Q255" s="122">
        <v>12</v>
      </c>
      <c r="R255" s="122">
        <v>12</v>
      </c>
      <c r="S255" s="441">
        <f t="shared" si="56"/>
        <v>60000</v>
      </c>
      <c r="T255" s="432">
        <f t="shared" si="57"/>
        <v>0</v>
      </c>
      <c r="U255" s="62">
        <f t="shared" si="58"/>
        <v>0</v>
      </c>
      <c r="V255" s="62">
        <f t="shared" si="55"/>
        <v>0</v>
      </c>
      <c r="W255" s="156" t="s">
        <v>2157</v>
      </c>
    </row>
    <row r="256" spans="1:23" ht="50.15" customHeight="1" x14ac:dyDescent="0.6">
      <c r="A256" s="440">
        <v>1611000540</v>
      </c>
      <c r="B256" s="120">
        <v>61</v>
      </c>
      <c r="C256" s="121" t="s">
        <v>18</v>
      </c>
      <c r="D256" s="121" t="s">
        <v>33</v>
      </c>
      <c r="E256" s="121"/>
      <c r="F256" s="121" t="s">
        <v>241</v>
      </c>
      <c r="G256" s="122">
        <v>7878.5</v>
      </c>
      <c r="H256" s="122">
        <v>4000</v>
      </c>
      <c r="I256" s="122">
        <v>1258.1999999999998</v>
      </c>
      <c r="J256" s="122">
        <v>4000</v>
      </c>
      <c r="K256" s="122">
        <v>4000</v>
      </c>
      <c r="L256" s="123"/>
      <c r="M256" s="123"/>
      <c r="N256" s="123"/>
      <c r="O256" s="122">
        <v>7800</v>
      </c>
      <c r="P256" s="122">
        <v>7800</v>
      </c>
      <c r="Q256" s="122">
        <v>12</v>
      </c>
      <c r="R256" s="122">
        <v>12</v>
      </c>
      <c r="S256" s="441">
        <f t="shared" si="56"/>
        <v>7800</v>
      </c>
      <c r="T256" s="432">
        <f t="shared" si="57"/>
        <v>3800</v>
      </c>
      <c r="U256" s="62">
        <f t="shared" si="58"/>
        <v>3800</v>
      </c>
      <c r="V256" s="62">
        <f t="shared" si="55"/>
        <v>0</v>
      </c>
      <c r="W256" s="338" t="s">
        <v>821</v>
      </c>
    </row>
    <row r="257" spans="1:24" s="243" customFormat="1" ht="50.15" customHeight="1" x14ac:dyDescent="0.6">
      <c r="A257" s="440">
        <v>1611000780</v>
      </c>
      <c r="B257" s="120">
        <v>61</v>
      </c>
      <c r="C257" s="121" t="s">
        <v>18</v>
      </c>
      <c r="D257" s="121" t="s">
        <v>33</v>
      </c>
      <c r="E257" s="121"/>
      <c r="F257" s="121" t="s">
        <v>242</v>
      </c>
      <c r="G257" s="122">
        <v>47172.27</v>
      </c>
      <c r="H257" s="122">
        <v>50000</v>
      </c>
      <c r="I257" s="122">
        <v>103355.38800000001</v>
      </c>
      <c r="J257" s="122">
        <v>478355.38799999998</v>
      </c>
      <c r="K257" s="122">
        <v>50000</v>
      </c>
      <c r="L257" s="123"/>
      <c r="M257" s="123"/>
      <c r="N257" s="123"/>
      <c r="O257" s="226">
        <v>95365.22</v>
      </c>
      <c r="P257" s="122">
        <v>120000</v>
      </c>
      <c r="Q257" s="122">
        <v>12</v>
      </c>
      <c r="R257" s="122">
        <v>12</v>
      </c>
      <c r="S257" s="441">
        <f t="shared" si="56"/>
        <v>120000</v>
      </c>
      <c r="T257" s="432">
        <f t="shared" si="57"/>
        <v>70000</v>
      </c>
      <c r="U257" s="62">
        <f>S257-K257</f>
        <v>70000</v>
      </c>
      <c r="V257" s="62">
        <f t="shared" si="55"/>
        <v>0</v>
      </c>
      <c r="W257" s="338" t="s">
        <v>822</v>
      </c>
      <c r="X257" s="243" t="s">
        <v>1043</v>
      </c>
    </row>
    <row r="258" spans="1:24" ht="50.15" customHeight="1" x14ac:dyDescent="0.6">
      <c r="A258" s="440">
        <v>1611000781</v>
      </c>
      <c r="B258" s="120">
        <v>61</v>
      </c>
      <c r="C258" s="121" t="s">
        <v>8</v>
      </c>
      <c r="D258" s="121" t="s">
        <v>8</v>
      </c>
      <c r="E258" s="121"/>
      <c r="F258" s="121" t="s">
        <v>243</v>
      </c>
      <c r="G258" s="122">
        <v>0</v>
      </c>
      <c r="H258" s="122" t="s">
        <v>8</v>
      </c>
      <c r="I258" s="122">
        <v>0</v>
      </c>
      <c r="J258" s="122">
        <v>0</v>
      </c>
      <c r="K258" s="122">
        <v>0</v>
      </c>
      <c r="L258" s="123"/>
      <c r="M258" s="123"/>
      <c r="N258" s="123"/>
      <c r="O258" s="122">
        <v>0</v>
      </c>
      <c r="P258" s="122">
        <v>0</v>
      </c>
      <c r="Q258" s="122">
        <v>12</v>
      </c>
      <c r="R258" s="122">
        <v>12</v>
      </c>
      <c r="S258" s="441">
        <f t="shared" si="56"/>
        <v>0</v>
      </c>
      <c r="T258" s="432">
        <f t="shared" si="57"/>
        <v>0</v>
      </c>
      <c r="U258" s="62">
        <f t="shared" si="58"/>
        <v>0</v>
      </c>
      <c r="V258" s="62">
        <f t="shared" si="55"/>
        <v>0</v>
      </c>
    </row>
    <row r="259" spans="1:24" ht="50.15" customHeight="1" x14ac:dyDescent="0.6">
      <c r="A259" s="440">
        <v>1611000782</v>
      </c>
      <c r="B259" s="120">
        <v>61</v>
      </c>
      <c r="C259" s="121" t="s">
        <v>18</v>
      </c>
      <c r="D259" s="121" t="s">
        <v>33</v>
      </c>
      <c r="E259" s="121"/>
      <c r="F259" s="121" t="s">
        <v>244</v>
      </c>
      <c r="G259" s="122">
        <v>-1423</v>
      </c>
      <c r="H259" s="122" t="s">
        <v>8</v>
      </c>
      <c r="I259" s="122">
        <v>0</v>
      </c>
      <c r="J259" s="122">
        <v>0</v>
      </c>
      <c r="K259" s="122">
        <v>0</v>
      </c>
      <c r="L259" s="123"/>
      <c r="M259" s="123"/>
      <c r="N259" s="123"/>
      <c r="O259" s="122">
        <v>0</v>
      </c>
      <c r="P259" s="122">
        <v>0</v>
      </c>
      <c r="Q259" s="122">
        <v>12</v>
      </c>
      <c r="R259" s="122">
        <v>12</v>
      </c>
      <c r="S259" s="441">
        <f t="shared" si="56"/>
        <v>0</v>
      </c>
      <c r="T259" s="432">
        <f t="shared" si="57"/>
        <v>0</v>
      </c>
      <c r="U259" s="62">
        <f t="shared" si="58"/>
        <v>0</v>
      </c>
      <c r="V259" s="62">
        <f t="shared" si="55"/>
        <v>0</v>
      </c>
    </row>
    <row r="260" spans="1:24" ht="50.15" customHeight="1" x14ac:dyDescent="0.6">
      <c r="A260" s="440">
        <v>1611000980</v>
      </c>
      <c r="B260" s="120">
        <v>61</v>
      </c>
      <c r="C260" s="121" t="s">
        <v>18</v>
      </c>
      <c r="D260" s="121" t="s">
        <v>33</v>
      </c>
      <c r="E260" s="121"/>
      <c r="F260" s="121" t="s">
        <v>245</v>
      </c>
      <c r="G260" s="122">
        <v>90214.89</v>
      </c>
      <c r="H260" s="122">
        <v>200000</v>
      </c>
      <c r="I260" s="122">
        <v>180779.43599999999</v>
      </c>
      <c r="J260" s="122">
        <v>200000</v>
      </c>
      <c r="K260" s="122">
        <v>200000</v>
      </c>
      <c r="L260" s="123"/>
      <c r="M260" s="123"/>
      <c r="N260" s="123"/>
      <c r="O260" s="226">
        <v>181286.38</v>
      </c>
      <c r="P260" s="122">
        <v>200000</v>
      </c>
      <c r="Q260" s="122">
        <v>12</v>
      </c>
      <c r="R260" s="122">
        <v>12</v>
      </c>
      <c r="S260" s="441">
        <f t="shared" si="56"/>
        <v>200000</v>
      </c>
      <c r="T260" s="432">
        <f t="shared" si="57"/>
        <v>0</v>
      </c>
      <c r="U260" s="62">
        <f t="shared" si="58"/>
        <v>0</v>
      </c>
      <c r="V260" s="62">
        <f t="shared" si="55"/>
        <v>0</v>
      </c>
      <c r="W260" s="338" t="s">
        <v>823</v>
      </c>
    </row>
    <row r="261" spans="1:24" ht="50.15" customHeight="1" x14ac:dyDescent="0.6">
      <c r="A261" s="440">
        <v>1611100110</v>
      </c>
      <c r="B261" s="120">
        <v>61</v>
      </c>
      <c r="C261" s="121" t="s">
        <v>17</v>
      </c>
      <c r="D261" s="121" t="s">
        <v>33</v>
      </c>
      <c r="E261" s="121" t="s">
        <v>583</v>
      </c>
      <c r="F261" s="121" t="s">
        <v>246</v>
      </c>
      <c r="G261" s="122">
        <v>1392831.75</v>
      </c>
      <c r="H261" s="122">
        <v>1346899.65</v>
      </c>
      <c r="I261" s="122">
        <v>1365946</v>
      </c>
      <c r="J261" s="122">
        <v>1386435.6365999999</v>
      </c>
      <c r="K261" s="122">
        <v>1376127.3717298307</v>
      </c>
      <c r="L261" s="123">
        <v>3</v>
      </c>
      <c r="M261" s="123">
        <v>3</v>
      </c>
      <c r="N261" s="123">
        <f>ריכוז!K3</f>
        <v>3</v>
      </c>
      <c r="O261" s="226">
        <v>1403126.44</v>
      </c>
      <c r="P261" s="122">
        <f>ריכוז!M3</f>
        <v>1514502</v>
      </c>
      <c r="Q261" s="122">
        <v>12</v>
      </c>
      <c r="R261" s="122">
        <v>12</v>
      </c>
      <c r="S261" s="441">
        <f t="shared" si="56"/>
        <v>1514502</v>
      </c>
      <c r="T261" s="432">
        <f t="shared" si="57"/>
        <v>138374.62827016925</v>
      </c>
      <c r="U261" s="62">
        <f t="shared" si="58"/>
        <v>138374.62827016925</v>
      </c>
      <c r="V261" s="62">
        <f t="shared" si="55"/>
        <v>0</v>
      </c>
    </row>
    <row r="262" spans="1:24" ht="50.15" customHeight="1" x14ac:dyDescent="0.6">
      <c r="A262" s="440">
        <v>1612000110</v>
      </c>
      <c r="B262" s="120">
        <v>61</v>
      </c>
      <c r="C262" s="121" t="s">
        <v>17</v>
      </c>
      <c r="D262" s="121" t="s">
        <v>33</v>
      </c>
      <c r="E262" s="121" t="s">
        <v>583</v>
      </c>
      <c r="F262" s="121" t="s">
        <v>247</v>
      </c>
      <c r="G262" s="122">
        <v>558269.43000000005</v>
      </c>
      <c r="H262" s="122">
        <v>646152.71</v>
      </c>
      <c r="I262" s="122">
        <v>559500</v>
      </c>
      <c r="J262" s="122">
        <v>595450.90033333329</v>
      </c>
      <c r="K262" s="122">
        <v>660174.22004039097</v>
      </c>
      <c r="L262" s="123">
        <v>2</v>
      </c>
      <c r="M262" s="123">
        <v>2</v>
      </c>
      <c r="N262" s="123">
        <f>ריכוז!K4</f>
        <v>2</v>
      </c>
      <c r="O262" s="226">
        <v>559801.43999999994</v>
      </c>
      <c r="P262" s="122">
        <f>ריכוז!M4</f>
        <v>612214.28571428568</v>
      </c>
      <c r="Q262" s="122">
        <v>12</v>
      </c>
      <c r="R262" s="122">
        <v>12</v>
      </c>
      <c r="S262" s="441">
        <f t="shared" si="56"/>
        <v>612214.28571428568</v>
      </c>
      <c r="T262" s="432">
        <f t="shared" si="57"/>
        <v>-47959.934326105285</v>
      </c>
      <c r="U262" s="62">
        <f t="shared" si="58"/>
        <v>-47959.934326105285</v>
      </c>
      <c r="V262" s="62">
        <f t="shared" si="55"/>
        <v>0</v>
      </c>
    </row>
    <row r="263" spans="1:24" ht="50.15" customHeight="1" x14ac:dyDescent="0.6">
      <c r="A263" s="440">
        <v>1612000430</v>
      </c>
      <c r="B263" s="120">
        <v>61</v>
      </c>
      <c r="C263" s="121" t="s">
        <v>18</v>
      </c>
      <c r="D263" s="121" t="s">
        <v>33</v>
      </c>
      <c r="E263" s="121"/>
      <c r="F263" s="121" t="s">
        <v>248</v>
      </c>
      <c r="G263" s="122">
        <v>68870.350000000006</v>
      </c>
      <c r="H263" s="122">
        <v>70020</v>
      </c>
      <c r="I263" s="122">
        <v>71506.487999999998</v>
      </c>
      <c r="J263" s="122">
        <v>76320</v>
      </c>
      <c r="K263" s="122">
        <v>70020</v>
      </c>
      <c r="L263" s="123"/>
      <c r="M263" s="123"/>
      <c r="N263" s="123"/>
      <c r="O263" s="226">
        <v>72783.33</v>
      </c>
      <c r="P263" s="122">
        <v>76320</v>
      </c>
      <c r="Q263" s="122">
        <v>12</v>
      </c>
      <c r="R263" s="122">
        <v>12</v>
      </c>
      <c r="S263" s="441">
        <f t="shared" si="56"/>
        <v>76320</v>
      </c>
      <c r="T263" s="432">
        <f t="shared" si="57"/>
        <v>6300</v>
      </c>
      <c r="U263" s="62">
        <f t="shared" si="58"/>
        <v>6300</v>
      </c>
      <c r="V263" s="62">
        <f t="shared" si="55"/>
        <v>0</v>
      </c>
      <c r="W263" s="338" t="s">
        <v>824</v>
      </c>
    </row>
    <row r="264" spans="1:24" ht="50.15" customHeight="1" x14ac:dyDescent="0.6">
      <c r="A264" s="440">
        <v>1612000780</v>
      </c>
      <c r="B264" s="120">
        <v>61</v>
      </c>
      <c r="C264" s="121" t="s">
        <v>18</v>
      </c>
      <c r="D264" s="121" t="s">
        <v>33</v>
      </c>
      <c r="E264" s="121"/>
      <c r="F264" s="121" t="s">
        <v>249</v>
      </c>
      <c r="G264" s="122">
        <v>43221.48</v>
      </c>
      <c r="H264" s="122">
        <v>75000</v>
      </c>
      <c r="I264" s="122">
        <v>89959.40400000001</v>
      </c>
      <c r="J264" s="122">
        <v>110000</v>
      </c>
      <c r="K264" s="122">
        <v>75000</v>
      </c>
      <c r="L264" s="123"/>
      <c r="M264" s="123"/>
      <c r="N264" s="123"/>
      <c r="O264" s="226">
        <v>76170.92</v>
      </c>
      <c r="P264" s="122">
        <f>69000+80000</f>
        <v>149000</v>
      </c>
      <c r="Q264" s="122">
        <v>12</v>
      </c>
      <c r="R264" s="122">
        <v>12</v>
      </c>
      <c r="S264" s="441">
        <f t="shared" si="56"/>
        <v>149000</v>
      </c>
      <c r="T264" s="432">
        <f t="shared" si="57"/>
        <v>74000</v>
      </c>
      <c r="U264" s="62">
        <f t="shared" si="58"/>
        <v>74000</v>
      </c>
      <c r="V264" s="62">
        <f t="shared" si="55"/>
        <v>0</v>
      </c>
      <c r="W264" s="338" t="s">
        <v>1049</v>
      </c>
    </row>
    <row r="265" spans="1:24" ht="50.15" customHeight="1" x14ac:dyDescent="0.6">
      <c r="A265" s="440">
        <v>1613000110</v>
      </c>
      <c r="B265" s="120">
        <v>61</v>
      </c>
      <c r="C265" s="121" t="s">
        <v>17</v>
      </c>
      <c r="D265" s="121" t="s">
        <v>33</v>
      </c>
      <c r="E265" s="121" t="s">
        <v>583</v>
      </c>
      <c r="F265" s="121" t="s">
        <v>250</v>
      </c>
      <c r="G265" s="122">
        <v>2419645.16</v>
      </c>
      <c r="H265" s="122">
        <f>2177739.03+546228</f>
        <v>2723967.03</v>
      </c>
      <c r="I265" s="122">
        <f>2375926+392788</f>
        <v>2768714</v>
      </c>
      <c r="J265" s="122">
        <f>2382185.079225+608726</f>
        <v>2990911.079225</v>
      </c>
      <c r="K265" s="122">
        <f>2076343.021567+558081</f>
        <v>2634424.0215670001</v>
      </c>
      <c r="L265" s="123">
        <v>14.339999999999998</v>
      </c>
      <c r="M265" s="123">
        <v>14.819999999999999</v>
      </c>
      <c r="N265" s="123">
        <f>ריכוז!K5</f>
        <v>13.783333333333333</v>
      </c>
      <c r="O265" s="122">
        <f>2375926+392788</f>
        <v>2768714</v>
      </c>
      <c r="P265" s="122">
        <f>ריכוז!M5</f>
        <v>2653849.616296296</v>
      </c>
      <c r="Q265" s="122">
        <v>12</v>
      </c>
      <c r="R265" s="122">
        <v>12</v>
      </c>
      <c r="S265" s="441">
        <f t="shared" si="56"/>
        <v>2653849.616296296</v>
      </c>
      <c r="T265" s="432">
        <f t="shared" si="57"/>
        <v>19425.594729295932</v>
      </c>
      <c r="U265" s="62">
        <f t="shared" si="58"/>
        <v>19425.594729295932</v>
      </c>
      <c r="V265" s="62">
        <f t="shared" si="55"/>
        <v>0</v>
      </c>
    </row>
    <row r="266" spans="1:24" ht="50.15" customHeight="1" x14ac:dyDescent="0.6">
      <c r="A266" s="440">
        <v>1613000420</v>
      </c>
      <c r="B266" s="120">
        <v>61</v>
      </c>
      <c r="C266" s="121" t="s">
        <v>18</v>
      </c>
      <c r="D266" s="121" t="s">
        <v>33</v>
      </c>
      <c r="E266" s="121"/>
      <c r="F266" s="121" t="s">
        <v>251</v>
      </c>
      <c r="G266" s="122">
        <v>24216.75</v>
      </c>
      <c r="H266" s="122">
        <v>25000</v>
      </c>
      <c r="I266" s="122">
        <v>30000</v>
      </c>
      <c r="J266" s="122">
        <v>30000</v>
      </c>
      <c r="K266" s="122">
        <v>25000</v>
      </c>
      <c r="L266" s="123"/>
      <c r="M266" s="123"/>
      <c r="N266" s="123"/>
      <c r="O266" s="226">
        <v>25971.040000000001</v>
      </c>
      <c r="P266" s="122">
        <v>26000</v>
      </c>
      <c r="Q266" s="122">
        <v>12</v>
      </c>
      <c r="R266" s="122">
        <v>12</v>
      </c>
      <c r="S266" s="441">
        <f t="shared" si="56"/>
        <v>26000</v>
      </c>
      <c r="T266" s="432">
        <f t="shared" si="57"/>
        <v>1000</v>
      </c>
      <c r="U266" s="62">
        <f t="shared" si="58"/>
        <v>1000</v>
      </c>
      <c r="V266" s="62">
        <f t="shared" si="55"/>
        <v>0</v>
      </c>
      <c r="W266" s="338" t="s">
        <v>825</v>
      </c>
    </row>
    <row r="267" spans="1:24" ht="50.15" customHeight="1" x14ac:dyDescent="0.6">
      <c r="A267" s="440">
        <v>1613000431</v>
      </c>
      <c r="B267" s="120">
        <v>61</v>
      </c>
      <c r="C267" s="121" t="s">
        <v>18</v>
      </c>
      <c r="D267" s="121" t="s">
        <v>33</v>
      </c>
      <c r="E267" s="121"/>
      <c r="F267" s="121" t="s">
        <v>252</v>
      </c>
      <c r="G267" s="122">
        <v>299207.92</v>
      </c>
      <c r="H267" s="122">
        <v>252042.5</v>
      </c>
      <c r="I267" s="122">
        <v>260000</v>
      </c>
      <c r="J267" s="122">
        <v>260000</v>
      </c>
      <c r="K267" s="122">
        <v>252042.49600000004</v>
      </c>
      <c r="L267" s="123"/>
      <c r="M267" s="123"/>
      <c r="N267" s="123"/>
      <c r="O267" s="226">
        <v>275574.92</v>
      </c>
      <c r="P267" s="122">
        <v>276000</v>
      </c>
      <c r="Q267" s="122">
        <v>12</v>
      </c>
      <c r="R267" s="122">
        <v>12</v>
      </c>
      <c r="S267" s="441">
        <f t="shared" si="56"/>
        <v>276000</v>
      </c>
      <c r="T267" s="432">
        <f t="shared" si="57"/>
        <v>23957.503999999957</v>
      </c>
      <c r="U267" s="62">
        <f t="shared" si="58"/>
        <v>23957.503999999957</v>
      </c>
      <c r="V267" s="62">
        <f t="shared" si="55"/>
        <v>0</v>
      </c>
      <c r="W267" s="153" t="s">
        <v>608</v>
      </c>
    </row>
    <row r="268" spans="1:24" ht="50.15" customHeight="1" x14ac:dyDescent="0.6">
      <c r="A268" s="440">
        <v>1613000432</v>
      </c>
      <c r="B268" s="120">
        <v>61</v>
      </c>
      <c r="C268" s="121" t="s">
        <v>18</v>
      </c>
      <c r="D268" s="121" t="s">
        <v>33</v>
      </c>
      <c r="E268" s="121"/>
      <c r="F268" s="121" t="s">
        <v>253</v>
      </c>
      <c r="G268" s="122">
        <v>27247.66</v>
      </c>
      <c r="H268" s="122">
        <v>38000</v>
      </c>
      <c r="I268" s="122">
        <v>40000</v>
      </c>
      <c r="J268" s="122">
        <v>40000</v>
      </c>
      <c r="K268" s="122">
        <v>38000</v>
      </c>
      <c r="L268" s="123"/>
      <c r="M268" s="123"/>
      <c r="N268" s="123"/>
      <c r="O268" s="226">
        <v>59673.97</v>
      </c>
      <c r="P268" s="122">
        <v>60000</v>
      </c>
      <c r="Q268" s="122">
        <v>12</v>
      </c>
      <c r="R268" s="122">
        <v>12</v>
      </c>
      <c r="S268" s="441">
        <f t="shared" si="56"/>
        <v>60000</v>
      </c>
      <c r="T268" s="432">
        <f t="shared" si="57"/>
        <v>22000</v>
      </c>
      <c r="U268" s="62">
        <f t="shared" si="58"/>
        <v>22000</v>
      </c>
      <c r="V268" s="62">
        <f t="shared" si="55"/>
        <v>0</v>
      </c>
      <c r="W268" s="153" t="s">
        <v>608</v>
      </c>
    </row>
    <row r="269" spans="1:24" ht="50.15" customHeight="1" x14ac:dyDescent="0.6">
      <c r="A269" s="440">
        <v>1613000433</v>
      </c>
      <c r="B269" s="120">
        <v>61</v>
      </c>
      <c r="C269" s="121" t="s">
        <v>18</v>
      </c>
      <c r="D269" s="121" t="s">
        <v>33</v>
      </c>
      <c r="E269" s="121"/>
      <c r="F269" s="121" t="s">
        <v>254</v>
      </c>
      <c r="G269" s="122">
        <v>0</v>
      </c>
      <c r="H269" s="122">
        <v>11000</v>
      </c>
      <c r="I269" s="122">
        <v>0</v>
      </c>
      <c r="J269" s="122">
        <v>11000</v>
      </c>
      <c r="K269" s="122">
        <v>11000</v>
      </c>
      <c r="L269" s="123"/>
      <c r="M269" s="123"/>
      <c r="N269" s="123"/>
      <c r="O269" s="122">
        <v>0</v>
      </c>
      <c r="P269" s="122">
        <v>0</v>
      </c>
      <c r="Q269" s="122">
        <v>12</v>
      </c>
      <c r="R269" s="122">
        <v>12</v>
      </c>
      <c r="S269" s="441">
        <f t="shared" si="56"/>
        <v>0</v>
      </c>
      <c r="T269" s="432">
        <f t="shared" si="57"/>
        <v>-11000</v>
      </c>
      <c r="U269" s="62">
        <f t="shared" si="58"/>
        <v>-11000</v>
      </c>
      <c r="V269" s="62">
        <f t="shared" si="55"/>
        <v>0</v>
      </c>
    </row>
    <row r="270" spans="1:24" ht="50.15" customHeight="1" x14ac:dyDescent="0.6">
      <c r="A270" s="440">
        <v>1613000435</v>
      </c>
      <c r="B270" s="120">
        <v>61</v>
      </c>
      <c r="C270" s="121" t="s">
        <v>18</v>
      </c>
      <c r="D270" s="121" t="s">
        <v>33</v>
      </c>
      <c r="E270" s="121"/>
      <c r="F270" s="121" t="s">
        <v>255</v>
      </c>
      <c r="G270" s="122">
        <v>18377.330000000002</v>
      </c>
      <c r="H270" s="122">
        <v>19000</v>
      </c>
      <c r="I270" s="122">
        <v>20000</v>
      </c>
      <c r="J270" s="122">
        <v>20000</v>
      </c>
      <c r="K270" s="122">
        <v>19000</v>
      </c>
      <c r="L270" s="123"/>
      <c r="M270" s="123"/>
      <c r="N270" s="123"/>
      <c r="O270" s="122">
        <v>20000</v>
      </c>
      <c r="P270" s="122">
        <v>20000</v>
      </c>
      <c r="Q270" s="122">
        <v>12</v>
      </c>
      <c r="R270" s="122">
        <v>12</v>
      </c>
      <c r="S270" s="441">
        <f t="shared" si="56"/>
        <v>20000</v>
      </c>
      <c r="T270" s="432">
        <f t="shared" si="57"/>
        <v>1000</v>
      </c>
      <c r="U270" s="62">
        <f t="shared" si="58"/>
        <v>1000</v>
      </c>
      <c r="V270" s="62">
        <f t="shared" si="55"/>
        <v>0</v>
      </c>
    </row>
    <row r="271" spans="1:24" ht="50.15" customHeight="1" x14ac:dyDescent="0.6">
      <c r="A271" s="440">
        <v>1613000470</v>
      </c>
      <c r="B271" s="120">
        <v>61</v>
      </c>
      <c r="C271" s="121" t="s">
        <v>18</v>
      </c>
      <c r="D271" s="121" t="s">
        <v>33</v>
      </c>
      <c r="E271" s="121"/>
      <c r="F271" s="121" t="s">
        <v>256</v>
      </c>
      <c r="G271" s="122">
        <v>65285.760000000002</v>
      </c>
      <c r="H271" s="122">
        <v>53200</v>
      </c>
      <c r="I271" s="122">
        <v>83729.556000000011</v>
      </c>
      <c r="J271" s="122">
        <v>90000</v>
      </c>
      <c r="K271" s="122">
        <v>53200</v>
      </c>
      <c r="L271" s="123"/>
      <c r="M271" s="123"/>
      <c r="N271" s="123"/>
      <c r="O271" s="226">
        <v>84300.1</v>
      </c>
      <c r="P271" s="122">
        <v>85000</v>
      </c>
      <c r="Q271" s="122">
        <v>12</v>
      </c>
      <c r="R271" s="122">
        <v>12</v>
      </c>
      <c r="S271" s="441">
        <f t="shared" si="56"/>
        <v>85000</v>
      </c>
      <c r="T271" s="432">
        <f t="shared" si="57"/>
        <v>31800</v>
      </c>
      <c r="U271" s="62">
        <f t="shared" si="58"/>
        <v>31800</v>
      </c>
      <c r="V271" s="62">
        <f t="shared" si="55"/>
        <v>0</v>
      </c>
      <c r="W271" s="338" t="s">
        <v>826</v>
      </c>
    </row>
    <row r="272" spans="1:24" ht="50.15" customHeight="1" x14ac:dyDescent="0.6">
      <c r="A272" s="440">
        <v>1613000471</v>
      </c>
      <c r="B272" s="120">
        <v>61</v>
      </c>
      <c r="C272" s="121" t="s">
        <v>18</v>
      </c>
      <c r="D272" s="121" t="s">
        <v>33</v>
      </c>
      <c r="E272" s="121"/>
      <c r="F272" s="121" t="s">
        <v>257</v>
      </c>
      <c r="G272" s="122">
        <v>27956.33</v>
      </c>
      <c r="H272" s="122">
        <v>45000</v>
      </c>
      <c r="I272" s="122">
        <v>1516.3199999999997</v>
      </c>
      <c r="J272" s="122">
        <v>45000</v>
      </c>
      <c r="K272" s="122">
        <v>45000</v>
      </c>
      <c r="L272" s="123"/>
      <c r="M272" s="123"/>
      <c r="N272" s="123"/>
      <c r="O272" s="226">
        <v>1263.5999999999999</v>
      </c>
      <c r="P272" s="122">
        <v>25000</v>
      </c>
      <c r="Q272" s="122">
        <v>12</v>
      </c>
      <c r="R272" s="122">
        <v>12</v>
      </c>
      <c r="S272" s="441">
        <f t="shared" si="56"/>
        <v>25000</v>
      </c>
      <c r="T272" s="432">
        <f t="shared" si="57"/>
        <v>-20000</v>
      </c>
      <c r="U272" s="62">
        <f t="shared" si="58"/>
        <v>-20000</v>
      </c>
      <c r="V272" s="62">
        <f t="shared" si="55"/>
        <v>0</v>
      </c>
      <c r="W272" s="338" t="s">
        <v>827</v>
      </c>
    </row>
    <row r="273" spans="1:23" ht="50.15" customHeight="1" x14ac:dyDescent="0.6">
      <c r="A273" s="440">
        <v>1613000511</v>
      </c>
      <c r="B273" s="120">
        <v>61</v>
      </c>
      <c r="C273" s="121" t="s">
        <v>18</v>
      </c>
      <c r="D273" s="121" t="s">
        <v>33</v>
      </c>
      <c r="E273" s="121"/>
      <c r="F273" s="121" t="s">
        <v>258</v>
      </c>
      <c r="G273" s="122">
        <v>6234.06</v>
      </c>
      <c r="H273" s="122">
        <v>5000</v>
      </c>
      <c r="I273" s="122">
        <v>11000</v>
      </c>
      <c r="J273" s="122">
        <v>11000</v>
      </c>
      <c r="K273" s="122">
        <v>5000</v>
      </c>
      <c r="L273" s="123"/>
      <c r="M273" s="123"/>
      <c r="N273" s="123"/>
      <c r="O273" s="226">
        <v>9586.07</v>
      </c>
      <c r="P273" s="122">
        <v>10000</v>
      </c>
      <c r="Q273" s="122">
        <v>12</v>
      </c>
      <c r="R273" s="122">
        <v>12</v>
      </c>
      <c r="S273" s="441">
        <f t="shared" si="56"/>
        <v>10000</v>
      </c>
      <c r="T273" s="432">
        <f t="shared" si="57"/>
        <v>5000</v>
      </c>
      <c r="U273" s="62">
        <f t="shared" si="58"/>
        <v>5000</v>
      </c>
      <c r="V273" s="62">
        <f t="shared" si="55"/>
        <v>0</v>
      </c>
    </row>
    <row r="274" spans="1:23" ht="50.15" customHeight="1" x14ac:dyDescent="0.6">
      <c r="A274" s="440">
        <v>1613000520</v>
      </c>
      <c r="B274" s="120">
        <v>61</v>
      </c>
      <c r="C274" s="121" t="s">
        <v>8</v>
      </c>
      <c r="D274" s="121" t="s">
        <v>8</v>
      </c>
      <c r="E274" s="121"/>
      <c r="F274" s="121" t="s">
        <v>259</v>
      </c>
      <c r="G274" s="122">
        <v>0</v>
      </c>
      <c r="H274" s="122" t="s">
        <v>8</v>
      </c>
      <c r="I274" s="122">
        <v>0</v>
      </c>
      <c r="J274" s="122">
        <v>0</v>
      </c>
      <c r="K274" s="122">
        <v>0</v>
      </c>
      <c r="L274" s="123"/>
      <c r="M274" s="123"/>
      <c r="N274" s="123"/>
      <c r="O274" s="122">
        <v>0</v>
      </c>
      <c r="P274" s="122">
        <v>0</v>
      </c>
      <c r="Q274" s="122">
        <v>12</v>
      </c>
      <c r="R274" s="122">
        <v>12</v>
      </c>
      <c r="S274" s="441">
        <f t="shared" si="56"/>
        <v>0</v>
      </c>
      <c r="T274" s="432">
        <f t="shared" si="57"/>
        <v>0</v>
      </c>
      <c r="U274" s="62">
        <f t="shared" si="58"/>
        <v>0</v>
      </c>
      <c r="V274" s="62">
        <f t="shared" si="55"/>
        <v>0</v>
      </c>
    </row>
    <row r="275" spans="1:23" ht="50.15" customHeight="1" x14ac:dyDescent="0.6">
      <c r="A275" s="440">
        <v>1613000530</v>
      </c>
      <c r="B275" s="120">
        <v>61</v>
      </c>
      <c r="C275" s="121" t="s">
        <v>18</v>
      </c>
      <c r="D275" s="121" t="s">
        <v>33</v>
      </c>
      <c r="E275" s="121"/>
      <c r="F275" s="121" t="s">
        <v>260</v>
      </c>
      <c r="G275" s="122">
        <v>146775.70000000001</v>
      </c>
      <c r="H275" s="122">
        <v>149816</v>
      </c>
      <c r="I275" s="122">
        <v>150000</v>
      </c>
      <c r="J275" s="122">
        <v>152400</v>
      </c>
      <c r="K275" s="122">
        <v>149816</v>
      </c>
      <c r="L275" s="123"/>
      <c r="M275" s="123"/>
      <c r="N275" s="123"/>
      <c r="O275" s="226">
        <v>151983.44</v>
      </c>
      <c r="P275" s="122">
        <v>152400</v>
      </c>
      <c r="Q275" s="122">
        <v>12</v>
      </c>
      <c r="R275" s="122">
        <v>12</v>
      </c>
      <c r="S275" s="441">
        <f t="shared" si="56"/>
        <v>152400</v>
      </c>
      <c r="T275" s="432">
        <f t="shared" si="57"/>
        <v>2584</v>
      </c>
      <c r="U275" s="62">
        <f t="shared" si="58"/>
        <v>2584</v>
      </c>
      <c r="V275" s="62">
        <f t="shared" si="55"/>
        <v>0</v>
      </c>
      <c r="W275" s="338" t="s">
        <v>828</v>
      </c>
    </row>
    <row r="276" spans="1:23" ht="50.15" customHeight="1" x14ac:dyDescent="0.6">
      <c r="A276" s="440">
        <v>1613000531</v>
      </c>
      <c r="B276" s="120">
        <v>61</v>
      </c>
      <c r="C276" s="121" t="s">
        <v>18</v>
      </c>
      <c r="D276" s="121" t="s">
        <v>33</v>
      </c>
      <c r="E276" s="121"/>
      <c r="F276" s="121" t="s">
        <v>261</v>
      </c>
      <c r="G276" s="122">
        <v>47740.42</v>
      </c>
      <c r="H276" s="122">
        <v>58560</v>
      </c>
      <c r="I276" s="122">
        <v>65000</v>
      </c>
      <c r="J276" s="122">
        <v>68448</v>
      </c>
      <c r="K276" s="122">
        <v>58560</v>
      </c>
      <c r="L276" s="123"/>
      <c r="M276" s="123"/>
      <c r="N276" s="123"/>
      <c r="O276" s="226">
        <v>23503.08</v>
      </c>
      <c r="P276" s="122">
        <v>55000</v>
      </c>
      <c r="Q276" s="122">
        <v>12</v>
      </c>
      <c r="R276" s="122">
        <v>12</v>
      </c>
      <c r="S276" s="441">
        <f t="shared" si="56"/>
        <v>55000</v>
      </c>
      <c r="T276" s="432">
        <f t="shared" si="57"/>
        <v>-3560</v>
      </c>
      <c r="U276" s="62">
        <f t="shared" si="58"/>
        <v>-3560</v>
      </c>
      <c r="V276" s="62">
        <f t="shared" si="55"/>
        <v>0</v>
      </c>
    </row>
    <row r="277" spans="1:23" ht="50.15" customHeight="1" x14ac:dyDescent="0.6">
      <c r="A277" s="440">
        <v>1613000540</v>
      </c>
      <c r="B277" s="120">
        <v>61</v>
      </c>
      <c r="C277" s="121" t="s">
        <v>18</v>
      </c>
      <c r="D277" s="121" t="s">
        <v>33</v>
      </c>
      <c r="E277" s="121"/>
      <c r="F277" s="121" t="s">
        <v>262</v>
      </c>
      <c r="G277" s="122">
        <v>433538.8</v>
      </c>
      <c r="H277" s="122">
        <v>380000</v>
      </c>
      <c r="I277" s="122">
        <v>380000</v>
      </c>
      <c r="J277" s="122">
        <v>380000</v>
      </c>
      <c r="K277" s="122">
        <v>380000</v>
      </c>
      <c r="L277" s="123"/>
      <c r="M277" s="123"/>
      <c r="N277" s="123"/>
      <c r="O277" s="226">
        <v>444377</v>
      </c>
      <c r="P277" s="122">
        <v>445000</v>
      </c>
      <c r="Q277" s="122">
        <v>12</v>
      </c>
      <c r="R277" s="122">
        <v>12</v>
      </c>
      <c r="S277" s="441">
        <f t="shared" si="56"/>
        <v>445000</v>
      </c>
      <c r="T277" s="432">
        <f t="shared" si="57"/>
        <v>65000</v>
      </c>
      <c r="U277" s="62">
        <f t="shared" si="58"/>
        <v>65000</v>
      </c>
      <c r="V277" s="62">
        <f t="shared" si="55"/>
        <v>0</v>
      </c>
      <c r="W277" s="338" t="s">
        <v>829</v>
      </c>
    </row>
    <row r="278" spans="1:23" ht="50.15" customHeight="1" x14ac:dyDescent="0.6">
      <c r="A278" s="440">
        <v>1613000541</v>
      </c>
      <c r="B278" s="120">
        <v>61</v>
      </c>
      <c r="C278" s="121" t="s">
        <v>18</v>
      </c>
      <c r="D278" s="121" t="s">
        <v>33</v>
      </c>
      <c r="E278" s="121"/>
      <c r="F278" s="121" t="s">
        <v>263</v>
      </c>
      <c r="G278" s="122">
        <v>70265.83</v>
      </c>
      <c r="H278" s="122">
        <v>56000</v>
      </c>
      <c r="I278" s="122">
        <v>67661.076000000001</v>
      </c>
      <c r="J278" s="122">
        <v>68000</v>
      </c>
      <c r="K278" s="122">
        <v>56000</v>
      </c>
      <c r="L278" s="123"/>
      <c r="M278" s="123"/>
      <c r="N278" s="123"/>
      <c r="O278" s="226">
        <v>68171.03</v>
      </c>
      <c r="P278" s="122">
        <v>68000</v>
      </c>
      <c r="Q278" s="122">
        <v>12</v>
      </c>
      <c r="R278" s="122">
        <v>12</v>
      </c>
      <c r="S278" s="441">
        <f t="shared" si="56"/>
        <v>68000</v>
      </c>
      <c r="T278" s="432">
        <f t="shared" si="57"/>
        <v>12000</v>
      </c>
      <c r="U278" s="62">
        <f t="shared" si="58"/>
        <v>12000</v>
      </c>
      <c r="V278" s="62">
        <f t="shared" si="55"/>
        <v>0</v>
      </c>
    </row>
    <row r="279" spans="1:23" ht="50.15" customHeight="1" x14ac:dyDescent="0.6">
      <c r="A279" s="440">
        <v>1613000550</v>
      </c>
      <c r="B279" s="120">
        <v>61</v>
      </c>
      <c r="C279" s="121" t="s">
        <v>18</v>
      </c>
      <c r="D279" s="121" t="s">
        <v>33</v>
      </c>
      <c r="E279" s="121"/>
      <c r="F279" s="121" t="s">
        <v>264</v>
      </c>
      <c r="G279" s="122" t="s">
        <v>8</v>
      </c>
      <c r="H279" s="122" t="s">
        <v>8</v>
      </c>
      <c r="I279" s="122"/>
      <c r="J279" s="122" t="s">
        <v>8</v>
      </c>
      <c r="K279" s="122">
        <v>0</v>
      </c>
      <c r="L279" s="123"/>
      <c r="M279" s="123"/>
      <c r="N279" s="123"/>
      <c r="O279" s="226"/>
      <c r="P279" s="122">
        <v>0</v>
      </c>
      <c r="Q279" s="122">
        <v>12</v>
      </c>
      <c r="R279" s="122">
        <v>12</v>
      </c>
      <c r="S279" s="441">
        <f t="shared" si="56"/>
        <v>0</v>
      </c>
      <c r="T279" s="432">
        <f t="shared" si="57"/>
        <v>0</v>
      </c>
      <c r="U279" s="62">
        <f t="shared" si="58"/>
        <v>0</v>
      </c>
      <c r="V279" s="62">
        <f t="shared" si="55"/>
        <v>0</v>
      </c>
    </row>
    <row r="280" spans="1:23" ht="50.15" customHeight="1" x14ac:dyDescent="0.6">
      <c r="A280" s="440">
        <v>1613000710</v>
      </c>
      <c r="B280" s="120">
        <v>61</v>
      </c>
      <c r="C280" s="121" t="s">
        <v>18</v>
      </c>
      <c r="D280" s="121" t="s">
        <v>33</v>
      </c>
      <c r="E280" s="121"/>
      <c r="F280" s="121" t="s">
        <v>265</v>
      </c>
      <c r="G280" s="122">
        <v>819</v>
      </c>
      <c r="H280" s="122">
        <v>3000</v>
      </c>
      <c r="I280" s="122">
        <v>2500</v>
      </c>
      <c r="J280" s="122">
        <v>3000</v>
      </c>
      <c r="K280" s="122">
        <v>3000</v>
      </c>
      <c r="L280" s="123"/>
      <c r="M280" s="123"/>
      <c r="N280" s="123"/>
      <c r="O280" s="226">
        <v>500</v>
      </c>
      <c r="P280" s="122">
        <v>1000</v>
      </c>
      <c r="Q280" s="122">
        <v>12</v>
      </c>
      <c r="R280" s="122">
        <v>12</v>
      </c>
      <c r="S280" s="441">
        <f t="shared" si="56"/>
        <v>1000</v>
      </c>
      <c r="T280" s="432">
        <f t="shared" si="57"/>
        <v>-2000</v>
      </c>
      <c r="U280" s="62">
        <f t="shared" si="58"/>
        <v>-2000</v>
      </c>
      <c r="V280" s="62">
        <f t="shared" si="55"/>
        <v>0</v>
      </c>
      <c r="W280" s="338" t="s">
        <v>830</v>
      </c>
    </row>
    <row r="281" spans="1:23" ht="50.15" customHeight="1" x14ac:dyDescent="0.6">
      <c r="A281" s="440">
        <v>1613000750</v>
      </c>
      <c r="B281" s="120">
        <v>61</v>
      </c>
      <c r="C281" s="121" t="s">
        <v>8</v>
      </c>
      <c r="D281" s="121" t="s">
        <v>8</v>
      </c>
      <c r="E281" s="121"/>
      <c r="F281" s="121" t="s">
        <v>266</v>
      </c>
      <c r="G281" s="122">
        <v>0</v>
      </c>
      <c r="H281" s="122" t="s">
        <v>8</v>
      </c>
      <c r="I281" s="122">
        <v>0</v>
      </c>
      <c r="J281" s="122">
        <v>0</v>
      </c>
      <c r="K281" s="122">
        <v>0</v>
      </c>
      <c r="L281" s="123"/>
      <c r="M281" s="123"/>
      <c r="N281" s="123"/>
      <c r="O281" s="122">
        <v>0</v>
      </c>
      <c r="P281" s="122">
        <v>0</v>
      </c>
      <c r="Q281" s="122">
        <v>12</v>
      </c>
      <c r="R281" s="122">
        <v>12</v>
      </c>
      <c r="S281" s="441">
        <f t="shared" si="56"/>
        <v>0</v>
      </c>
      <c r="T281" s="432">
        <f t="shared" si="57"/>
        <v>0</v>
      </c>
      <c r="U281" s="62">
        <f t="shared" si="58"/>
        <v>0</v>
      </c>
      <c r="V281" s="62">
        <f t="shared" ref="V281:V299" si="59">S281-P281</f>
        <v>0</v>
      </c>
    </row>
    <row r="282" spans="1:23" ht="50.15" customHeight="1" x14ac:dyDescent="0.6">
      <c r="A282" s="440">
        <v>1613000751</v>
      </c>
      <c r="B282" s="120">
        <v>61</v>
      </c>
      <c r="C282" s="121" t="s">
        <v>18</v>
      </c>
      <c r="D282" s="121" t="s">
        <v>33</v>
      </c>
      <c r="E282" s="121"/>
      <c r="F282" s="121" t="s">
        <v>267</v>
      </c>
      <c r="G282" s="122">
        <v>113940</v>
      </c>
      <c r="H282" s="122">
        <v>139000</v>
      </c>
      <c r="I282" s="122">
        <v>122755.20000000001</v>
      </c>
      <c r="J282" s="122">
        <v>126160</v>
      </c>
      <c r="K282" s="122">
        <v>139000</v>
      </c>
      <c r="L282" s="123"/>
      <c r="M282" s="123"/>
      <c r="N282" s="123"/>
      <c r="O282" s="226">
        <v>117958.8</v>
      </c>
      <c r="P282" s="122">
        <v>120000</v>
      </c>
      <c r="Q282" s="122">
        <v>12</v>
      </c>
      <c r="R282" s="122">
        <v>12</v>
      </c>
      <c r="S282" s="441">
        <f t="shared" si="56"/>
        <v>120000</v>
      </c>
      <c r="T282" s="432">
        <f t="shared" si="57"/>
        <v>-19000</v>
      </c>
      <c r="U282" s="62">
        <f t="shared" si="58"/>
        <v>-19000</v>
      </c>
      <c r="V282" s="62">
        <f t="shared" si="59"/>
        <v>0</v>
      </c>
      <c r="W282" s="338" t="s">
        <v>831</v>
      </c>
    </row>
    <row r="283" spans="1:23" ht="50.15" customHeight="1" x14ac:dyDescent="0.6">
      <c r="A283" s="440">
        <v>1613001420</v>
      </c>
      <c r="B283" s="120">
        <v>61</v>
      </c>
      <c r="C283" s="121" t="s">
        <v>18</v>
      </c>
      <c r="D283" s="121" t="s">
        <v>33</v>
      </c>
      <c r="E283" s="121"/>
      <c r="F283" s="121" t="s">
        <v>268</v>
      </c>
      <c r="G283" s="122">
        <v>1216.46</v>
      </c>
      <c r="H283" s="122" t="s">
        <v>8</v>
      </c>
      <c r="I283" s="122">
        <v>0</v>
      </c>
      <c r="J283" s="122">
        <v>0</v>
      </c>
      <c r="K283" s="122">
        <v>0</v>
      </c>
      <c r="L283" s="123"/>
      <c r="M283" s="123"/>
      <c r="N283" s="123"/>
      <c r="O283" s="122">
        <v>0</v>
      </c>
      <c r="P283" s="122">
        <v>0</v>
      </c>
      <c r="Q283" s="122">
        <v>12</v>
      </c>
      <c r="R283" s="122">
        <v>12</v>
      </c>
      <c r="S283" s="441">
        <f t="shared" si="56"/>
        <v>0</v>
      </c>
      <c r="T283" s="432">
        <f t="shared" si="57"/>
        <v>0</v>
      </c>
      <c r="U283" s="62">
        <f t="shared" si="58"/>
        <v>0</v>
      </c>
      <c r="V283" s="62">
        <f t="shared" si="59"/>
        <v>0</v>
      </c>
    </row>
    <row r="284" spans="1:23" ht="50.15" customHeight="1" x14ac:dyDescent="0.6">
      <c r="A284" s="440">
        <v>1614000110</v>
      </c>
      <c r="B284" s="120">
        <v>61</v>
      </c>
      <c r="C284" s="121" t="s">
        <v>17</v>
      </c>
      <c r="D284" s="121" t="s">
        <v>33</v>
      </c>
      <c r="E284" s="121" t="s">
        <v>583</v>
      </c>
      <c r="F284" s="121" t="s">
        <v>269</v>
      </c>
      <c r="G284" s="122">
        <v>439258.11</v>
      </c>
      <c r="H284" s="122">
        <v>408978.45</v>
      </c>
      <c r="I284" s="122">
        <v>429354</v>
      </c>
      <c r="J284" s="122">
        <v>396329.1403958333</v>
      </c>
      <c r="K284" s="122">
        <v>249732.28237663745</v>
      </c>
      <c r="L284" s="123">
        <v>2</v>
      </c>
      <c r="M284" s="123">
        <v>2</v>
      </c>
      <c r="N284" s="123">
        <f>ריכוז!K6</f>
        <v>1.5</v>
      </c>
      <c r="O284" s="226">
        <v>426955.47</v>
      </c>
      <c r="P284" s="122">
        <f>ריכוז!M6</f>
        <v>467400</v>
      </c>
      <c r="Q284" s="122">
        <v>12</v>
      </c>
      <c r="R284" s="122">
        <v>12</v>
      </c>
      <c r="S284" s="441">
        <f t="shared" si="56"/>
        <v>467400</v>
      </c>
      <c r="T284" s="432">
        <f t="shared" si="57"/>
        <v>217667.71762336255</v>
      </c>
      <c r="U284" s="62">
        <f t="shared" si="58"/>
        <v>217667.71762336255</v>
      </c>
      <c r="V284" s="62">
        <f t="shared" si="59"/>
        <v>0</v>
      </c>
    </row>
    <row r="285" spans="1:23" ht="50.15" customHeight="1" x14ac:dyDescent="0.6">
      <c r="A285" s="440">
        <v>1614000550</v>
      </c>
      <c r="B285" s="120">
        <v>61</v>
      </c>
      <c r="C285" s="121" t="s">
        <v>18</v>
      </c>
      <c r="D285" s="121" t="s">
        <v>33</v>
      </c>
      <c r="E285" s="121"/>
      <c r="F285" s="121" t="s">
        <v>270</v>
      </c>
      <c r="G285" s="122">
        <v>186553.60000000001</v>
      </c>
      <c r="H285" s="122">
        <v>250000</v>
      </c>
      <c r="I285" s="122">
        <v>249871.932</v>
      </c>
      <c r="J285" s="122">
        <v>350000</v>
      </c>
      <c r="K285" s="122">
        <v>250000</v>
      </c>
      <c r="L285" s="123"/>
      <c r="M285" s="123"/>
      <c r="N285" s="123"/>
      <c r="O285" s="226">
        <f>231572.38+4135</f>
        <v>235707.38</v>
      </c>
      <c r="P285" s="122">
        <v>250000</v>
      </c>
      <c r="Q285" s="122">
        <v>12</v>
      </c>
      <c r="R285" s="122">
        <v>12</v>
      </c>
      <c r="S285" s="441">
        <f t="shared" si="56"/>
        <v>250000</v>
      </c>
      <c r="T285" s="432">
        <f t="shared" si="57"/>
        <v>0</v>
      </c>
      <c r="U285" s="62">
        <f t="shared" si="58"/>
        <v>0</v>
      </c>
      <c r="V285" s="62">
        <f t="shared" si="59"/>
        <v>0</v>
      </c>
      <c r="W285" s="338" t="s">
        <v>832</v>
      </c>
    </row>
    <row r="286" spans="1:23" ht="50.15" customHeight="1" x14ac:dyDescent="0.6">
      <c r="A286" s="440">
        <v>1615000110</v>
      </c>
      <c r="B286" s="120">
        <v>61</v>
      </c>
      <c r="C286" s="121" t="s">
        <v>17</v>
      </c>
      <c r="D286" s="121" t="s">
        <v>33</v>
      </c>
      <c r="E286" s="121" t="s">
        <v>583</v>
      </c>
      <c r="F286" s="121" t="s">
        <v>271</v>
      </c>
      <c r="G286" s="122">
        <v>731944.6</v>
      </c>
      <c r="H286" s="122">
        <v>722497.46</v>
      </c>
      <c r="I286" s="122">
        <v>739473</v>
      </c>
      <c r="J286" s="122">
        <v>763705.85624999984</v>
      </c>
      <c r="K286" s="122">
        <v>738175.6511595234</v>
      </c>
      <c r="L286" s="123">
        <v>3</v>
      </c>
      <c r="M286" s="123">
        <v>3</v>
      </c>
      <c r="N286" s="123">
        <f>ריכוז!K7</f>
        <v>3</v>
      </c>
      <c r="O286" s="122">
        <v>739473</v>
      </c>
      <c r="P286" s="122">
        <f>ריכוז!M7</f>
        <v>752850</v>
      </c>
      <c r="Q286" s="122">
        <v>12</v>
      </c>
      <c r="R286" s="122">
        <v>12</v>
      </c>
      <c r="S286" s="441">
        <f t="shared" si="56"/>
        <v>752850</v>
      </c>
      <c r="T286" s="432">
        <f t="shared" si="57"/>
        <v>14674.348840476596</v>
      </c>
      <c r="U286" s="62">
        <f t="shared" si="58"/>
        <v>14674.348840476596</v>
      </c>
      <c r="V286" s="62">
        <f t="shared" si="59"/>
        <v>0</v>
      </c>
    </row>
    <row r="287" spans="1:23" ht="50.15" customHeight="1" x14ac:dyDescent="0.6">
      <c r="A287" s="440">
        <v>1615000470</v>
      </c>
      <c r="B287" s="120">
        <v>61</v>
      </c>
      <c r="C287" s="121" t="s">
        <v>18</v>
      </c>
      <c r="D287" s="121" t="s">
        <v>33</v>
      </c>
      <c r="E287" s="121"/>
      <c r="F287" s="121" t="s">
        <v>272</v>
      </c>
      <c r="G287" s="122">
        <v>6325.94</v>
      </c>
      <c r="H287" s="122">
        <v>4000</v>
      </c>
      <c r="I287" s="122">
        <v>7341.5640000000003</v>
      </c>
      <c r="J287" s="122">
        <v>6000</v>
      </c>
      <c r="K287" s="122">
        <v>4000</v>
      </c>
      <c r="L287" s="123"/>
      <c r="M287" s="123"/>
      <c r="N287" s="123"/>
      <c r="O287" s="226">
        <v>7099.15</v>
      </c>
      <c r="P287" s="122">
        <v>6000</v>
      </c>
      <c r="Q287" s="122">
        <v>12</v>
      </c>
      <c r="R287" s="122">
        <v>12</v>
      </c>
      <c r="S287" s="441">
        <f t="shared" si="56"/>
        <v>6000</v>
      </c>
      <c r="T287" s="432">
        <f t="shared" si="57"/>
        <v>2000</v>
      </c>
      <c r="U287" s="62">
        <f t="shared" si="58"/>
        <v>2000</v>
      </c>
      <c r="V287" s="62">
        <f t="shared" si="59"/>
        <v>0</v>
      </c>
    </row>
    <row r="288" spans="1:23" ht="50.15" customHeight="1" x14ac:dyDescent="0.6">
      <c r="A288" s="440">
        <v>1615000780</v>
      </c>
      <c r="B288" s="120">
        <v>61</v>
      </c>
      <c r="C288" s="121" t="s">
        <v>18</v>
      </c>
      <c r="D288" s="121" t="s">
        <v>33</v>
      </c>
      <c r="E288" s="121"/>
      <c r="F288" s="121" t="s">
        <v>273</v>
      </c>
      <c r="G288" s="122">
        <v>245740</v>
      </c>
      <c r="H288" s="122">
        <v>245000</v>
      </c>
      <c r="I288" s="122">
        <v>29862</v>
      </c>
      <c r="J288" s="122">
        <v>50000</v>
      </c>
      <c r="K288" s="122">
        <v>245000</v>
      </c>
      <c r="L288" s="123"/>
      <c r="M288" s="123"/>
      <c r="N288" s="123"/>
      <c r="O288" s="226">
        <v>24885</v>
      </c>
      <c r="P288" s="122">
        <v>25000</v>
      </c>
      <c r="Q288" s="122">
        <v>12</v>
      </c>
      <c r="R288" s="122">
        <v>12</v>
      </c>
      <c r="S288" s="441">
        <f t="shared" si="56"/>
        <v>25000</v>
      </c>
      <c r="T288" s="432">
        <f t="shared" si="57"/>
        <v>-220000</v>
      </c>
      <c r="U288" s="62">
        <f t="shared" si="58"/>
        <v>-220000</v>
      </c>
      <c r="V288" s="62">
        <f t="shared" si="59"/>
        <v>0</v>
      </c>
      <c r="W288" s="338" t="s">
        <v>833</v>
      </c>
    </row>
    <row r="289" spans="1:23" ht="50.15" customHeight="1" x14ac:dyDescent="0.6">
      <c r="A289" s="440">
        <v>1615000810</v>
      </c>
      <c r="B289" s="120">
        <v>61</v>
      </c>
      <c r="C289" s="121" t="s">
        <v>18</v>
      </c>
      <c r="D289" s="121" t="s">
        <v>33</v>
      </c>
      <c r="E289" s="121"/>
      <c r="F289" s="121" t="s">
        <v>274</v>
      </c>
      <c r="G289" s="122">
        <v>70000</v>
      </c>
      <c r="H289" s="122">
        <v>70000</v>
      </c>
      <c r="I289" s="122">
        <v>70000</v>
      </c>
      <c r="J289" s="122">
        <v>75000</v>
      </c>
      <c r="K289" s="122">
        <v>70000</v>
      </c>
      <c r="L289" s="123"/>
      <c r="M289" s="123"/>
      <c r="N289" s="123"/>
      <c r="O289" s="122">
        <v>70000</v>
      </c>
      <c r="P289" s="122">
        <v>95000</v>
      </c>
      <c r="Q289" s="122">
        <v>12</v>
      </c>
      <c r="R289" s="122">
        <v>12</v>
      </c>
      <c r="S289" s="441">
        <f t="shared" si="56"/>
        <v>95000</v>
      </c>
      <c r="T289" s="432">
        <f t="shared" si="57"/>
        <v>25000</v>
      </c>
      <c r="U289" s="62">
        <f t="shared" si="58"/>
        <v>25000</v>
      </c>
      <c r="V289" s="62">
        <f t="shared" si="59"/>
        <v>0</v>
      </c>
      <c r="W289" s="338" t="s">
        <v>834</v>
      </c>
    </row>
    <row r="290" spans="1:23" ht="50.15" customHeight="1" x14ac:dyDescent="0.6">
      <c r="A290" s="440">
        <v>1615000811</v>
      </c>
      <c r="B290" s="120">
        <v>61</v>
      </c>
      <c r="C290" s="121" t="s">
        <v>18</v>
      </c>
      <c r="D290" s="121" t="s">
        <v>33</v>
      </c>
      <c r="E290" s="121"/>
      <c r="F290" s="121" t="s">
        <v>275</v>
      </c>
      <c r="G290" s="122">
        <v>184128.6</v>
      </c>
      <c r="H290" s="122">
        <v>412000</v>
      </c>
      <c r="I290" s="122">
        <v>430000</v>
      </c>
      <c r="J290" s="122">
        <v>430000</v>
      </c>
      <c r="K290" s="122">
        <v>412000</v>
      </c>
      <c r="L290" s="123"/>
      <c r="M290" s="123"/>
      <c r="N290" s="123"/>
      <c r="O290" s="226">
        <v>395486.9</v>
      </c>
      <c r="P290" s="122">
        <v>400000</v>
      </c>
      <c r="Q290" s="122">
        <v>12</v>
      </c>
      <c r="R290" s="122">
        <v>12</v>
      </c>
      <c r="S290" s="441">
        <f t="shared" si="56"/>
        <v>400000</v>
      </c>
      <c r="T290" s="432">
        <f t="shared" si="57"/>
        <v>-12000</v>
      </c>
      <c r="U290" s="62">
        <f t="shared" si="58"/>
        <v>-12000</v>
      </c>
      <c r="V290" s="62">
        <f t="shared" si="59"/>
        <v>0</v>
      </c>
      <c r="W290" s="338" t="s">
        <v>835</v>
      </c>
    </row>
    <row r="291" spans="1:23" ht="50.15" customHeight="1" x14ac:dyDescent="0.6">
      <c r="A291" s="440">
        <v>1616100580</v>
      </c>
      <c r="B291" s="120">
        <v>61</v>
      </c>
      <c r="C291" s="121" t="s">
        <v>18</v>
      </c>
      <c r="D291" s="121" t="s">
        <v>33</v>
      </c>
      <c r="E291" s="121"/>
      <c r="F291" s="121" t="s">
        <v>276</v>
      </c>
      <c r="G291" s="122">
        <v>98628.22</v>
      </c>
      <c r="H291" s="122">
        <v>70000</v>
      </c>
      <c r="I291" s="122">
        <v>78639.180000000008</v>
      </c>
      <c r="J291" s="122">
        <v>150000</v>
      </c>
      <c r="K291" s="122">
        <v>50000</v>
      </c>
      <c r="L291" s="123"/>
      <c r="M291" s="123"/>
      <c r="N291" s="123"/>
      <c r="O291" s="226">
        <v>69132.649999999994</v>
      </c>
      <c r="P291" s="122">
        <v>100000</v>
      </c>
      <c r="Q291" s="122">
        <v>12</v>
      </c>
      <c r="R291" s="122">
        <v>12</v>
      </c>
      <c r="S291" s="441">
        <f t="shared" si="56"/>
        <v>100000</v>
      </c>
      <c r="T291" s="432">
        <f t="shared" si="57"/>
        <v>50000</v>
      </c>
      <c r="U291" s="62">
        <f t="shared" si="58"/>
        <v>50000</v>
      </c>
      <c r="V291" s="62">
        <f t="shared" si="59"/>
        <v>0</v>
      </c>
      <c r="W291" s="338" t="s">
        <v>1044</v>
      </c>
    </row>
    <row r="292" spans="1:23" ht="50.15" customHeight="1" x14ac:dyDescent="0.6">
      <c r="A292" s="440">
        <v>1617000110</v>
      </c>
      <c r="B292" s="120">
        <v>61</v>
      </c>
      <c r="C292" s="121" t="s">
        <v>17</v>
      </c>
      <c r="D292" s="121" t="s">
        <v>33</v>
      </c>
      <c r="E292" s="121" t="s">
        <v>583</v>
      </c>
      <c r="F292" s="121" t="s">
        <v>277</v>
      </c>
      <c r="G292" s="122">
        <v>729810.36</v>
      </c>
      <c r="H292" s="122">
        <v>778251.9</v>
      </c>
      <c r="I292" s="122">
        <v>791863</v>
      </c>
      <c r="J292" s="122">
        <v>892847.41954999988</v>
      </c>
      <c r="K292" s="122">
        <v>868512.46965124959</v>
      </c>
      <c r="L292" s="123">
        <v>3.3289999999999997</v>
      </c>
      <c r="M292" s="123">
        <v>4</v>
      </c>
      <c r="N292" s="123">
        <f>ריכוז!K8</f>
        <v>4</v>
      </c>
      <c r="O292" s="226">
        <f>53146+792422.84</f>
        <v>845568.84</v>
      </c>
      <c r="P292" s="122">
        <f>ריכוז!M8</f>
        <v>980800</v>
      </c>
      <c r="Q292" s="122">
        <v>12</v>
      </c>
      <c r="R292" s="122">
        <v>12</v>
      </c>
      <c r="S292" s="441">
        <f t="shared" si="56"/>
        <v>980800</v>
      </c>
      <c r="T292" s="432">
        <f t="shared" si="57"/>
        <v>112287.53034875041</v>
      </c>
      <c r="U292" s="62">
        <f t="shared" si="58"/>
        <v>112287.53034875041</v>
      </c>
      <c r="V292" s="62">
        <f t="shared" si="59"/>
        <v>0</v>
      </c>
    </row>
    <row r="293" spans="1:23" ht="50.15" customHeight="1" x14ac:dyDescent="0.6">
      <c r="A293" s="440">
        <v>1617000751</v>
      </c>
      <c r="B293" s="120">
        <v>61</v>
      </c>
      <c r="C293" s="121" t="s">
        <v>18</v>
      </c>
      <c r="D293" s="121" t="s">
        <v>33</v>
      </c>
      <c r="E293" s="121"/>
      <c r="F293" s="121" t="s">
        <v>278</v>
      </c>
      <c r="G293" s="122">
        <v>314515.8</v>
      </c>
      <c r="H293" s="122">
        <v>50000</v>
      </c>
      <c r="I293" s="122">
        <v>220000</v>
      </c>
      <c r="J293" s="122">
        <v>220000</v>
      </c>
      <c r="K293" s="122">
        <v>20000</v>
      </c>
      <c r="L293" s="123"/>
      <c r="M293" s="123"/>
      <c r="N293" s="123"/>
      <c r="O293" s="226">
        <v>243999.59</v>
      </c>
      <c r="P293" s="122">
        <v>160000</v>
      </c>
      <c r="Q293" s="122">
        <v>12</v>
      </c>
      <c r="R293" s="122">
        <v>12</v>
      </c>
      <c r="S293" s="441">
        <f t="shared" si="56"/>
        <v>160000</v>
      </c>
      <c r="T293" s="432">
        <f t="shared" si="57"/>
        <v>140000</v>
      </c>
      <c r="U293" s="62">
        <f t="shared" si="58"/>
        <v>140000</v>
      </c>
      <c r="V293" s="62">
        <f t="shared" si="59"/>
        <v>0</v>
      </c>
      <c r="W293" s="338" t="s">
        <v>836</v>
      </c>
    </row>
    <row r="294" spans="1:23" ht="50.15" customHeight="1" x14ac:dyDescent="0.6">
      <c r="A294" s="440">
        <v>1617000752</v>
      </c>
      <c r="B294" s="120">
        <v>61</v>
      </c>
      <c r="C294" s="121" t="s">
        <v>18</v>
      </c>
      <c r="D294" s="121" t="s">
        <v>33</v>
      </c>
      <c r="E294" s="121"/>
      <c r="F294" s="121" t="s">
        <v>279</v>
      </c>
      <c r="G294" s="122">
        <v>0</v>
      </c>
      <c r="H294" s="122">
        <v>200000</v>
      </c>
      <c r="I294" s="122">
        <v>54138.216</v>
      </c>
      <c r="J294" s="122">
        <v>100000</v>
      </c>
      <c r="K294" s="122">
        <v>200000</v>
      </c>
      <c r="L294" s="123"/>
      <c r="M294" s="123"/>
      <c r="N294" s="123"/>
      <c r="O294" s="226">
        <v>56815.18</v>
      </c>
      <c r="P294" s="122">
        <v>60000</v>
      </c>
      <c r="Q294" s="122">
        <v>12</v>
      </c>
      <c r="R294" s="122">
        <v>12</v>
      </c>
      <c r="S294" s="441">
        <f t="shared" si="56"/>
        <v>60000</v>
      </c>
      <c r="T294" s="432">
        <f t="shared" si="57"/>
        <v>-140000</v>
      </c>
      <c r="U294" s="62">
        <f t="shared" si="58"/>
        <v>-140000</v>
      </c>
      <c r="V294" s="62">
        <f t="shared" si="59"/>
        <v>0</v>
      </c>
      <c r="W294" s="338" t="s">
        <v>837</v>
      </c>
    </row>
    <row r="295" spans="1:23" ht="50.15" customHeight="1" x14ac:dyDescent="0.6">
      <c r="A295" s="440">
        <v>1617000780</v>
      </c>
      <c r="B295" s="120">
        <v>61</v>
      </c>
      <c r="C295" s="121" t="s">
        <v>18</v>
      </c>
      <c r="D295" s="121" t="s">
        <v>33</v>
      </c>
      <c r="E295" s="121"/>
      <c r="F295" s="121" t="s">
        <v>280</v>
      </c>
      <c r="G295" s="122">
        <v>20093.689999999999</v>
      </c>
      <c r="H295" s="122">
        <v>18000</v>
      </c>
      <c r="I295" s="122">
        <v>15674.244000000002</v>
      </c>
      <c r="J295" s="122">
        <v>18000</v>
      </c>
      <c r="K295" s="122">
        <v>18000</v>
      </c>
      <c r="L295" s="123"/>
      <c r="M295" s="123"/>
      <c r="N295" s="123"/>
      <c r="O295" s="122">
        <v>15674.244000000002</v>
      </c>
      <c r="P295" s="122">
        <v>18000</v>
      </c>
      <c r="Q295" s="122">
        <v>12</v>
      </c>
      <c r="R295" s="122">
        <v>12</v>
      </c>
      <c r="S295" s="441">
        <f t="shared" si="56"/>
        <v>18000</v>
      </c>
      <c r="T295" s="432">
        <f t="shared" si="57"/>
        <v>0</v>
      </c>
      <c r="U295" s="62">
        <f t="shared" si="58"/>
        <v>0</v>
      </c>
      <c r="V295" s="62">
        <f t="shared" si="59"/>
        <v>0</v>
      </c>
      <c r="W295" s="338" t="s">
        <v>838</v>
      </c>
    </row>
    <row r="296" spans="1:23" ht="50.15" customHeight="1" x14ac:dyDescent="0.6">
      <c r="A296" s="440">
        <v>1617000781</v>
      </c>
      <c r="B296" s="120">
        <v>61</v>
      </c>
      <c r="C296" s="121" t="s">
        <v>18</v>
      </c>
      <c r="D296" s="121" t="s">
        <v>33</v>
      </c>
      <c r="E296" s="121"/>
      <c r="F296" s="121" t="s">
        <v>281</v>
      </c>
      <c r="G296" s="122">
        <v>511</v>
      </c>
      <c r="H296" s="122">
        <v>7000</v>
      </c>
      <c r="I296" s="122">
        <v>0</v>
      </c>
      <c r="J296" s="122">
        <v>5000</v>
      </c>
      <c r="K296" s="122">
        <v>7000</v>
      </c>
      <c r="L296" s="123"/>
      <c r="M296" s="123"/>
      <c r="N296" s="123"/>
      <c r="O296" s="122">
        <v>0</v>
      </c>
      <c r="P296" s="122">
        <v>7000</v>
      </c>
      <c r="Q296" s="122">
        <v>12</v>
      </c>
      <c r="R296" s="122">
        <v>12</v>
      </c>
      <c r="S296" s="441">
        <f t="shared" si="56"/>
        <v>7000</v>
      </c>
      <c r="T296" s="432">
        <f t="shared" si="57"/>
        <v>0</v>
      </c>
      <c r="U296" s="62">
        <f t="shared" si="58"/>
        <v>0</v>
      </c>
      <c r="V296" s="62">
        <f t="shared" si="59"/>
        <v>0</v>
      </c>
    </row>
    <row r="297" spans="1:23" ht="50.15" customHeight="1" x14ac:dyDescent="0.6">
      <c r="A297" s="440">
        <v>1619000750</v>
      </c>
      <c r="B297" s="120">
        <v>61</v>
      </c>
      <c r="C297" s="121" t="s">
        <v>18</v>
      </c>
      <c r="D297" s="121" t="s">
        <v>33</v>
      </c>
      <c r="E297" s="121"/>
      <c r="F297" s="121" t="s">
        <v>2162</v>
      </c>
      <c r="G297" s="122">
        <v>310303.18</v>
      </c>
      <c r="H297" s="122">
        <v>0</v>
      </c>
      <c r="I297" s="122"/>
      <c r="J297" s="122">
        <v>0</v>
      </c>
      <c r="K297" s="122">
        <v>0</v>
      </c>
      <c r="L297" s="123"/>
      <c r="M297" s="123"/>
      <c r="N297" s="123"/>
      <c r="O297" s="122">
        <f>5850*6</f>
        <v>35100</v>
      </c>
      <c r="P297" s="122">
        <f>5850*12</f>
        <v>70200</v>
      </c>
      <c r="Q297" s="122">
        <v>12</v>
      </c>
      <c r="R297" s="122">
        <v>12</v>
      </c>
      <c r="S297" s="441">
        <f t="shared" si="56"/>
        <v>70200</v>
      </c>
      <c r="T297" s="432">
        <f t="shared" si="57"/>
        <v>70200</v>
      </c>
      <c r="U297" s="62">
        <f t="shared" si="58"/>
        <v>70200</v>
      </c>
      <c r="V297" s="62">
        <f t="shared" si="59"/>
        <v>0</v>
      </c>
      <c r="W297" s="153" t="s">
        <v>2163</v>
      </c>
    </row>
    <row r="298" spans="1:23" ht="50.15" customHeight="1" x14ac:dyDescent="0.6">
      <c r="A298" s="440" t="s">
        <v>1</v>
      </c>
      <c r="B298" s="159">
        <v>61</v>
      </c>
      <c r="C298" s="121" t="s">
        <v>17</v>
      </c>
      <c r="D298" s="121" t="s">
        <v>33</v>
      </c>
      <c r="E298" s="121" t="s">
        <v>583</v>
      </c>
      <c r="F298" s="121" t="s">
        <v>583</v>
      </c>
      <c r="G298" s="122" t="s">
        <v>8</v>
      </c>
      <c r="H298" s="122" t="s">
        <v>8</v>
      </c>
      <c r="I298" s="122">
        <v>0</v>
      </c>
      <c r="J298" s="122"/>
      <c r="K298" s="122">
        <v>2634.5422295998001</v>
      </c>
      <c r="L298" s="123"/>
      <c r="M298" s="123"/>
      <c r="N298" s="123"/>
      <c r="O298" s="122">
        <v>0</v>
      </c>
      <c r="P298" s="122"/>
      <c r="Q298" s="122">
        <v>12</v>
      </c>
      <c r="R298" s="122">
        <v>12</v>
      </c>
      <c r="S298" s="441">
        <f t="shared" si="56"/>
        <v>0</v>
      </c>
      <c r="T298" s="432">
        <f t="shared" si="57"/>
        <v>-2634.5422295998001</v>
      </c>
      <c r="U298" s="62">
        <f t="shared" si="58"/>
        <v>-2634.5422295998001</v>
      </c>
      <c r="V298" s="62">
        <f t="shared" si="59"/>
        <v>0</v>
      </c>
    </row>
    <row r="299" spans="1:23" ht="50.15" customHeight="1" thickBot="1" x14ac:dyDescent="0.65">
      <c r="A299" s="472" t="s">
        <v>1</v>
      </c>
      <c r="B299" s="406">
        <v>61</v>
      </c>
      <c r="C299" s="335" t="s">
        <v>17</v>
      </c>
      <c r="D299" s="335" t="s">
        <v>33</v>
      </c>
      <c r="E299" s="335" t="s">
        <v>583</v>
      </c>
      <c r="F299" s="335" t="s">
        <v>583</v>
      </c>
      <c r="G299" s="281" t="s">
        <v>8</v>
      </c>
      <c r="H299" s="281" t="s">
        <v>8</v>
      </c>
      <c r="I299" s="281">
        <v>0</v>
      </c>
      <c r="J299" s="281"/>
      <c r="K299" s="281">
        <v>2276.7971810349663</v>
      </c>
      <c r="L299" s="280"/>
      <c r="M299" s="280"/>
      <c r="N299" s="280"/>
      <c r="O299" s="281">
        <v>0</v>
      </c>
      <c r="P299" s="281"/>
      <c r="Q299" s="281">
        <v>12</v>
      </c>
      <c r="R299" s="281">
        <v>12</v>
      </c>
      <c r="S299" s="473">
        <f t="shared" si="56"/>
        <v>0</v>
      </c>
      <c r="T299" s="432">
        <f t="shared" si="57"/>
        <v>-2276.7971810349663</v>
      </c>
      <c r="U299" s="62">
        <f t="shared" si="58"/>
        <v>-2276.7971810349663</v>
      </c>
      <c r="V299" s="399">
        <f t="shared" si="59"/>
        <v>0</v>
      </c>
    </row>
    <row r="300" spans="1:23" ht="50.15" customHeight="1" thickBot="1" x14ac:dyDescent="0.65">
      <c r="A300" s="407"/>
      <c r="B300" s="401"/>
      <c r="C300" s="402"/>
      <c r="D300" s="65"/>
      <c r="E300" s="65"/>
      <c r="F300" s="403"/>
      <c r="G300" s="408">
        <f t="shared" ref="G300:N300" si="60">SUM(G249:G299)</f>
        <v>9850453.8099999987</v>
      </c>
      <c r="H300" s="66">
        <f t="shared" si="60"/>
        <v>9712385.7000000011</v>
      </c>
      <c r="I300" s="66">
        <f t="shared" si="60"/>
        <v>9567389.6720000021</v>
      </c>
      <c r="J300" s="66">
        <f t="shared" si="60"/>
        <v>10840923.420354165</v>
      </c>
      <c r="K300" s="66">
        <f t="shared" si="60"/>
        <v>9567695.8519352674</v>
      </c>
      <c r="L300" s="66">
        <f t="shared" si="60"/>
        <v>27.668999999999997</v>
      </c>
      <c r="M300" s="66">
        <f t="shared" si="60"/>
        <v>28.82</v>
      </c>
      <c r="N300" s="66">
        <f t="shared" si="60"/>
        <v>27.283333333333331</v>
      </c>
      <c r="O300" s="390">
        <f t="shared" ref="O300:U300" si="61">SUM(O249:O299)</f>
        <v>9752324.1840000004</v>
      </c>
      <c r="P300" s="66">
        <f t="shared" si="61"/>
        <v>10195335.902010582</v>
      </c>
      <c r="Q300" s="66">
        <f t="shared" si="61"/>
        <v>600</v>
      </c>
      <c r="R300" s="66">
        <f t="shared" si="61"/>
        <v>600</v>
      </c>
      <c r="S300" s="66">
        <f t="shared" si="61"/>
        <v>10195335.902010582</v>
      </c>
      <c r="T300" s="398">
        <f t="shared" si="61"/>
        <v>627640.05007531471</v>
      </c>
      <c r="U300" s="396">
        <f t="shared" si="61"/>
        <v>627640.05007531471</v>
      </c>
      <c r="V300" s="66">
        <f>SUM(V249:V299)</f>
        <v>0</v>
      </c>
    </row>
    <row r="301" spans="1:23" ht="50.15" customHeight="1" x14ac:dyDescent="0.35">
      <c r="A301" s="474" t="s">
        <v>672</v>
      </c>
      <c r="B301" s="328"/>
      <c r="C301" s="328"/>
      <c r="D301" s="118"/>
      <c r="E301" s="118"/>
      <c r="F301" s="328"/>
      <c r="G301" s="118"/>
      <c r="H301" s="118"/>
      <c r="I301" s="118"/>
      <c r="J301" s="118"/>
      <c r="K301" s="118"/>
      <c r="L301" s="118"/>
      <c r="M301" s="333"/>
      <c r="N301" s="118"/>
      <c r="O301" s="118"/>
      <c r="P301" s="329"/>
      <c r="Q301" s="328"/>
      <c r="R301" s="328"/>
      <c r="S301" s="471"/>
      <c r="T301" s="461"/>
      <c r="U301" s="391"/>
      <c r="V301" s="400"/>
    </row>
    <row r="302" spans="1:23" ht="50.15" customHeight="1" x14ac:dyDescent="0.6">
      <c r="A302" s="440">
        <v>1621000110</v>
      </c>
      <c r="B302" s="120">
        <v>62</v>
      </c>
      <c r="C302" s="121" t="s">
        <v>17</v>
      </c>
      <c r="D302" s="121" t="s">
        <v>33</v>
      </c>
      <c r="E302" s="121" t="s">
        <v>583</v>
      </c>
      <c r="F302" s="121" t="s">
        <v>283</v>
      </c>
      <c r="G302" s="122">
        <v>715504.24</v>
      </c>
      <c r="H302" s="122">
        <v>746669.35</v>
      </c>
      <c r="I302" s="122">
        <v>733571</v>
      </c>
      <c r="J302" s="122">
        <v>724723.37505000003</v>
      </c>
      <c r="K302" s="122">
        <v>762872.0711733941</v>
      </c>
      <c r="L302" s="123">
        <v>3.1709000000000001</v>
      </c>
      <c r="M302" s="123">
        <v>3</v>
      </c>
      <c r="N302" s="123">
        <f>ריכוז!K11</f>
        <v>2.8333333333333335</v>
      </c>
      <c r="O302" s="226">
        <v>733813.19</v>
      </c>
      <c r="P302" s="122">
        <f>ריכוז!M11</f>
        <v>685600</v>
      </c>
      <c r="Q302" s="122">
        <v>12</v>
      </c>
      <c r="R302" s="122">
        <v>12</v>
      </c>
      <c r="S302" s="441">
        <f t="shared" si="56"/>
        <v>685600</v>
      </c>
      <c r="T302" s="432">
        <f>P302-K302</f>
        <v>-77272.071173394099</v>
      </c>
      <c r="U302" s="62">
        <f>S302-K302</f>
        <v>-77272.071173394099</v>
      </c>
      <c r="V302" s="62">
        <f t="shared" ref="V302:V318" si="62">S302-P302</f>
        <v>0</v>
      </c>
      <c r="W302" s="338" t="s">
        <v>910</v>
      </c>
    </row>
    <row r="303" spans="1:23" s="243" customFormat="1" ht="50.15" customHeight="1" x14ac:dyDescent="0.6">
      <c r="A303" s="440">
        <v>1621100750</v>
      </c>
      <c r="B303" s="120">
        <v>62</v>
      </c>
      <c r="C303" s="121" t="s">
        <v>18</v>
      </c>
      <c r="D303" s="121" t="s">
        <v>33</v>
      </c>
      <c r="E303" s="121"/>
      <c r="F303" s="121" t="s">
        <v>2151</v>
      </c>
      <c r="G303" s="122"/>
      <c r="H303" s="122"/>
      <c r="I303" s="122"/>
      <c r="J303" s="122"/>
      <c r="K303" s="122"/>
      <c r="L303" s="123"/>
      <c r="M303" s="123"/>
      <c r="N303" s="123"/>
      <c r="O303" s="226">
        <v>0</v>
      </c>
      <c r="P303" s="122">
        <f>11500*1.17*7</f>
        <v>94185</v>
      </c>
      <c r="Q303" s="122">
        <v>7</v>
      </c>
      <c r="R303" s="122">
        <v>7</v>
      </c>
      <c r="S303" s="441">
        <f t="shared" si="56"/>
        <v>94185</v>
      </c>
      <c r="T303" s="432">
        <f t="shared" ref="T303:T318" si="63">P303-K303</f>
        <v>94185</v>
      </c>
      <c r="U303" s="62">
        <f t="shared" ref="U303:U318" si="64">S303-K303</f>
        <v>94185</v>
      </c>
      <c r="V303" s="62">
        <f t="shared" si="62"/>
        <v>0</v>
      </c>
      <c r="W303" s="338"/>
    </row>
    <row r="304" spans="1:23" ht="50.15" customHeight="1" x14ac:dyDescent="0.6">
      <c r="A304" s="440">
        <v>1621000450</v>
      </c>
      <c r="B304" s="120">
        <v>62</v>
      </c>
      <c r="C304" s="121" t="s">
        <v>18</v>
      </c>
      <c r="D304" s="121" t="s">
        <v>33</v>
      </c>
      <c r="E304" s="121"/>
      <c r="F304" s="121" t="s">
        <v>284</v>
      </c>
      <c r="G304" s="122">
        <v>32581.97</v>
      </c>
      <c r="H304" s="122">
        <v>18000</v>
      </c>
      <c r="I304" s="122">
        <v>12296.400000000001</v>
      </c>
      <c r="J304" s="122">
        <v>75000</v>
      </c>
      <c r="K304" s="122">
        <v>18000</v>
      </c>
      <c r="L304" s="123"/>
      <c r="M304" s="123"/>
      <c r="N304" s="123"/>
      <c r="O304" s="226">
        <v>16060</v>
      </c>
      <c r="P304" s="122">
        <v>18000</v>
      </c>
      <c r="Q304" s="122">
        <v>12</v>
      </c>
      <c r="R304" s="122">
        <v>12</v>
      </c>
      <c r="S304" s="441">
        <f t="shared" si="56"/>
        <v>18000</v>
      </c>
      <c r="T304" s="432">
        <f t="shared" si="63"/>
        <v>0</v>
      </c>
      <c r="U304" s="62">
        <f t="shared" si="64"/>
        <v>0</v>
      </c>
      <c r="V304" s="62">
        <f t="shared" si="62"/>
        <v>0</v>
      </c>
      <c r="W304" s="338" t="s">
        <v>839</v>
      </c>
    </row>
    <row r="305" spans="1:24" ht="50.15" customHeight="1" x14ac:dyDescent="0.6">
      <c r="A305" s="440">
        <v>1621000470</v>
      </c>
      <c r="B305" s="120">
        <v>62</v>
      </c>
      <c r="C305" s="121" t="s">
        <v>18</v>
      </c>
      <c r="D305" s="121" t="s">
        <v>33</v>
      </c>
      <c r="E305" s="121"/>
      <c r="F305" s="121" t="s">
        <v>256</v>
      </c>
      <c r="G305" s="122">
        <v>14624.88</v>
      </c>
      <c r="H305" s="122">
        <v>12000</v>
      </c>
      <c r="I305" s="122">
        <v>8128.152</v>
      </c>
      <c r="J305" s="122">
        <v>9000</v>
      </c>
      <c r="K305" s="122">
        <v>12000</v>
      </c>
      <c r="L305" s="123"/>
      <c r="M305" s="123"/>
      <c r="N305" s="123"/>
      <c r="O305" s="122">
        <v>12307</v>
      </c>
      <c r="P305" s="122">
        <v>12000</v>
      </c>
      <c r="Q305" s="122">
        <v>12</v>
      </c>
      <c r="R305" s="122">
        <v>12</v>
      </c>
      <c r="S305" s="441">
        <f t="shared" si="56"/>
        <v>12000</v>
      </c>
      <c r="T305" s="432">
        <f t="shared" si="63"/>
        <v>0</v>
      </c>
      <c r="U305" s="62">
        <f t="shared" si="64"/>
        <v>0</v>
      </c>
      <c r="V305" s="62">
        <f t="shared" si="62"/>
        <v>0</v>
      </c>
    </row>
    <row r="306" spans="1:24" ht="50.15" customHeight="1" x14ac:dyDescent="0.6">
      <c r="A306" s="440">
        <v>1621000511</v>
      </c>
      <c r="B306" s="120">
        <v>62</v>
      </c>
      <c r="C306" s="121" t="s">
        <v>18</v>
      </c>
      <c r="D306" s="121" t="s">
        <v>33</v>
      </c>
      <c r="E306" s="121"/>
      <c r="F306" s="121" t="s">
        <v>285</v>
      </c>
      <c r="G306" s="122">
        <v>6336.97</v>
      </c>
      <c r="H306" s="122">
        <v>6000</v>
      </c>
      <c r="I306" s="122">
        <v>4711.7039999999997</v>
      </c>
      <c r="J306" s="122">
        <v>6000</v>
      </c>
      <c r="K306" s="122">
        <v>6000</v>
      </c>
      <c r="L306" s="123"/>
      <c r="M306" s="123"/>
      <c r="N306" s="123"/>
      <c r="O306" s="122">
        <v>6307</v>
      </c>
      <c r="P306" s="122">
        <v>6000</v>
      </c>
      <c r="Q306" s="122">
        <v>12</v>
      </c>
      <c r="R306" s="122">
        <v>12</v>
      </c>
      <c r="S306" s="441">
        <f t="shared" si="56"/>
        <v>6000</v>
      </c>
      <c r="T306" s="432">
        <f t="shared" si="63"/>
        <v>0</v>
      </c>
      <c r="U306" s="62">
        <f t="shared" si="64"/>
        <v>0</v>
      </c>
      <c r="V306" s="62">
        <f t="shared" si="62"/>
        <v>0</v>
      </c>
    </row>
    <row r="307" spans="1:24" ht="50.15" customHeight="1" x14ac:dyDescent="0.6">
      <c r="A307" s="440">
        <v>1621000520</v>
      </c>
      <c r="B307" s="120">
        <v>62</v>
      </c>
      <c r="C307" s="121" t="s">
        <v>18</v>
      </c>
      <c r="D307" s="121" t="s">
        <v>33</v>
      </c>
      <c r="E307" s="121"/>
      <c r="F307" s="121" t="s">
        <v>286</v>
      </c>
      <c r="G307" s="122">
        <v>46</v>
      </c>
      <c r="H307" s="122">
        <v>4000</v>
      </c>
      <c r="I307" s="122">
        <v>3340.7999999999997</v>
      </c>
      <c r="J307" s="122">
        <v>4000</v>
      </c>
      <c r="K307" s="122">
        <v>4000</v>
      </c>
      <c r="L307" s="123"/>
      <c r="M307" s="123"/>
      <c r="N307" s="123"/>
      <c r="O307" s="122">
        <v>2784</v>
      </c>
      <c r="P307" s="122">
        <v>4000</v>
      </c>
      <c r="Q307" s="122">
        <v>12</v>
      </c>
      <c r="R307" s="122">
        <v>12</v>
      </c>
      <c r="S307" s="441">
        <f t="shared" si="56"/>
        <v>4000</v>
      </c>
      <c r="T307" s="432">
        <f t="shared" si="63"/>
        <v>0</v>
      </c>
      <c r="U307" s="62">
        <f t="shared" si="64"/>
        <v>0</v>
      </c>
      <c r="V307" s="62">
        <f t="shared" si="62"/>
        <v>0</v>
      </c>
    </row>
    <row r="308" spans="1:24" ht="50.15" customHeight="1" x14ac:dyDescent="0.6">
      <c r="A308" s="440">
        <v>1621000540</v>
      </c>
      <c r="B308" s="120">
        <v>62</v>
      </c>
      <c r="C308" s="121" t="s">
        <v>18</v>
      </c>
      <c r="D308" s="121" t="s">
        <v>33</v>
      </c>
      <c r="E308" s="121"/>
      <c r="F308" s="121" t="s">
        <v>287</v>
      </c>
      <c r="G308" s="122">
        <v>676.14</v>
      </c>
      <c r="H308" s="122">
        <v>600</v>
      </c>
      <c r="I308" s="122">
        <v>480</v>
      </c>
      <c r="J308" s="122">
        <v>600</v>
      </c>
      <c r="K308" s="122">
        <v>600</v>
      </c>
      <c r="L308" s="123"/>
      <c r="M308" s="123"/>
      <c r="N308" s="123"/>
      <c r="O308" s="122">
        <v>900</v>
      </c>
      <c r="P308" s="122">
        <v>900</v>
      </c>
      <c r="Q308" s="122">
        <v>12</v>
      </c>
      <c r="R308" s="122">
        <v>12</v>
      </c>
      <c r="S308" s="441">
        <f t="shared" si="56"/>
        <v>900</v>
      </c>
      <c r="T308" s="432">
        <f t="shared" si="63"/>
        <v>300</v>
      </c>
      <c r="U308" s="62">
        <f t="shared" si="64"/>
        <v>300</v>
      </c>
      <c r="V308" s="62">
        <f t="shared" si="62"/>
        <v>0</v>
      </c>
    </row>
    <row r="309" spans="1:24" ht="50.15" customHeight="1" x14ac:dyDescent="0.6">
      <c r="A309" s="440">
        <v>1621000570</v>
      </c>
      <c r="B309" s="120">
        <v>62</v>
      </c>
      <c r="C309" s="121" t="s">
        <v>18</v>
      </c>
      <c r="D309" s="121" t="s">
        <v>33</v>
      </c>
      <c r="E309" s="121"/>
      <c r="F309" s="121" t="s">
        <v>288</v>
      </c>
      <c r="G309" s="122">
        <v>741978.72</v>
      </c>
      <c r="H309" s="122">
        <v>782457.8</v>
      </c>
      <c r="I309" s="122">
        <v>696367.23600000003</v>
      </c>
      <c r="J309" s="122">
        <v>963677.79999999993</v>
      </c>
      <c r="K309" s="122">
        <v>782457.79999999993</v>
      </c>
      <c r="L309" s="123"/>
      <c r="M309" s="123"/>
      <c r="N309" s="123"/>
      <c r="O309" s="226">
        <v>670833.76</v>
      </c>
      <c r="P309" s="122">
        <v>700000</v>
      </c>
      <c r="Q309" s="122">
        <v>12</v>
      </c>
      <c r="R309" s="122">
        <v>12</v>
      </c>
      <c r="S309" s="441">
        <f t="shared" si="56"/>
        <v>700000</v>
      </c>
      <c r="T309" s="432">
        <f t="shared" si="63"/>
        <v>-82457.79999999993</v>
      </c>
      <c r="U309" s="62">
        <f t="shared" si="64"/>
        <v>-82457.79999999993</v>
      </c>
      <c r="V309" s="62">
        <f t="shared" si="62"/>
        <v>0</v>
      </c>
      <c r="W309" s="338" t="s">
        <v>2150</v>
      </c>
    </row>
    <row r="310" spans="1:24" ht="50.15" customHeight="1" x14ac:dyDescent="0.6">
      <c r="A310" s="440">
        <v>1621000571</v>
      </c>
      <c r="B310" s="120">
        <v>62</v>
      </c>
      <c r="C310" s="121" t="s">
        <v>18</v>
      </c>
      <c r="D310" s="121" t="s">
        <v>33</v>
      </c>
      <c r="E310" s="121"/>
      <c r="F310" s="121" t="s">
        <v>289</v>
      </c>
      <c r="G310" s="122">
        <v>16689.23</v>
      </c>
      <c r="H310" s="122">
        <v>173311</v>
      </c>
      <c r="I310" s="122">
        <v>0</v>
      </c>
      <c r="J310" s="122">
        <v>173311</v>
      </c>
      <c r="K310" s="122">
        <v>173311</v>
      </c>
      <c r="L310" s="123"/>
      <c r="M310" s="123"/>
      <c r="N310" s="123"/>
      <c r="O310" s="122">
        <v>0</v>
      </c>
      <c r="P310" s="122">
        <v>0</v>
      </c>
      <c r="Q310" s="122">
        <v>12</v>
      </c>
      <c r="R310" s="122">
        <v>12</v>
      </c>
      <c r="S310" s="441">
        <f t="shared" si="56"/>
        <v>0</v>
      </c>
      <c r="T310" s="432">
        <f t="shared" si="63"/>
        <v>-173311</v>
      </c>
      <c r="U310" s="62">
        <f t="shared" si="64"/>
        <v>-173311</v>
      </c>
      <c r="V310" s="62">
        <f t="shared" si="62"/>
        <v>0</v>
      </c>
      <c r="W310" s="338" t="s">
        <v>841</v>
      </c>
      <c r="X310" s="239" t="s">
        <v>1045</v>
      </c>
    </row>
    <row r="311" spans="1:24" ht="50.15" customHeight="1" x14ac:dyDescent="0.6">
      <c r="A311" s="440">
        <v>1621000750</v>
      </c>
      <c r="B311" s="120">
        <v>62</v>
      </c>
      <c r="C311" s="121" t="s">
        <v>18</v>
      </c>
      <c r="D311" s="121" t="s">
        <v>33</v>
      </c>
      <c r="E311" s="121"/>
      <c r="F311" s="121" t="s">
        <v>290</v>
      </c>
      <c r="G311" s="122">
        <v>457697.65</v>
      </c>
      <c r="H311" s="122">
        <v>612000</v>
      </c>
      <c r="I311" s="122">
        <v>717576.97200000007</v>
      </c>
      <c r="J311" s="122">
        <v>859410</v>
      </c>
      <c r="K311" s="122">
        <v>612000</v>
      </c>
      <c r="L311" s="123"/>
      <c r="M311" s="123"/>
      <c r="N311" s="123"/>
      <c r="O311" s="122">
        <f>717576.972-11115*12</f>
        <v>584196.97199999995</v>
      </c>
      <c r="P311" s="122">
        <f>40000*1.17*12+9000*1.17*6</f>
        <v>624780</v>
      </c>
      <c r="Q311" s="122">
        <v>12</v>
      </c>
      <c r="R311" s="122">
        <v>12</v>
      </c>
      <c r="S311" s="441">
        <f t="shared" si="56"/>
        <v>624780</v>
      </c>
      <c r="T311" s="432">
        <f t="shared" si="63"/>
        <v>12780</v>
      </c>
      <c r="U311" s="62">
        <f t="shared" si="64"/>
        <v>12780</v>
      </c>
      <c r="V311" s="62">
        <f t="shared" si="62"/>
        <v>0</v>
      </c>
      <c r="W311" s="338" t="s">
        <v>2161</v>
      </c>
      <c r="X311" s="239" t="s">
        <v>1046</v>
      </c>
    </row>
    <row r="312" spans="1:24" ht="50.15" customHeight="1" x14ac:dyDescent="0.6">
      <c r="A312" s="440">
        <v>1621300110</v>
      </c>
      <c r="B312" s="120">
        <v>62</v>
      </c>
      <c r="C312" s="121" t="s">
        <v>17</v>
      </c>
      <c r="D312" s="121" t="s">
        <v>33</v>
      </c>
      <c r="E312" s="121" t="s">
        <v>583</v>
      </c>
      <c r="F312" s="121" t="s">
        <v>291</v>
      </c>
      <c r="G312" s="122">
        <v>737827.1</v>
      </c>
      <c r="H312" s="122">
        <v>674809.93</v>
      </c>
      <c r="I312" s="122">
        <v>713691</v>
      </c>
      <c r="J312" s="122">
        <v>532536.34549999994</v>
      </c>
      <c r="K312" s="122">
        <v>410915.30370392313</v>
      </c>
      <c r="L312" s="123">
        <v>4.95</v>
      </c>
      <c r="M312" s="123">
        <v>5.2</v>
      </c>
      <c r="N312" s="123">
        <f>ריכוז!K12</f>
        <v>4</v>
      </c>
      <c r="O312" s="226">
        <v>713710.91</v>
      </c>
      <c r="P312" s="122">
        <f>ריכוז!M12</f>
        <v>563600</v>
      </c>
      <c r="Q312" s="122">
        <v>12</v>
      </c>
      <c r="R312" s="122">
        <v>12</v>
      </c>
      <c r="S312" s="441">
        <f t="shared" si="56"/>
        <v>563600</v>
      </c>
      <c r="T312" s="432">
        <f t="shared" si="63"/>
        <v>152684.69629607687</v>
      </c>
      <c r="U312" s="62">
        <f t="shared" si="64"/>
        <v>152684.69629607687</v>
      </c>
      <c r="V312" s="62">
        <f t="shared" si="62"/>
        <v>0</v>
      </c>
    </row>
    <row r="313" spans="1:24" ht="50.15" customHeight="1" x14ac:dyDescent="0.6">
      <c r="A313" s="440">
        <v>1621400110</v>
      </c>
      <c r="B313" s="120">
        <v>62</v>
      </c>
      <c r="C313" s="121" t="s">
        <v>17</v>
      </c>
      <c r="D313" s="121" t="s">
        <v>33</v>
      </c>
      <c r="E313" s="121" t="s">
        <v>583</v>
      </c>
      <c r="F313" s="121" t="s">
        <v>292</v>
      </c>
      <c r="G313" s="122">
        <v>175807.97</v>
      </c>
      <c r="H313" s="122">
        <v>209300.02</v>
      </c>
      <c r="I313" s="122">
        <v>202665</v>
      </c>
      <c r="J313" s="122">
        <v>205705.72609999997</v>
      </c>
      <c r="K313" s="122">
        <v>144604.83325218922</v>
      </c>
      <c r="L313" s="123">
        <v>1.5</v>
      </c>
      <c r="M313" s="123">
        <v>1.5</v>
      </c>
      <c r="N313" s="123">
        <f>ריכוז!K13</f>
        <v>1.5</v>
      </c>
      <c r="O313" s="226">
        <v>203205.15</v>
      </c>
      <c r="P313" s="122">
        <f>ריכוז!M13</f>
        <v>210400</v>
      </c>
      <c r="Q313" s="122">
        <v>12</v>
      </c>
      <c r="R313" s="122">
        <v>12</v>
      </c>
      <c r="S313" s="441">
        <f t="shared" si="56"/>
        <v>210400</v>
      </c>
      <c r="T313" s="432">
        <f t="shared" si="63"/>
        <v>65795.166747810785</v>
      </c>
      <c r="U313" s="62">
        <f t="shared" si="64"/>
        <v>65795.166747810785</v>
      </c>
      <c r="V313" s="62">
        <f t="shared" si="62"/>
        <v>0</v>
      </c>
    </row>
    <row r="314" spans="1:24" ht="50.15" customHeight="1" x14ac:dyDescent="0.6">
      <c r="A314" s="440">
        <v>1621400560</v>
      </c>
      <c r="B314" s="120">
        <v>62</v>
      </c>
      <c r="C314" s="121" t="s">
        <v>18</v>
      </c>
      <c r="D314" s="121" t="s">
        <v>33</v>
      </c>
      <c r="E314" s="121"/>
      <c r="F314" s="121" t="s">
        <v>293</v>
      </c>
      <c r="G314" s="122">
        <v>12849.1</v>
      </c>
      <c r="H314" s="122">
        <v>30000</v>
      </c>
      <c r="I314" s="122">
        <v>28363.680000000004</v>
      </c>
      <c r="J314" s="122">
        <v>28000</v>
      </c>
      <c r="K314" s="122">
        <v>30000</v>
      </c>
      <c r="L314" s="123"/>
      <c r="M314" s="123"/>
      <c r="N314" s="123"/>
      <c r="O314" s="226">
        <v>26180.9</v>
      </c>
      <c r="P314" s="122">
        <v>30000</v>
      </c>
      <c r="Q314" s="122">
        <v>12</v>
      </c>
      <c r="R314" s="122">
        <v>12</v>
      </c>
      <c r="S314" s="441">
        <f t="shared" ref="S314:S326" si="65">P314*Q314/R314</f>
        <v>30000</v>
      </c>
      <c r="T314" s="432">
        <f t="shared" si="63"/>
        <v>0</v>
      </c>
      <c r="U314" s="62">
        <f t="shared" si="64"/>
        <v>0</v>
      </c>
      <c r="V314" s="62">
        <f t="shared" si="62"/>
        <v>0</v>
      </c>
      <c r="W314" s="338" t="s">
        <v>842</v>
      </c>
    </row>
    <row r="315" spans="1:24" ht="50.15" customHeight="1" x14ac:dyDescent="0.6">
      <c r="A315" s="440">
        <v>1623000470</v>
      </c>
      <c r="B315" s="120">
        <v>62</v>
      </c>
      <c r="C315" s="121" t="s">
        <v>18</v>
      </c>
      <c r="D315" s="121" t="s">
        <v>33</v>
      </c>
      <c r="E315" s="121"/>
      <c r="F315" s="121" t="s">
        <v>256</v>
      </c>
      <c r="G315" s="122">
        <v>0</v>
      </c>
      <c r="H315" s="122">
        <v>10000</v>
      </c>
      <c r="I315" s="122">
        <v>0</v>
      </c>
      <c r="J315" s="122">
        <v>10000</v>
      </c>
      <c r="K315" s="122">
        <v>10000</v>
      </c>
      <c r="L315" s="123"/>
      <c r="M315" s="123"/>
      <c r="N315" s="123"/>
      <c r="O315" s="122">
        <v>0</v>
      </c>
      <c r="P315" s="122">
        <v>10000</v>
      </c>
      <c r="Q315" s="122">
        <v>12</v>
      </c>
      <c r="R315" s="122">
        <v>12</v>
      </c>
      <c r="S315" s="441">
        <f t="shared" si="65"/>
        <v>10000</v>
      </c>
      <c r="T315" s="432">
        <f t="shared" si="63"/>
        <v>0</v>
      </c>
      <c r="U315" s="62">
        <f t="shared" si="64"/>
        <v>0</v>
      </c>
      <c r="V315" s="62">
        <f t="shared" si="62"/>
        <v>0</v>
      </c>
    </row>
    <row r="316" spans="1:24" ht="50.15" customHeight="1" x14ac:dyDescent="0.6">
      <c r="A316" s="440">
        <v>1623000540</v>
      </c>
      <c r="B316" s="120">
        <v>62</v>
      </c>
      <c r="C316" s="121" t="s">
        <v>18</v>
      </c>
      <c r="D316" s="121" t="s">
        <v>33</v>
      </c>
      <c r="E316" s="121"/>
      <c r="F316" s="121" t="s">
        <v>294</v>
      </c>
      <c r="G316" s="122">
        <v>301.19</v>
      </c>
      <c r="H316" s="122" t="s">
        <v>8</v>
      </c>
      <c r="I316" s="122">
        <v>0</v>
      </c>
      <c r="J316" s="122">
        <v>0</v>
      </c>
      <c r="K316" s="122">
        <v>0</v>
      </c>
      <c r="L316" s="123"/>
      <c r="M316" s="123"/>
      <c r="N316" s="123"/>
      <c r="O316" s="122">
        <v>0</v>
      </c>
      <c r="P316" s="122">
        <v>0</v>
      </c>
      <c r="Q316" s="122">
        <v>12</v>
      </c>
      <c r="R316" s="122">
        <v>12</v>
      </c>
      <c r="S316" s="441">
        <f t="shared" si="65"/>
        <v>0</v>
      </c>
      <c r="T316" s="432">
        <f t="shared" si="63"/>
        <v>0</v>
      </c>
      <c r="U316" s="62">
        <f t="shared" si="64"/>
        <v>0</v>
      </c>
      <c r="V316" s="62">
        <f t="shared" si="62"/>
        <v>0</v>
      </c>
    </row>
    <row r="317" spans="1:24" ht="50.15" customHeight="1" x14ac:dyDescent="0.6">
      <c r="A317" s="440">
        <v>1623000541</v>
      </c>
      <c r="B317" s="120">
        <v>62</v>
      </c>
      <c r="C317" s="121" t="s">
        <v>18</v>
      </c>
      <c r="D317" s="121" t="s">
        <v>33</v>
      </c>
      <c r="E317" s="121"/>
      <c r="F317" s="121" t="s">
        <v>263</v>
      </c>
      <c r="G317" s="122">
        <v>120699.5</v>
      </c>
      <c r="H317" s="122">
        <v>150000</v>
      </c>
      <c r="I317" s="122">
        <v>110596.26</v>
      </c>
      <c r="J317" s="122">
        <v>110000</v>
      </c>
      <c r="K317" s="122">
        <v>150000</v>
      </c>
      <c r="L317" s="123"/>
      <c r="M317" s="123"/>
      <c r="N317" s="123"/>
      <c r="O317" s="226">
        <v>155344.64000000001</v>
      </c>
      <c r="P317" s="122">
        <v>150000</v>
      </c>
      <c r="Q317" s="122">
        <v>12</v>
      </c>
      <c r="R317" s="122">
        <v>12</v>
      </c>
      <c r="S317" s="441">
        <f t="shared" si="65"/>
        <v>150000</v>
      </c>
      <c r="T317" s="432">
        <f t="shared" si="63"/>
        <v>0</v>
      </c>
      <c r="U317" s="62">
        <f t="shared" si="64"/>
        <v>0</v>
      </c>
      <c r="V317" s="62">
        <f t="shared" si="62"/>
        <v>0</v>
      </c>
      <c r="W317" s="338" t="s">
        <v>843</v>
      </c>
    </row>
    <row r="318" spans="1:24" ht="50.15" customHeight="1" thickBot="1" x14ac:dyDescent="0.65">
      <c r="A318" s="472">
        <v>1623000750</v>
      </c>
      <c r="B318" s="334">
        <v>62</v>
      </c>
      <c r="C318" s="335" t="s">
        <v>18</v>
      </c>
      <c r="D318" s="335" t="s">
        <v>33</v>
      </c>
      <c r="E318" s="335"/>
      <c r="F318" s="335" t="s">
        <v>295</v>
      </c>
      <c r="G318" s="281">
        <v>2159564.56</v>
      </c>
      <c r="H318" s="281">
        <v>2091260</v>
      </c>
      <c r="I318" s="281">
        <v>2421119.088</v>
      </c>
      <c r="J318" s="281">
        <v>2480000</v>
      </c>
      <c r="K318" s="281">
        <v>2091260</v>
      </c>
      <c r="L318" s="280"/>
      <c r="M318" s="280"/>
      <c r="N318" s="280"/>
      <c r="O318" s="426">
        <f>2258825.75-O297</f>
        <v>2223725.75</v>
      </c>
      <c r="P318" s="281">
        <v>2200000</v>
      </c>
      <c r="Q318" s="281">
        <v>12</v>
      </c>
      <c r="R318" s="281">
        <v>12</v>
      </c>
      <c r="S318" s="473">
        <f t="shared" si="65"/>
        <v>2200000</v>
      </c>
      <c r="T318" s="432">
        <f t="shared" si="63"/>
        <v>108740</v>
      </c>
      <c r="U318" s="62">
        <f t="shared" si="64"/>
        <v>108740</v>
      </c>
      <c r="V318" s="62">
        <f t="shared" si="62"/>
        <v>0</v>
      </c>
      <c r="W318" s="338" t="s">
        <v>844</v>
      </c>
      <c r="X318" s="239" t="s">
        <v>845</v>
      </c>
    </row>
    <row r="319" spans="1:24" ht="50.15" customHeight="1" thickBot="1" x14ac:dyDescent="0.65">
      <c r="A319" s="407"/>
      <c r="B319" s="64"/>
      <c r="C319" s="65"/>
      <c r="D319" s="65"/>
      <c r="E319" s="65"/>
      <c r="F319" s="65"/>
      <c r="G319" s="66">
        <f t="shared" ref="G319:V319" si="66">SUM(G302:G318)</f>
        <v>5193185.2200000007</v>
      </c>
      <c r="H319" s="66">
        <f t="shared" si="66"/>
        <v>5520408.0999999996</v>
      </c>
      <c r="I319" s="66">
        <f t="shared" si="66"/>
        <v>5652907.2920000004</v>
      </c>
      <c r="J319" s="66">
        <f t="shared" si="66"/>
        <v>6181964.2466499992</v>
      </c>
      <c r="K319" s="66">
        <f t="shared" si="66"/>
        <v>5208021.0081295064</v>
      </c>
      <c r="L319" s="66">
        <f t="shared" si="66"/>
        <v>9.6209000000000007</v>
      </c>
      <c r="M319" s="66">
        <f t="shared" si="66"/>
        <v>9.6999999999999993</v>
      </c>
      <c r="N319" s="66">
        <f t="shared" si="66"/>
        <v>8.3333333333333339</v>
      </c>
      <c r="O319" s="66">
        <f t="shared" si="66"/>
        <v>5349369.2719999999</v>
      </c>
      <c r="P319" s="66">
        <f t="shared" si="66"/>
        <v>5309465</v>
      </c>
      <c r="Q319" s="66">
        <f t="shared" si="66"/>
        <v>199</v>
      </c>
      <c r="R319" s="66">
        <f t="shared" si="66"/>
        <v>199</v>
      </c>
      <c r="S319" s="66">
        <f t="shared" si="66"/>
        <v>5309465</v>
      </c>
      <c r="T319" s="398">
        <f t="shared" si="66"/>
        <v>101443.99187049363</v>
      </c>
      <c r="U319" s="393">
        <f t="shared" si="66"/>
        <v>101443.99187049363</v>
      </c>
      <c r="V319" s="393">
        <f t="shared" si="66"/>
        <v>0</v>
      </c>
    </row>
    <row r="320" spans="1:24" ht="50.15" customHeight="1" x14ac:dyDescent="0.35">
      <c r="A320" s="474" t="s">
        <v>19</v>
      </c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333"/>
      <c r="N320" s="118"/>
      <c r="O320" s="118"/>
      <c r="P320" s="318"/>
      <c r="Q320" s="118"/>
      <c r="R320" s="118"/>
      <c r="S320" s="466"/>
      <c r="T320" s="461"/>
      <c r="U320" s="391"/>
      <c r="V320" s="391"/>
    </row>
    <row r="321" spans="1:24" ht="50.15" customHeight="1" x14ac:dyDescent="0.6">
      <c r="A321" s="440">
        <v>1632000620</v>
      </c>
      <c r="B321" s="120">
        <v>63</v>
      </c>
      <c r="C321" s="121" t="s">
        <v>19</v>
      </c>
      <c r="D321" s="121" t="s">
        <v>33</v>
      </c>
      <c r="E321" s="121"/>
      <c r="F321" s="121" t="s">
        <v>296</v>
      </c>
      <c r="G321" s="122">
        <v>329097.06</v>
      </c>
      <c r="H321" s="122">
        <v>350000</v>
      </c>
      <c r="I321" s="122">
        <v>334918.24800000002</v>
      </c>
      <c r="J321" s="122">
        <v>350000</v>
      </c>
      <c r="K321" s="122">
        <v>350000</v>
      </c>
      <c r="L321" s="123"/>
      <c r="M321" s="123"/>
      <c r="N321" s="123"/>
      <c r="O321" s="226">
        <v>359159.81</v>
      </c>
      <c r="P321" s="122">
        <v>350000</v>
      </c>
      <c r="Q321" s="122">
        <v>12</v>
      </c>
      <c r="R321" s="122">
        <v>12</v>
      </c>
      <c r="S321" s="441">
        <f t="shared" si="65"/>
        <v>350000</v>
      </c>
      <c r="T321" s="432">
        <f>P321-K321</f>
        <v>0</v>
      </c>
      <c r="U321" s="62">
        <f>S321-K321</f>
        <v>0</v>
      </c>
      <c r="V321" s="62">
        <f>S321-P321</f>
        <v>0</v>
      </c>
    </row>
    <row r="322" spans="1:24" ht="50.15" customHeight="1" x14ac:dyDescent="0.6">
      <c r="A322" s="440">
        <v>1632000621</v>
      </c>
      <c r="B322" s="120">
        <v>63</v>
      </c>
      <c r="C322" s="121" t="s">
        <v>19</v>
      </c>
      <c r="D322" s="121" t="s">
        <v>33</v>
      </c>
      <c r="E322" s="121"/>
      <c r="F322" s="121" t="s">
        <v>297</v>
      </c>
      <c r="G322" s="122">
        <v>447957.92</v>
      </c>
      <c r="H322" s="122">
        <v>452000</v>
      </c>
      <c r="I322" s="122">
        <v>450000</v>
      </c>
      <c r="J322" s="122">
        <v>450000</v>
      </c>
      <c r="K322" s="122">
        <v>452000</v>
      </c>
      <c r="L322" s="123"/>
      <c r="M322" s="123"/>
      <c r="N322" s="123"/>
      <c r="O322" s="226">
        <f>2823+497121.73</f>
        <v>499944.73</v>
      </c>
      <c r="P322" s="122">
        <v>452000</v>
      </c>
      <c r="Q322" s="122">
        <v>12</v>
      </c>
      <c r="R322" s="122">
        <v>12</v>
      </c>
      <c r="S322" s="441">
        <f t="shared" si="65"/>
        <v>452000</v>
      </c>
      <c r="T322" s="432">
        <f>P322-K322</f>
        <v>0</v>
      </c>
      <c r="U322" s="62">
        <f>S322-K322</f>
        <v>0</v>
      </c>
      <c r="V322" s="62">
        <f>S322-P322</f>
        <v>0</v>
      </c>
    </row>
    <row r="323" spans="1:24" ht="50.15" customHeight="1" thickBot="1" x14ac:dyDescent="0.65">
      <c r="A323" s="472">
        <v>1632000651</v>
      </c>
      <c r="B323" s="334">
        <v>63</v>
      </c>
      <c r="C323" s="335" t="s">
        <v>19</v>
      </c>
      <c r="D323" s="335" t="s">
        <v>33</v>
      </c>
      <c r="E323" s="335"/>
      <c r="F323" s="335" t="s">
        <v>299</v>
      </c>
      <c r="G323" s="281">
        <v>85560</v>
      </c>
      <c r="H323" s="281">
        <v>86000</v>
      </c>
      <c r="I323" s="281">
        <v>48978</v>
      </c>
      <c r="J323" s="281">
        <v>41000</v>
      </c>
      <c r="K323" s="281">
        <v>86000</v>
      </c>
      <c r="L323" s="280"/>
      <c r="M323" s="280"/>
      <c r="N323" s="280"/>
      <c r="O323" s="281">
        <v>48978</v>
      </c>
      <c r="P323" s="281">
        <v>50000</v>
      </c>
      <c r="Q323" s="281">
        <v>12</v>
      </c>
      <c r="R323" s="281">
        <v>12</v>
      </c>
      <c r="S323" s="473">
        <f t="shared" si="65"/>
        <v>50000</v>
      </c>
      <c r="T323" s="432">
        <f>P323-K323</f>
        <v>-36000</v>
      </c>
      <c r="U323" s="62">
        <f>S323-K323</f>
        <v>-36000</v>
      </c>
      <c r="V323" s="62">
        <f>S323-P323</f>
        <v>0</v>
      </c>
    </row>
    <row r="324" spans="1:24" ht="50.15" customHeight="1" thickBot="1" x14ac:dyDescent="0.65">
      <c r="A324" s="407"/>
      <c r="B324" s="64"/>
      <c r="C324" s="65"/>
      <c r="D324" s="65"/>
      <c r="E324" s="65"/>
      <c r="F324" s="65"/>
      <c r="G324" s="66">
        <f t="shared" ref="G324:V324" si="67">SUM(G321:G323)</f>
        <v>862614.98</v>
      </c>
      <c r="H324" s="66">
        <f t="shared" si="67"/>
        <v>888000</v>
      </c>
      <c r="I324" s="66">
        <f t="shared" si="67"/>
        <v>833896.24800000002</v>
      </c>
      <c r="J324" s="66">
        <f t="shared" si="67"/>
        <v>841000</v>
      </c>
      <c r="K324" s="66">
        <f t="shared" si="67"/>
        <v>888000</v>
      </c>
      <c r="L324" s="66">
        <f t="shared" si="67"/>
        <v>0</v>
      </c>
      <c r="M324" s="66">
        <f t="shared" si="67"/>
        <v>0</v>
      </c>
      <c r="N324" s="66">
        <f t="shared" si="67"/>
        <v>0</v>
      </c>
      <c r="O324" s="66">
        <f t="shared" si="67"/>
        <v>908082.54</v>
      </c>
      <c r="P324" s="66">
        <f t="shared" si="67"/>
        <v>852000</v>
      </c>
      <c r="Q324" s="66">
        <f t="shared" si="67"/>
        <v>36</v>
      </c>
      <c r="R324" s="66">
        <f t="shared" si="67"/>
        <v>36</v>
      </c>
      <c r="S324" s="66">
        <f t="shared" si="67"/>
        <v>852000</v>
      </c>
      <c r="T324" s="398">
        <f t="shared" si="67"/>
        <v>-36000</v>
      </c>
      <c r="U324" s="393">
        <f t="shared" si="67"/>
        <v>-36000</v>
      </c>
      <c r="V324" s="393">
        <f t="shared" si="67"/>
        <v>0</v>
      </c>
    </row>
    <row r="325" spans="1:24" ht="50.15" customHeight="1" x14ac:dyDescent="0.35">
      <c r="A325" s="474" t="s">
        <v>300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333"/>
      <c r="N325" s="118"/>
      <c r="O325" s="118"/>
      <c r="P325" s="318"/>
      <c r="Q325" s="118"/>
      <c r="R325" s="118"/>
      <c r="S325" s="466"/>
      <c r="T325" s="461"/>
      <c r="U325" s="391"/>
      <c r="V325" s="391"/>
    </row>
    <row r="326" spans="1:24" ht="50.15" customHeight="1" thickBot="1" x14ac:dyDescent="0.65">
      <c r="A326" s="468">
        <v>1649100691</v>
      </c>
      <c r="B326" s="404">
        <v>64</v>
      </c>
      <c r="C326" s="405" t="s">
        <v>20</v>
      </c>
      <c r="D326" s="405" t="s">
        <v>33</v>
      </c>
      <c r="E326" s="405"/>
      <c r="F326" s="405" t="s">
        <v>300</v>
      </c>
      <c r="G326" s="399">
        <v>6801020.75</v>
      </c>
      <c r="H326" s="399">
        <v>7395344.6600000001</v>
      </c>
      <c r="I326" s="399">
        <v>7498261.0440000007</v>
      </c>
      <c r="J326" s="399">
        <v>2065631.97</v>
      </c>
      <c r="K326" s="399">
        <v>2760289.7331143524</v>
      </c>
      <c r="L326" s="427"/>
      <c r="M326" s="427"/>
      <c r="N326" s="427"/>
      <c r="O326" s="399">
        <v>6418261.0439999998</v>
      </c>
      <c r="P326" s="399">
        <f>156000*12</f>
        <v>1872000</v>
      </c>
      <c r="Q326" s="399">
        <v>12</v>
      </c>
      <c r="R326" s="399">
        <v>12</v>
      </c>
      <c r="S326" s="469">
        <f t="shared" si="65"/>
        <v>1872000</v>
      </c>
      <c r="T326" s="432">
        <f>P326-K326</f>
        <v>-888289.73311435245</v>
      </c>
      <c r="U326" s="62">
        <f>S326-K326</f>
        <v>-888289.73311435245</v>
      </c>
      <c r="V326" s="62">
        <f>S326-P326</f>
        <v>0</v>
      </c>
      <c r="W326" s="153" t="s">
        <v>846</v>
      </c>
    </row>
    <row r="327" spans="1:24" ht="50.15" customHeight="1" thickBot="1" x14ac:dyDescent="0.65">
      <c r="A327" s="407"/>
      <c r="B327" s="64"/>
      <c r="C327" s="65"/>
      <c r="D327" s="65"/>
      <c r="E327" s="65"/>
      <c r="F327" s="65"/>
      <c r="G327" s="66">
        <f t="shared" ref="G327:N327" si="68">SUM(G326)</f>
        <v>6801020.75</v>
      </c>
      <c r="H327" s="66">
        <f t="shared" si="68"/>
        <v>7395344.6600000001</v>
      </c>
      <c r="I327" s="66">
        <f t="shared" si="68"/>
        <v>7498261.0440000007</v>
      </c>
      <c r="J327" s="66">
        <f t="shared" si="68"/>
        <v>2065631.97</v>
      </c>
      <c r="K327" s="66">
        <f t="shared" si="68"/>
        <v>2760289.7331143524</v>
      </c>
      <c r="L327" s="66">
        <f t="shared" si="68"/>
        <v>0</v>
      </c>
      <c r="M327" s="66">
        <f t="shared" si="68"/>
        <v>0</v>
      </c>
      <c r="N327" s="66">
        <f t="shared" si="68"/>
        <v>0</v>
      </c>
      <c r="O327" s="66">
        <f t="shared" ref="O327:U327" si="69">SUM(O326)</f>
        <v>6418261.0439999998</v>
      </c>
      <c r="P327" s="66">
        <f t="shared" si="69"/>
        <v>1872000</v>
      </c>
      <c r="Q327" s="66">
        <f t="shared" si="69"/>
        <v>12</v>
      </c>
      <c r="R327" s="66">
        <f t="shared" si="69"/>
        <v>12</v>
      </c>
      <c r="S327" s="66">
        <f t="shared" si="69"/>
        <v>1872000</v>
      </c>
      <c r="T327" s="398">
        <f t="shared" si="69"/>
        <v>-888289.73311435245</v>
      </c>
      <c r="U327" s="393">
        <f t="shared" si="69"/>
        <v>-888289.73311435245</v>
      </c>
      <c r="V327" s="393">
        <f>SUM(V326)</f>
        <v>0</v>
      </c>
    </row>
    <row r="328" spans="1:24" ht="50.15" customHeight="1" x14ac:dyDescent="0.35">
      <c r="A328" s="474" t="s">
        <v>628</v>
      </c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333"/>
      <c r="N328" s="118"/>
      <c r="O328" s="118"/>
      <c r="P328" s="318"/>
      <c r="Q328" s="118"/>
      <c r="R328" s="118"/>
      <c r="S328" s="466"/>
      <c r="T328" s="461"/>
      <c r="U328" s="391"/>
      <c r="V328" s="391"/>
    </row>
    <row r="329" spans="1:24" ht="50.15" customHeight="1" x14ac:dyDescent="0.6">
      <c r="A329" s="440">
        <v>1711000110</v>
      </c>
      <c r="B329" s="120">
        <v>71</v>
      </c>
      <c r="C329" s="121" t="s">
        <v>17</v>
      </c>
      <c r="D329" s="121" t="s">
        <v>33</v>
      </c>
      <c r="E329" s="121" t="s">
        <v>583</v>
      </c>
      <c r="F329" s="121" t="s">
        <v>301</v>
      </c>
      <c r="G329" s="122">
        <v>679888.57</v>
      </c>
      <c r="H329" s="122">
        <v>316260</v>
      </c>
      <c r="I329" s="122">
        <v>343079</v>
      </c>
      <c r="J329" s="122">
        <v>660010.29539999994</v>
      </c>
      <c r="K329" s="122">
        <v>323122.84242377843</v>
      </c>
      <c r="L329" s="123">
        <v>2.2999999999999998</v>
      </c>
      <c r="M329" s="123">
        <v>2.2999999999999998</v>
      </c>
      <c r="N329" s="123">
        <f>ריכוז!K14</f>
        <v>2.791666666666667</v>
      </c>
      <c r="O329" s="226">
        <f>3425+347844.2</f>
        <v>351269.2</v>
      </c>
      <c r="P329" s="122">
        <f>ריכוז!M14</f>
        <v>541700</v>
      </c>
      <c r="Q329" s="122">
        <v>12</v>
      </c>
      <c r="R329" s="122">
        <v>12</v>
      </c>
      <c r="S329" s="441">
        <f t="shared" ref="S329:S379" si="70">P329*Q329/R329</f>
        <v>541700</v>
      </c>
      <c r="T329" s="432">
        <f>P329-K329</f>
        <v>218577.15757622157</v>
      </c>
      <c r="U329" s="62">
        <f>S329-K329</f>
        <v>218577.15757622157</v>
      </c>
      <c r="V329" s="62">
        <f t="shared" ref="V329:V356" si="71">S329-P329</f>
        <v>0</v>
      </c>
      <c r="W329" s="153" t="s">
        <v>2152</v>
      </c>
    </row>
    <row r="330" spans="1:24" ht="50.15" customHeight="1" x14ac:dyDescent="0.6">
      <c r="A330" s="440">
        <v>1711000431</v>
      </c>
      <c r="B330" s="120">
        <v>71</v>
      </c>
      <c r="C330" s="121" t="s">
        <v>18</v>
      </c>
      <c r="D330" s="121" t="s">
        <v>33</v>
      </c>
      <c r="E330" s="121"/>
      <c r="F330" s="121" t="s">
        <v>302</v>
      </c>
      <c r="G330" s="122">
        <v>32909.93</v>
      </c>
      <c r="H330" s="122">
        <v>34691.769999999997</v>
      </c>
      <c r="I330" s="122">
        <v>30000</v>
      </c>
      <c r="J330" s="122">
        <v>30000</v>
      </c>
      <c r="K330" s="122">
        <v>34691.772000000004</v>
      </c>
      <c r="L330" s="123"/>
      <c r="M330" s="123"/>
      <c r="N330" s="123"/>
      <c r="O330" s="226">
        <v>44230.17</v>
      </c>
      <c r="P330" s="122">
        <v>45000</v>
      </c>
      <c r="Q330" s="122">
        <v>12</v>
      </c>
      <c r="R330" s="122">
        <v>12</v>
      </c>
      <c r="S330" s="441">
        <f t="shared" si="70"/>
        <v>45000</v>
      </c>
      <c r="T330" s="432">
        <f t="shared" ref="T330:T356" si="72">P330-K330</f>
        <v>10308.227999999996</v>
      </c>
      <c r="U330" s="62">
        <f t="shared" ref="U330:U356" si="73">S330-K330</f>
        <v>10308.227999999996</v>
      </c>
      <c r="V330" s="62">
        <f t="shared" si="71"/>
        <v>0</v>
      </c>
      <c r="W330" s="338" t="s">
        <v>847</v>
      </c>
    </row>
    <row r="331" spans="1:24" ht="50.15" customHeight="1" x14ac:dyDescent="0.6">
      <c r="A331" s="440">
        <v>1711000432</v>
      </c>
      <c r="B331" s="120">
        <v>71</v>
      </c>
      <c r="C331" s="121" t="s">
        <v>18</v>
      </c>
      <c r="D331" s="121" t="s">
        <v>33</v>
      </c>
      <c r="E331" s="121"/>
      <c r="F331" s="121" t="s">
        <v>303</v>
      </c>
      <c r="G331" s="122">
        <v>4509.5600000000004</v>
      </c>
      <c r="H331" s="122">
        <v>23000</v>
      </c>
      <c r="I331" s="122">
        <v>23000</v>
      </c>
      <c r="J331" s="122">
        <v>23000</v>
      </c>
      <c r="K331" s="122">
        <v>23000</v>
      </c>
      <c r="L331" s="123"/>
      <c r="M331" s="123"/>
      <c r="N331" s="123"/>
      <c r="O331" s="122">
        <v>23000</v>
      </c>
      <c r="P331" s="122">
        <v>23000</v>
      </c>
      <c r="Q331" s="122">
        <v>12</v>
      </c>
      <c r="R331" s="122">
        <v>12</v>
      </c>
      <c r="S331" s="441">
        <f t="shared" si="70"/>
        <v>23000</v>
      </c>
      <c r="T331" s="432">
        <f t="shared" si="72"/>
        <v>0</v>
      </c>
      <c r="U331" s="62">
        <f t="shared" si="73"/>
        <v>0</v>
      </c>
      <c r="V331" s="62">
        <f t="shared" si="71"/>
        <v>0</v>
      </c>
    </row>
    <row r="332" spans="1:24" ht="50.15" customHeight="1" x14ac:dyDescent="0.6">
      <c r="A332" s="440">
        <v>1711000530</v>
      </c>
      <c r="B332" s="120">
        <v>71</v>
      </c>
      <c r="C332" s="121" t="s">
        <v>18</v>
      </c>
      <c r="D332" s="121" t="s">
        <v>33</v>
      </c>
      <c r="E332" s="121"/>
      <c r="F332" s="121" t="s">
        <v>304</v>
      </c>
      <c r="G332" s="122">
        <v>198803.43</v>
      </c>
      <c r="H332" s="122">
        <v>343800</v>
      </c>
      <c r="I332" s="122">
        <v>274470.44400000002</v>
      </c>
      <c r="J332" s="122">
        <v>276600</v>
      </c>
      <c r="K332" s="122">
        <v>343800</v>
      </c>
      <c r="L332" s="123"/>
      <c r="M332" s="123"/>
      <c r="N332" s="123"/>
      <c r="O332" s="226">
        <v>272204.69</v>
      </c>
      <c r="P332" s="122">
        <v>300000</v>
      </c>
      <c r="Q332" s="122">
        <v>12</v>
      </c>
      <c r="R332" s="122">
        <v>12</v>
      </c>
      <c r="S332" s="441">
        <f t="shared" si="70"/>
        <v>300000</v>
      </c>
      <c r="T332" s="432">
        <f t="shared" si="72"/>
        <v>-43800</v>
      </c>
      <c r="U332" s="62">
        <f t="shared" si="73"/>
        <v>-43800</v>
      </c>
      <c r="V332" s="62">
        <f t="shared" si="71"/>
        <v>0</v>
      </c>
      <c r="W332" s="338" t="s">
        <v>848</v>
      </c>
      <c r="X332" s="239">
        <f>(2832*3+3300*4)*12</f>
        <v>260352</v>
      </c>
    </row>
    <row r="333" spans="1:24" ht="50.15" customHeight="1" x14ac:dyDescent="0.6">
      <c r="A333" s="440">
        <v>1711000531</v>
      </c>
      <c r="B333" s="120">
        <v>71</v>
      </c>
      <c r="C333" s="121" t="s">
        <v>18</v>
      </c>
      <c r="D333" s="121" t="s">
        <v>33</v>
      </c>
      <c r="E333" s="121"/>
      <c r="F333" s="121" t="s">
        <v>305</v>
      </c>
      <c r="G333" s="122">
        <v>71854.83</v>
      </c>
      <c r="H333" s="122">
        <v>142740</v>
      </c>
      <c r="I333" s="122">
        <v>90000</v>
      </c>
      <c r="J333" s="122">
        <v>104500</v>
      </c>
      <c r="K333" s="122">
        <v>142740</v>
      </c>
      <c r="L333" s="123"/>
      <c r="M333" s="123"/>
      <c r="N333" s="123"/>
      <c r="O333" s="226">
        <v>90627.09</v>
      </c>
      <c r="P333" s="122">
        <v>100000</v>
      </c>
      <c r="Q333" s="122">
        <v>12</v>
      </c>
      <c r="R333" s="122">
        <v>12</v>
      </c>
      <c r="S333" s="441">
        <f t="shared" si="70"/>
        <v>100000</v>
      </c>
      <c r="T333" s="432">
        <f t="shared" si="72"/>
        <v>-42740</v>
      </c>
      <c r="U333" s="62">
        <f t="shared" si="73"/>
        <v>-42740</v>
      </c>
      <c r="V333" s="62">
        <f t="shared" si="71"/>
        <v>0</v>
      </c>
      <c r="W333" s="338" t="s">
        <v>849</v>
      </c>
    </row>
    <row r="334" spans="1:24" ht="50.15" customHeight="1" x14ac:dyDescent="0.6">
      <c r="A334" s="440">
        <v>1711000540</v>
      </c>
      <c r="B334" s="120">
        <v>71</v>
      </c>
      <c r="C334" s="121" t="s">
        <v>18</v>
      </c>
      <c r="D334" s="121" t="s">
        <v>33</v>
      </c>
      <c r="E334" s="121"/>
      <c r="F334" s="121" t="s">
        <v>241</v>
      </c>
      <c r="G334" s="122">
        <v>41828.410000000003</v>
      </c>
      <c r="H334" s="122">
        <v>55000</v>
      </c>
      <c r="I334" s="122">
        <v>896.97600000000011</v>
      </c>
      <c r="J334" s="122">
        <v>1000</v>
      </c>
      <c r="K334" s="122">
        <v>55000</v>
      </c>
      <c r="L334" s="123"/>
      <c r="M334" s="123"/>
      <c r="N334" s="123"/>
      <c r="O334" s="122">
        <v>59800</v>
      </c>
      <c r="P334" s="122">
        <v>60000</v>
      </c>
      <c r="Q334" s="122">
        <v>12</v>
      </c>
      <c r="R334" s="122">
        <v>12</v>
      </c>
      <c r="S334" s="441">
        <f t="shared" si="70"/>
        <v>60000</v>
      </c>
      <c r="T334" s="432">
        <f t="shared" si="72"/>
        <v>5000</v>
      </c>
      <c r="U334" s="62">
        <f t="shared" si="73"/>
        <v>5000</v>
      </c>
      <c r="V334" s="62">
        <f t="shared" si="71"/>
        <v>0</v>
      </c>
    </row>
    <row r="335" spans="1:24" ht="50.15" customHeight="1" x14ac:dyDescent="0.6">
      <c r="A335" s="440">
        <v>1711000780</v>
      </c>
      <c r="B335" s="120">
        <v>71</v>
      </c>
      <c r="C335" s="121" t="s">
        <v>18</v>
      </c>
      <c r="D335" s="121" t="s">
        <v>33</v>
      </c>
      <c r="E335" s="121"/>
      <c r="F335" s="121" t="s">
        <v>306</v>
      </c>
      <c r="G335" s="122">
        <v>23791.85</v>
      </c>
      <c r="H335" s="122">
        <v>30000</v>
      </c>
      <c r="I335" s="122">
        <v>18272.664000000001</v>
      </c>
      <c r="J335" s="122">
        <v>30000</v>
      </c>
      <c r="K335" s="122">
        <v>30000</v>
      </c>
      <c r="L335" s="123"/>
      <c r="M335" s="123"/>
      <c r="N335" s="123"/>
      <c r="O335" s="226">
        <v>17124.04</v>
      </c>
      <c r="P335" s="122">
        <v>20000</v>
      </c>
      <c r="Q335" s="122">
        <v>12</v>
      </c>
      <c r="R335" s="122">
        <v>12</v>
      </c>
      <c r="S335" s="441">
        <f t="shared" si="70"/>
        <v>20000</v>
      </c>
      <c r="T335" s="432">
        <f t="shared" si="72"/>
        <v>-10000</v>
      </c>
      <c r="U335" s="62">
        <f t="shared" si="73"/>
        <v>-10000</v>
      </c>
      <c r="V335" s="62">
        <f t="shared" si="71"/>
        <v>0</v>
      </c>
      <c r="W335" s="338" t="s">
        <v>850</v>
      </c>
    </row>
    <row r="336" spans="1:24" ht="50.15" customHeight="1" x14ac:dyDescent="0.6">
      <c r="A336" s="440">
        <v>1711000781</v>
      </c>
      <c r="B336" s="120">
        <v>71</v>
      </c>
      <c r="C336" s="121" t="s">
        <v>18</v>
      </c>
      <c r="D336" s="121" t="s">
        <v>33</v>
      </c>
      <c r="E336" s="121"/>
      <c r="F336" s="121" t="s">
        <v>307</v>
      </c>
      <c r="G336" s="122">
        <v>19234.8</v>
      </c>
      <c r="H336" s="122">
        <v>20000</v>
      </c>
      <c r="I336" s="122">
        <v>0</v>
      </c>
      <c r="J336" s="122">
        <v>15000</v>
      </c>
      <c r="K336" s="122">
        <v>20000</v>
      </c>
      <c r="L336" s="123"/>
      <c r="M336" s="123"/>
      <c r="N336" s="123"/>
      <c r="O336" s="122">
        <v>0</v>
      </c>
      <c r="P336" s="122">
        <v>15000</v>
      </c>
      <c r="Q336" s="122">
        <v>12</v>
      </c>
      <c r="R336" s="122">
        <v>12</v>
      </c>
      <c r="S336" s="441">
        <f t="shared" si="70"/>
        <v>15000</v>
      </c>
      <c r="T336" s="432">
        <f t="shared" si="72"/>
        <v>-5000</v>
      </c>
      <c r="U336" s="62">
        <f t="shared" si="73"/>
        <v>-5000</v>
      </c>
      <c r="V336" s="62">
        <f t="shared" si="71"/>
        <v>0</v>
      </c>
      <c r="W336" s="338" t="s">
        <v>851</v>
      </c>
    </row>
    <row r="337" spans="1:24" ht="50.15" customHeight="1" x14ac:dyDescent="0.6">
      <c r="A337" s="440">
        <v>1712300110</v>
      </c>
      <c r="B337" s="120">
        <v>71</v>
      </c>
      <c r="C337" s="121" t="s">
        <v>17</v>
      </c>
      <c r="D337" s="121" t="s">
        <v>33</v>
      </c>
      <c r="E337" s="121" t="s">
        <v>583</v>
      </c>
      <c r="F337" s="121" t="s">
        <v>308</v>
      </c>
      <c r="G337" s="122">
        <v>2263941.0299999998</v>
      </c>
      <c r="H337" s="122">
        <v>2228368.3199999998</v>
      </c>
      <c r="I337" s="122">
        <v>2272000</v>
      </c>
      <c r="J337" s="122">
        <v>2069946.8613583334</v>
      </c>
      <c r="K337" s="122">
        <v>2217126.2067794106</v>
      </c>
      <c r="L337" s="123">
        <v>15.34</v>
      </c>
      <c r="M337" s="123">
        <v>15.7</v>
      </c>
      <c r="N337" s="123">
        <f>ריכוז!K15</f>
        <v>13.416666666666668</v>
      </c>
      <c r="O337" s="226">
        <v>2204005.4700000002</v>
      </c>
      <c r="P337" s="122">
        <f>ריכוז!M15</f>
        <v>2063800</v>
      </c>
      <c r="Q337" s="122">
        <v>12</v>
      </c>
      <c r="R337" s="122">
        <v>12</v>
      </c>
      <c r="S337" s="441">
        <f t="shared" si="70"/>
        <v>2063800</v>
      </c>
      <c r="T337" s="432">
        <f t="shared" si="72"/>
        <v>-153326.2067794106</v>
      </c>
      <c r="U337" s="62">
        <f t="shared" si="73"/>
        <v>-153326.2067794106</v>
      </c>
      <c r="V337" s="62">
        <f t="shared" si="71"/>
        <v>0</v>
      </c>
      <c r="W337" s="338" t="s">
        <v>911</v>
      </c>
    </row>
    <row r="338" spans="1:24" ht="50.15" customHeight="1" x14ac:dyDescent="0.6">
      <c r="A338" s="440">
        <v>1712300530</v>
      </c>
      <c r="B338" s="120">
        <v>71</v>
      </c>
      <c r="C338" s="121" t="s">
        <v>18</v>
      </c>
      <c r="D338" s="121" t="s">
        <v>33</v>
      </c>
      <c r="E338" s="121"/>
      <c r="F338" s="121" t="s">
        <v>309</v>
      </c>
      <c r="G338" s="122">
        <v>200031.28</v>
      </c>
      <c r="H338" s="122">
        <v>150000</v>
      </c>
      <c r="I338" s="122">
        <v>124883.148</v>
      </c>
      <c r="J338" s="122">
        <v>50000</v>
      </c>
      <c r="K338" s="122">
        <v>150000</v>
      </c>
      <c r="L338" s="123"/>
      <c r="M338" s="123"/>
      <c r="N338" s="123"/>
      <c r="O338" s="226">
        <v>154801.23000000001</v>
      </c>
      <c r="P338" s="122">
        <v>150000</v>
      </c>
      <c r="Q338" s="122">
        <v>12</v>
      </c>
      <c r="R338" s="122">
        <v>12</v>
      </c>
      <c r="S338" s="441">
        <f t="shared" si="70"/>
        <v>150000</v>
      </c>
      <c r="T338" s="432">
        <f t="shared" si="72"/>
        <v>0</v>
      </c>
      <c r="U338" s="62">
        <f t="shared" si="73"/>
        <v>0</v>
      </c>
      <c r="V338" s="62">
        <f t="shared" si="71"/>
        <v>0</v>
      </c>
      <c r="W338" s="338" t="s">
        <v>852</v>
      </c>
    </row>
    <row r="339" spans="1:24" ht="50.15" customHeight="1" x14ac:dyDescent="0.6">
      <c r="A339" s="440">
        <v>1712300531</v>
      </c>
      <c r="B339" s="120">
        <v>71</v>
      </c>
      <c r="C339" s="121" t="s">
        <v>18</v>
      </c>
      <c r="D339" s="121" t="s">
        <v>33</v>
      </c>
      <c r="E339" s="121"/>
      <c r="F339" s="121" t="s">
        <v>310</v>
      </c>
      <c r="G339" s="122">
        <v>9698.01</v>
      </c>
      <c r="H339" s="122">
        <v>7000</v>
      </c>
      <c r="I339" s="122">
        <v>9060.1440000000002</v>
      </c>
      <c r="J339" s="122">
        <v>7000</v>
      </c>
      <c r="K339" s="122">
        <v>7000</v>
      </c>
      <c r="L339" s="123"/>
      <c r="M339" s="123"/>
      <c r="N339" s="123"/>
      <c r="O339" s="226">
        <v>19819.2</v>
      </c>
      <c r="P339" s="122">
        <v>20000</v>
      </c>
      <c r="Q339" s="122">
        <v>12</v>
      </c>
      <c r="R339" s="122">
        <v>12</v>
      </c>
      <c r="S339" s="441">
        <f t="shared" si="70"/>
        <v>20000</v>
      </c>
      <c r="T339" s="432">
        <f t="shared" si="72"/>
        <v>13000</v>
      </c>
      <c r="U339" s="62">
        <f t="shared" si="73"/>
        <v>13000</v>
      </c>
      <c r="V339" s="62">
        <f t="shared" si="71"/>
        <v>0</v>
      </c>
    </row>
    <row r="340" spans="1:24" ht="50.15" customHeight="1" x14ac:dyDescent="0.6">
      <c r="A340" s="440">
        <v>1712300720</v>
      </c>
      <c r="B340" s="120">
        <v>71</v>
      </c>
      <c r="C340" s="121" t="s">
        <v>18</v>
      </c>
      <c r="D340" s="121" t="s">
        <v>33</v>
      </c>
      <c r="E340" s="121"/>
      <c r="F340" s="121" t="s">
        <v>311</v>
      </c>
      <c r="G340" s="122">
        <v>43821.16</v>
      </c>
      <c r="H340" s="122">
        <v>40000</v>
      </c>
      <c r="I340" s="122">
        <v>36183.119999999995</v>
      </c>
      <c r="J340" s="122">
        <v>120000</v>
      </c>
      <c r="K340" s="122">
        <v>40000</v>
      </c>
      <c r="L340" s="123"/>
      <c r="M340" s="123"/>
      <c r="N340" s="123"/>
      <c r="O340" s="226">
        <v>31628.6</v>
      </c>
      <c r="P340" s="122">
        <v>40000</v>
      </c>
      <c r="Q340" s="122">
        <v>12</v>
      </c>
      <c r="R340" s="122">
        <v>12</v>
      </c>
      <c r="S340" s="441">
        <f t="shared" si="70"/>
        <v>40000</v>
      </c>
      <c r="T340" s="432">
        <f t="shared" si="72"/>
        <v>0</v>
      </c>
      <c r="U340" s="62">
        <f t="shared" si="73"/>
        <v>0</v>
      </c>
      <c r="V340" s="62">
        <f t="shared" si="71"/>
        <v>0</v>
      </c>
      <c r="W340" s="338"/>
    </row>
    <row r="341" spans="1:24" ht="50.15" customHeight="1" x14ac:dyDescent="0.6">
      <c r="A341" s="440">
        <v>1712300731</v>
      </c>
      <c r="B341" s="120">
        <v>71</v>
      </c>
      <c r="C341" s="121" t="s">
        <v>18</v>
      </c>
      <c r="D341" s="121" t="s">
        <v>33</v>
      </c>
      <c r="E341" s="121"/>
      <c r="F341" s="121" t="s">
        <v>312</v>
      </c>
      <c r="G341" s="122">
        <v>196641.91</v>
      </c>
      <c r="H341" s="122">
        <v>140000</v>
      </c>
      <c r="I341" s="122">
        <v>178238.35200000001</v>
      </c>
      <c r="J341" s="122">
        <v>163000</v>
      </c>
      <c r="K341" s="122">
        <v>140000</v>
      </c>
      <c r="L341" s="123"/>
      <c r="M341" s="123"/>
      <c r="N341" s="123"/>
      <c r="O341" s="226">
        <v>164861.84</v>
      </c>
      <c r="P341" s="122">
        <v>165000</v>
      </c>
      <c r="Q341" s="122">
        <v>12</v>
      </c>
      <c r="R341" s="122">
        <v>12</v>
      </c>
      <c r="S341" s="441">
        <f t="shared" si="70"/>
        <v>165000</v>
      </c>
      <c r="T341" s="432">
        <f t="shared" si="72"/>
        <v>25000</v>
      </c>
      <c r="U341" s="62">
        <f t="shared" si="73"/>
        <v>25000</v>
      </c>
      <c r="V341" s="62">
        <f t="shared" si="71"/>
        <v>0</v>
      </c>
    </row>
    <row r="342" spans="1:24" ht="50.15" customHeight="1" x14ac:dyDescent="0.6">
      <c r="A342" s="440">
        <v>1712300732</v>
      </c>
      <c r="B342" s="120">
        <v>71</v>
      </c>
      <c r="C342" s="121" t="s">
        <v>18</v>
      </c>
      <c r="D342" s="121" t="s">
        <v>33</v>
      </c>
      <c r="E342" s="121"/>
      <c r="F342" s="121" t="s">
        <v>313</v>
      </c>
      <c r="G342" s="122">
        <v>116840.8</v>
      </c>
      <c r="H342" s="122">
        <v>100000</v>
      </c>
      <c r="I342" s="122">
        <v>109375.43999999999</v>
      </c>
      <c r="J342" s="122">
        <v>120000</v>
      </c>
      <c r="K342" s="122">
        <v>100000</v>
      </c>
      <c r="L342" s="123"/>
      <c r="M342" s="123"/>
      <c r="N342" s="123"/>
      <c r="O342" s="226">
        <v>94056.34</v>
      </c>
      <c r="P342" s="122">
        <v>100000</v>
      </c>
      <c r="Q342" s="122">
        <v>12</v>
      </c>
      <c r="R342" s="122">
        <v>12</v>
      </c>
      <c r="S342" s="441">
        <f t="shared" si="70"/>
        <v>100000</v>
      </c>
      <c r="T342" s="432">
        <f t="shared" si="72"/>
        <v>0</v>
      </c>
      <c r="U342" s="62">
        <f t="shared" si="73"/>
        <v>0</v>
      </c>
      <c r="V342" s="62">
        <f t="shared" si="71"/>
        <v>0</v>
      </c>
    </row>
    <row r="343" spans="1:24" ht="50.15" customHeight="1" x14ac:dyDescent="0.6">
      <c r="A343" s="440">
        <v>1712300750</v>
      </c>
      <c r="B343" s="120">
        <v>71</v>
      </c>
      <c r="C343" s="121" t="s">
        <v>18</v>
      </c>
      <c r="D343" s="121" t="s">
        <v>33</v>
      </c>
      <c r="E343" s="121"/>
      <c r="F343" s="121" t="s">
        <v>314</v>
      </c>
      <c r="G343" s="122">
        <v>2455693</v>
      </c>
      <c r="H343" s="122">
        <v>2646540</v>
      </c>
      <c r="I343" s="122">
        <v>3200000</v>
      </c>
      <c r="J343" s="122">
        <v>3023940</v>
      </c>
      <c r="K343" s="122">
        <v>2646540</v>
      </c>
      <c r="L343" s="123"/>
      <c r="M343" s="123"/>
      <c r="N343" s="123"/>
      <c r="O343" s="226">
        <v>2696515.42</v>
      </c>
      <c r="P343" s="122">
        <v>3023940</v>
      </c>
      <c r="Q343" s="122">
        <v>12</v>
      </c>
      <c r="R343" s="122">
        <v>12</v>
      </c>
      <c r="S343" s="441">
        <f t="shared" si="70"/>
        <v>3023940</v>
      </c>
      <c r="T343" s="432">
        <f t="shared" si="72"/>
        <v>377400</v>
      </c>
      <c r="U343" s="62">
        <f t="shared" si="73"/>
        <v>377400</v>
      </c>
      <c r="V343" s="62">
        <f t="shared" si="71"/>
        <v>0</v>
      </c>
      <c r="X343" s="239" t="s">
        <v>853</v>
      </c>
    </row>
    <row r="344" spans="1:24" ht="50.15" customHeight="1" x14ac:dyDescent="0.6">
      <c r="A344" s="440">
        <v>1712300751</v>
      </c>
      <c r="B344" s="120">
        <v>71</v>
      </c>
      <c r="C344" s="121" t="s">
        <v>18</v>
      </c>
      <c r="D344" s="121" t="s">
        <v>33</v>
      </c>
      <c r="E344" s="121"/>
      <c r="F344" s="121" t="s">
        <v>315</v>
      </c>
      <c r="G344" s="122">
        <v>932348.4</v>
      </c>
      <c r="H344" s="122">
        <v>988254</v>
      </c>
      <c r="I344" s="122">
        <v>658172.2080000001</v>
      </c>
      <c r="J344" s="122">
        <v>526500</v>
      </c>
      <c r="K344" s="122">
        <v>988254</v>
      </c>
      <c r="L344" s="123"/>
      <c r="M344" s="123"/>
      <c r="N344" s="123"/>
      <c r="O344" s="226">
        <v>599001.84</v>
      </c>
      <c r="P344" s="122">
        <v>526500</v>
      </c>
      <c r="Q344" s="122">
        <v>12</v>
      </c>
      <c r="R344" s="122">
        <v>12</v>
      </c>
      <c r="S344" s="441">
        <f t="shared" si="70"/>
        <v>526500</v>
      </c>
      <c r="T344" s="432">
        <f t="shared" si="72"/>
        <v>-461754</v>
      </c>
      <c r="U344" s="62">
        <f t="shared" si="73"/>
        <v>-461754</v>
      </c>
      <c r="V344" s="62">
        <f t="shared" si="71"/>
        <v>0</v>
      </c>
      <c r="W344" s="338" t="s">
        <v>854</v>
      </c>
    </row>
    <row r="345" spans="1:24" ht="50.15" customHeight="1" x14ac:dyDescent="0.6">
      <c r="A345" s="440">
        <v>1712300752</v>
      </c>
      <c r="B345" s="120">
        <v>71</v>
      </c>
      <c r="C345" s="121" t="s">
        <v>18</v>
      </c>
      <c r="D345" s="121" t="s">
        <v>33</v>
      </c>
      <c r="E345" s="121"/>
      <c r="F345" s="121" t="s">
        <v>316</v>
      </c>
      <c r="G345" s="122">
        <v>458739</v>
      </c>
      <c r="H345" s="122">
        <v>389068</v>
      </c>
      <c r="I345" s="122">
        <v>337381.19999999995</v>
      </c>
      <c r="J345" s="122">
        <v>374868</v>
      </c>
      <c r="K345" s="122">
        <v>445068</v>
      </c>
      <c r="L345" s="123"/>
      <c r="M345" s="123"/>
      <c r="N345" s="123"/>
      <c r="O345" s="226">
        <v>384868</v>
      </c>
      <c r="P345" s="122">
        <f>31239*12</f>
        <v>374868</v>
      </c>
      <c r="Q345" s="122">
        <v>12</v>
      </c>
      <c r="R345" s="122">
        <v>12</v>
      </c>
      <c r="S345" s="441">
        <f t="shared" si="70"/>
        <v>374868</v>
      </c>
      <c r="T345" s="432">
        <f t="shared" si="72"/>
        <v>-70200</v>
      </c>
      <c r="U345" s="62">
        <f t="shared" si="73"/>
        <v>-70200</v>
      </c>
      <c r="V345" s="62">
        <f t="shared" si="71"/>
        <v>0</v>
      </c>
      <c r="W345" s="338" t="s">
        <v>855</v>
      </c>
    </row>
    <row r="346" spans="1:24" ht="50.15" customHeight="1" x14ac:dyDescent="0.6">
      <c r="A346" s="440">
        <v>1712300753</v>
      </c>
      <c r="B346" s="120">
        <v>71</v>
      </c>
      <c r="C346" s="121" t="s">
        <v>18</v>
      </c>
      <c r="D346" s="121" t="s">
        <v>33</v>
      </c>
      <c r="E346" s="121"/>
      <c r="F346" s="121" t="s">
        <v>317</v>
      </c>
      <c r="G346" s="122">
        <v>16151.99</v>
      </c>
      <c r="H346" s="122">
        <v>20000</v>
      </c>
      <c r="I346" s="122">
        <v>2832</v>
      </c>
      <c r="J346" s="122">
        <v>20000</v>
      </c>
      <c r="K346" s="122">
        <v>20000</v>
      </c>
      <c r="L346" s="123"/>
      <c r="M346" s="123"/>
      <c r="N346" s="123"/>
      <c r="O346" s="226">
        <v>2360</v>
      </c>
      <c r="P346" s="122">
        <v>10000</v>
      </c>
      <c r="Q346" s="122">
        <v>12</v>
      </c>
      <c r="R346" s="122">
        <v>12</v>
      </c>
      <c r="S346" s="441">
        <f t="shared" si="70"/>
        <v>10000</v>
      </c>
      <c r="T346" s="432">
        <f t="shared" si="72"/>
        <v>-10000</v>
      </c>
      <c r="U346" s="62">
        <f t="shared" si="73"/>
        <v>-10000</v>
      </c>
      <c r="V346" s="62">
        <f t="shared" si="71"/>
        <v>0</v>
      </c>
    </row>
    <row r="347" spans="1:24" ht="50.15" customHeight="1" x14ac:dyDescent="0.6">
      <c r="A347" s="440">
        <v>1712300754</v>
      </c>
      <c r="B347" s="120">
        <v>71</v>
      </c>
      <c r="C347" s="121" t="s">
        <v>18</v>
      </c>
      <c r="D347" s="121" t="s">
        <v>33</v>
      </c>
      <c r="E347" s="121"/>
      <c r="F347" s="121" t="s">
        <v>318</v>
      </c>
      <c r="G347" s="122">
        <v>668661.61</v>
      </c>
      <c r="H347" s="122">
        <f>2527200+1300000</f>
        <v>3827200</v>
      </c>
      <c r="I347" s="122">
        <v>4559069.352</v>
      </c>
      <c r="J347" s="122">
        <v>4688700</v>
      </c>
      <c r="K347" s="122">
        <f>2527200+1300000</f>
        <v>3827200</v>
      </c>
      <c r="L347" s="123"/>
      <c r="M347" s="123"/>
      <c r="N347" s="123"/>
      <c r="O347" s="226">
        <f>4101498.39+481394</f>
        <v>4582892.3900000006</v>
      </c>
      <c r="P347" s="122">
        <v>4900000</v>
      </c>
      <c r="Q347" s="122">
        <v>12</v>
      </c>
      <c r="R347" s="122">
        <v>12</v>
      </c>
      <c r="S347" s="441">
        <f t="shared" si="70"/>
        <v>4900000</v>
      </c>
      <c r="T347" s="432">
        <f t="shared" si="72"/>
        <v>1072800</v>
      </c>
      <c r="U347" s="62">
        <f t="shared" si="73"/>
        <v>1072800</v>
      </c>
      <c r="V347" s="62">
        <f t="shared" si="71"/>
        <v>0</v>
      </c>
      <c r="W347" s="338" t="s">
        <v>856</v>
      </c>
      <c r="X347" s="239" t="s">
        <v>853</v>
      </c>
    </row>
    <row r="348" spans="1:24" ht="50.15" customHeight="1" x14ac:dyDescent="0.6">
      <c r="A348" s="440">
        <v>1712300755</v>
      </c>
      <c r="B348" s="120">
        <v>71</v>
      </c>
      <c r="C348" s="121" t="s">
        <v>18</v>
      </c>
      <c r="D348" s="121" t="s">
        <v>33</v>
      </c>
      <c r="E348" s="121"/>
      <c r="F348" s="121" t="s">
        <v>319</v>
      </c>
      <c r="G348" s="122">
        <v>1358922.28</v>
      </c>
      <c r="H348" s="122"/>
      <c r="I348" s="122">
        <v>555806.34</v>
      </c>
      <c r="J348" s="122"/>
      <c r="K348" s="122"/>
      <c r="L348" s="123"/>
      <c r="M348" s="123"/>
      <c r="N348" s="123"/>
      <c r="O348" s="226"/>
      <c r="P348" s="122"/>
      <c r="Q348" s="122">
        <v>12</v>
      </c>
      <c r="R348" s="122">
        <v>12</v>
      </c>
      <c r="S348" s="441">
        <f t="shared" si="70"/>
        <v>0</v>
      </c>
      <c r="T348" s="432">
        <f t="shared" si="72"/>
        <v>0</v>
      </c>
      <c r="U348" s="62">
        <f t="shared" si="73"/>
        <v>0</v>
      </c>
      <c r="V348" s="62">
        <f t="shared" si="71"/>
        <v>0</v>
      </c>
    </row>
    <row r="349" spans="1:24" ht="50.15" customHeight="1" x14ac:dyDescent="0.6">
      <c r="A349" s="440">
        <v>1712300757</v>
      </c>
      <c r="B349" s="120">
        <v>71</v>
      </c>
      <c r="C349" s="121" t="s">
        <v>18</v>
      </c>
      <c r="D349" s="121" t="s">
        <v>33</v>
      </c>
      <c r="E349" s="121"/>
      <c r="F349" s="121" t="s">
        <v>320</v>
      </c>
      <c r="G349" s="122">
        <v>160632.09</v>
      </c>
      <c r="H349" s="122">
        <v>270000</v>
      </c>
      <c r="I349" s="122">
        <v>151991.38800000001</v>
      </c>
      <c r="J349" s="122">
        <v>150000</v>
      </c>
      <c r="K349" s="122">
        <v>270000</v>
      </c>
      <c r="L349" s="123"/>
      <c r="M349" s="123"/>
      <c r="N349" s="123"/>
      <c r="O349" s="226">
        <v>189859.03</v>
      </c>
      <c r="P349" s="122">
        <v>200000</v>
      </c>
      <c r="Q349" s="122">
        <v>12</v>
      </c>
      <c r="R349" s="122">
        <v>12</v>
      </c>
      <c r="S349" s="441">
        <f t="shared" si="70"/>
        <v>200000</v>
      </c>
      <c r="T349" s="432">
        <f t="shared" si="72"/>
        <v>-70000</v>
      </c>
      <c r="U349" s="62">
        <f t="shared" si="73"/>
        <v>-70000</v>
      </c>
      <c r="V349" s="62">
        <f t="shared" si="71"/>
        <v>0</v>
      </c>
      <c r="W349" s="338" t="s">
        <v>857</v>
      </c>
    </row>
    <row r="350" spans="1:24" ht="50.15" customHeight="1" x14ac:dyDescent="0.6">
      <c r="A350" s="440">
        <v>1712300811</v>
      </c>
      <c r="B350" s="120">
        <v>71</v>
      </c>
      <c r="C350" s="121" t="s">
        <v>18</v>
      </c>
      <c r="D350" s="121" t="s">
        <v>33</v>
      </c>
      <c r="E350" s="121"/>
      <c r="F350" s="121" t="s">
        <v>321</v>
      </c>
      <c r="G350" s="122">
        <v>288000</v>
      </c>
      <c r="H350" s="122">
        <v>288000</v>
      </c>
      <c r="I350" s="122">
        <v>288000</v>
      </c>
      <c r="J350" s="122">
        <v>288000</v>
      </c>
      <c r="K350" s="122">
        <v>288000</v>
      </c>
      <c r="L350" s="123"/>
      <c r="M350" s="123"/>
      <c r="N350" s="123"/>
      <c r="O350" s="122">
        <v>288000</v>
      </c>
      <c r="P350" s="122">
        <v>288000</v>
      </c>
      <c r="Q350" s="122">
        <v>12</v>
      </c>
      <c r="R350" s="122">
        <v>12</v>
      </c>
      <c r="S350" s="441">
        <f t="shared" si="70"/>
        <v>288000</v>
      </c>
      <c r="T350" s="432">
        <f t="shared" si="72"/>
        <v>0</v>
      </c>
      <c r="U350" s="62">
        <f t="shared" si="73"/>
        <v>0</v>
      </c>
      <c r="V350" s="62">
        <f t="shared" si="71"/>
        <v>0</v>
      </c>
      <c r="W350" s="338" t="s">
        <v>858</v>
      </c>
    </row>
    <row r="351" spans="1:24" ht="50.15" customHeight="1" x14ac:dyDescent="0.6">
      <c r="A351" s="440">
        <v>1713000110</v>
      </c>
      <c r="B351" s="120">
        <v>71</v>
      </c>
      <c r="C351" s="121" t="s">
        <v>17</v>
      </c>
      <c r="D351" s="121" t="s">
        <v>33</v>
      </c>
      <c r="E351" s="121" t="s">
        <v>583</v>
      </c>
      <c r="F351" s="121" t="s">
        <v>322</v>
      </c>
      <c r="G351" s="122">
        <v>167270.31</v>
      </c>
      <c r="H351" s="122">
        <v>30939.119999999999</v>
      </c>
      <c r="I351" s="122">
        <v>27347</v>
      </c>
      <c r="J351" s="122">
        <v>0</v>
      </c>
      <c r="K351" s="122">
        <v>-2633.4962889771682</v>
      </c>
      <c r="L351" s="123">
        <v>0.34670000000000001</v>
      </c>
      <c r="M351" s="123">
        <v>0</v>
      </c>
      <c r="N351" s="123"/>
      <c r="O351" s="122">
        <v>27347</v>
      </c>
      <c r="P351" s="122">
        <v>0</v>
      </c>
      <c r="Q351" s="122">
        <v>12</v>
      </c>
      <c r="R351" s="122">
        <v>12</v>
      </c>
      <c r="S351" s="441">
        <f t="shared" si="70"/>
        <v>0</v>
      </c>
      <c r="T351" s="432">
        <f t="shared" si="72"/>
        <v>2633.4962889771682</v>
      </c>
      <c r="U351" s="62">
        <f t="shared" si="73"/>
        <v>2633.4962889771682</v>
      </c>
      <c r="V351" s="62">
        <f t="shared" si="71"/>
        <v>0</v>
      </c>
    </row>
    <row r="352" spans="1:24" ht="50.15" customHeight="1" x14ac:dyDescent="0.6">
      <c r="A352" s="440">
        <v>1714000110</v>
      </c>
      <c r="B352" s="120">
        <v>71</v>
      </c>
      <c r="C352" s="121" t="s">
        <v>17</v>
      </c>
      <c r="D352" s="121" t="s">
        <v>33</v>
      </c>
      <c r="E352" s="121" t="s">
        <v>583</v>
      </c>
      <c r="F352" s="121" t="s">
        <v>323</v>
      </c>
      <c r="G352" s="122">
        <v>327337.82</v>
      </c>
      <c r="H352" s="122">
        <v>331863.01</v>
      </c>
      <c r="I352" s="122">
        <v>305806.22856000002</v>
      </c>
      <c r="J352" s="122">
        <v>309194.08065000002</v>
      </c>
      <c r="K352" s="122">
        <v>339064.44105331908</v>
      </c>
      <c r="L352" s="123">
        <v>0.5</v>
      </c>
      <c r="M352" s="123">
        <v>0.5</v>
      </c>
      <c r="N352" s="123">
        <f>ריכוז!K17</f>
        <v>0.5</v>
      </c>
      <c r="O352" s="226">
        <v>304624.40999999997</v>
      </c>
      <c r="P352" s="122">
        <f>ריכוז!M17</f>
        <v>303000</v>
      </c>
      <c r="Q352" s="122">
        <v>12</v>
      </c>
      <c r="R352" s="122">
        <v>12</v>
      </c>
      <c r="S352" s="441">
        <f t="shared" si="70"/>
        <v>303000</v>
      </c>
      <c r="T352" s="432">
        <f t="shared" si="72"/>
        <v>-36064.441053319082</v>
      </c>
      <c r="U352" s="62">
        <f t="shared" si="73"/>
        <v>-36064.441053319082</v>
      </c>
      <c r="V352" s="62">
        <f t="shared" si="71"/>
        <v>0</v>
      </c>
    </row>
    <row r="353" spans="1:24" ht="50.15" customHeight="1" x14ac:dyDescent="0.6">
      <c r="A353" s="440">
        <v>1714000830</v>
      </c>
      <c r="B353" s="120">
        <v>71</v>
      </c>
      <c r="C353" s="121" t="s">
        <v>18</v>
      </c>
      <c r="D353" s="121" t="s">
        <v>33</v>
      </c>
      <c r="E353" s="121"/>
      <c r="F353" s="121" t="s">
        <v>324</v>
      </c>
      <c r="G353" s="122">
        <v>16461</v>
      </c>
      <c r="H353" s="122">
        <v>18000</v>
      </c>
      <c r="I353" s="122">
        <v>18470</v>
      </c>
      <c r="J353" s="122">
        <v>18000</v>
      </c>
      <c r="K353" s="122">
        <v>18000</v>
      </c>
      <c r="L353" s="123"/>
      <c r="M353" s="123"/>
      <c r="N353" s="123"/>
      <c r="O353" s="226">
        <v>16473</v>
      </c>
      <c r="P353" s="122">
        <v>18000</v>
      </c>
      <c r="Q353" s="122">
        <v>12</v>
      </c>
      <c r="R353" s="122">
        <v>12</v>
      </c>
      <c r="S353" s="441">
        <f t="shared" si="70"/>
        <v>18000</v>
      </c>
      <c r="T353" s="432">
        <f t="shared" si="72"/>
        <v>0</v>
      </c>
      <c r="U353" s="62">
        <f t="shared" si="73"/>
        <v>0</v>
      </c>
      <c r="V353" s="62">
        <f t="shared" si="71"/>
        <v>0</v>
      </c>
      <c r="W353" s="338" t="s">
        <v>859</v>
      </c>
    </row>
    <row r="354" spans="1:24" ht="50.15" customHeight="1" x14ac:dyDescent="0.6">
      <c r="A354" s="440">
        <v>1714200780</v>
      </c>
      <c r="B354" s="120">
        <v>71</v>
      </c>
      <c r="C354" s="121" t="s">
        <v>18</v>
      </c>
      <c r="D354" s="121" t="s">
        <v>33</v>
      </c>
      <c r="E354" s="121"/>
      <c r="F354" s="121" t="s">
        <v>325</v>
      </c>
      <c r="G354" s="122">
        <v>636.20000000000005</v>
      </c>
      <c r="H354" s="122">
        <v>18000</v>
      </c>
      <c r="I354" s="122">
        <v>18000</v>
      </c>
      <c r="J354" s="122">
        <v>18000</v>
      </c>
      <c r="K354" s="122">
        <v>18000</v>
      </c>
      <c r="L354" s="123"/>
      <c r="M354" s="123"/>
      <c r="N354" s="123"/>
      <c r="O354" s="122">
        <v>0</v>
      </c>
      <c r="P354" s="122">
        <v>2000</v>
      </c>
      <c r="Q354" s="122">
        <v>12</v>
      </c>
      <c r="R354" s="122">
        <v>12</v>
      </c>
      <c r="S354" s="441">
        <f t="shared" si="70"/>
        <v>2000</v>
      </c>
      <c r="T354" s="432">
        <f t="shared" si="72"/>
        <v>-16000</v>
      </c>
      <c r="U354" s="62">
        <f t="shared" si="73"/>
        <v>-16000</v>
      </c>
      <c r="V354" s="62">
        <f t="shared" si="71"/>
        <v>0</v>
      </c>
      <c r="W354" s="338" t="s">
        <v>861</v>
      </c>
    </row>
    <row r="355" spans="1:24" ht="50.15" customHeight="1" x14ac:dyDescent="0.6">
      <c r="A355" s="440">
        <v>1714400830</v>
      </c>
      <c r="B355" s="120">
        <v>71</v>
      </c>
      <c r="C355" s="121" t="s">
        <v>18</v>
      </c>
      <c r="D355" s="121" t="s">
        <v>33</v>
      </c>
      <c r="E355" s="121"/>
      <c r="F355" s="121" t="s">
        <v>326</v>
      </c>
      <c r="G355" s="122">
        <v>185000</v>
      </c>
      <c r="H355" s="122">
        <v>195000</v>
      </c>
      <c r="I355" s="122">
        <v>195000</v>
      </c>
      <c r="J355" s="122">
        <v>195000</v>
      </c>
      <c r="K355" s="122">
        <v>195000</v>
      </c>
      <c r="L355" s="123"/>
      <c r="M355" s="123"/>
      <c r="N355" s="123"/>
      <c r="O355" s="122">
        <v>195000</v>
      </c>
      <c r="P355" s="122">
        <v>195000</v>
      </c>
      <c r="Q355" s="122">
        <v>12</v>
      </c>
      <c r="R355" s="122">
        <v>12</v>
      </c>
      <c r="S355" s="441">
        <f t="shared" si="70"/>
        <v>195000</v>
      </c>
      <c r="T355" s="432">
        <f t="shared" si="72"/>
        <v>0</v>
      </c>
      <c r="U355" s="62">
        <f t="shared" si="73"/>
        <v>0</v>
      </c>
      <c r="V355" s="62">
        <f t="shared" si="71"/>
        <v>0</v>
      </c>
      <c r="W355" s="338" t="s">
        <v>860</v>
      </c>
      <c r="X355" s="239" t="s">
        <v>2164</v>
      </c>
    </row>
    <row r="356" spans="1:24" ht="50.15" customHeight="1" thickBot="1" x14ac:dyDescent="0.65">
      <c r="A356" s="440">
        <v>1715000110</v>
      </c>
      <c r="B356" s="120">
        <v>71</v>
      </c>
      <c r="C356" s="121" t="s">
        <v>17</v>
      </c>
      <c r="D356" s="121" t="s">
        <v>33</v>
      </c>
      <c r="E356" s="121" t="s">
        <v>583</v>
      </c>
      <c r="F356" s="121" t="s">
        <v>327</v>
      </c>
      <c r="G356" s="122">
        <v>152599.98000000001</v>
      </c>
      <c r="H356" s="122">
        <v>130696.36</v>
      </c>
      <c r="I356" s="122">
        <v>156883</v>
      </c>
      <c r="J356" s="122">
        <v>159236.53934999998</v>
      </c>
      <c r="K356" s="122">
        <v>133532.47359584141</v>
      </c>
      <c r="L356" s="123">
        <v>1</v>
      </c>
      <c r="M356" s="123">
        <v>1</v>
      </c>
      <c r="N356" s="123">
        <f>ריכוז!K18</f>
        <v>1</v>
      </c>
      <c r="O356" s="226">
        <v>156940.41</v>
      </c>
      <c r="P356" s="122">
        <f>ריכוז!M18</f>
        <v>162400</v>
      </c>
      <c r="Q356" s="122">
        <v>12</v>
      </c>
      <c r="R356" s="122">
        <v>12</v>
      </c>
      <c r="S356" s="441">
        <f t="shared" si="70"/>
        <v>162400</v>
      </c>
      <c r="T356" s="432">
        <f t="shared" si="72"/>
        <v>28867.526404158591</v>
      </c>
      <c r="U356" s="62">
        <f t="shared" si="73"/>
        <v>28867.526404158591</v>
      </c>
      <c r="V356" s="62">
        <f t="shared" si="71"/>
        <v>0</v>
      </c>
      <c r="W356" s="338"/>
    </row>
    <row r="357" spans="1:24" ht="50.15" customHeight="1" thickBot="1" x14ac:dyDescent="0.65">
      <c r="A357" s="407"/>
      <c r="B357" s="401"/>
      <c r="C357" s="402"/>
      <c r="D357" s="65"/>
      <c r="E357" s="65"/>
      <c r="F357" s="403"/>
      <c r="G357" s="408">
        <f t="shared" ref="G357:V357" si="74">SUM(G329:G356)</f>
        <v>11092249.25</v>
      </c>
      <c r="H357" s="66">
        <f t="shared" si="74"/>
        <v>12784420.579999998</v>
      </c>
      <c r="I357" s="66">
        <f t="shared" si="74"/>
        <v>13984218.004560001</v>
      </c>
      <c r="J357" s="66">
        <f t="shared" si="74"/>
        <v>13441495.776758334</v>
      </c>
      <c r="K357" s="66">
        <f t="shared" si="74"/>
        <v>12812506.239563372</v>
      </c>
      <c r="L357" s="66">
        <f t="shared" si="74"/>
        <v>19.486699999999999</v>
      </c>
      <c r="M357" s="66">
        <f t="shared" si="74"/>
        <v>19.5</v>
      </c>
      <c r="N357" s="66">
        <f t="shared" si="74"/>
        <v>17.708333333333336</v>
      </c>
      <c r="O357" s="390">
        <f t="shared" si="74"/>
        <v>12971309.369999999</v>
      </c>
      <c r="P357" s="66">
        <f t="shared" si="74"/>
        <v>13647208</v>
      </c>
      <c r="Q357" s="66">
        <f t="shared" si="74"/>
        <v>336</v>
      </c>
      <c r="R357" s="66">
        <f t="shared" si="74"/>
        <v>336</v>
      </c>
      <c r="S357" s="66">
        <f t="shared" si="74"/>
        <v>13647208</v>
      </c>
      <c r="T357" s="398">
        <f t="shared" si="74"/>
        <v>834701.76043662766</v>
      </c>
      <c r="U357" s="396">
        <f t="shared" si="74"/>
        <v>834701.76043662766</v>
      </c>
      <c r="V357" s="66">
        <f t="shared" si="74"/>
        <v>0</v>
      </c>
    </row>
    <row r="358" spans="1:24" ht="50.15" customHeight="1" x14ac:dyDescent="0.35">
      <c r="A358" s="474" t="s">
        <v>629</v>
      </c>
      <c r="B358" s="328"/>
      <c r="C358" s="328"/>
      <c r="D358" s="118"/>
      <c r="E358" s="118"/>
      <c r="F358" s="328"/>
      <c r="G358" s="118"/>
      <c r="H358" s="118"/>
      <c r="I358" s="118"/>
      <c r="J358" s="118"/>
      <c r="K358" s="118"/>
      <c r="L358" s="118"/>
      <c r="M358" s="333"/>
      <c r="N358" s="118"/>
      <c r="O358" s="118"/>
      <c r="P358" s="329"/>
      <c r="Q358" s="328"/>
      <c r="R358" s="328"/>
      <c r="S358" s="471"/>
      <c r="T358" s="461"/>
      <c r="U358" s="391"/>
      <c r="V358" s="400"/>
    </row>
    <row r="359" spans="1:24" ht="50.15" customHeight="1" x14ac:dyDescent="0.6">
      <c r="A359" s="440">
        <v>1722000110</v>
      </c>
      <c r="B359" s="120">
        <v>72</v>
      </c>
      <c r="C359" s="121" t="s">
        <v>17</v>
      </c>
      <c r="D359" s="121" t="s">
        <v>33</v>
      </c>
      <c r="E359" s="121" t="s">
        <v>583</v>
      </c>
      <c r="F359" s="121" t="s">
        <v>329</v>
      </c>
      <c r="G359" s="122" t="s">
        <v>8</v>
      </c>
      <c r="H359" s="122" t="s">
        <v>8</v>
      </c>
      <c r="I359" s="122">
        <v>74281.957679999992</v>
      </c>
      <c r="J359" s="122">
        <v>0</v>
      </c>
      <c r="K359" s="122" t="s">
        <v>607</v>
      </c>
      <c r="L359" s="123"/>
      <c r="M359" s="123"/>
      <c r="N359" s="123"/>
      <c r="O359" s="226"/>
      <c r="P359" s="122">
        <v>0</v>
      </c>
      <c r="Q359" s="122">
        <v>12</v>
      </c>
      <c r="R359" s="122">
        <v>12</v>
      </c>
      <c r="S359" s="441">
        <f t="shared" si="70"/>
        <v>0</v>
      </c>
      <c r="T359" s="432">
        <f>P359-K359</f>
        <v>0</v>
      </c>
      <c r="U359" s="62">
        <f>S359-K359</f>
        <v>0</v>
      </c>
      <c r="V359" s="62">
        <f t="shared" ref="V359:V379" si="75">S359-P359</f>
        <v>0</v>
      </c>
    </row>
    <row r="360" spans="1:24" ht="50.15" customHeight="1" x14ac:dyDescent="0.6">
      <c r="A360" s="440">
        <v>1722000780</v>
      </c>
      <c r="B360" s="120">
        <v>72</v>
      </c>
      <c r="C360" s="121" t="s">
        <v>18</v>
      </c>
      <c r="D360" s="121" t="s">
        <v>33</v>
      </c>
      <c r="E360" s="121"/>
      <c r="F360" s="121" t="s">
        <v>330</v>
      </c>
      <c r="G360" s="122">
        <v>33856.050000000003</v>
      </c>
      <c r="H360" s="122">
        <v>34400</v>
      </c>
      <c r="I360" s="122">
        <v>29895.432000000001</v>
      </c>
      <c r="J360" s="122">
        <v>34400</v>
      </c>
      <c r="K360" s="122">
        <v>34400</v>
      </c>
      <c r="L360" s="123"/>
      <c r="M360" s="123"/>
      <c r="N360" s="123"/>
      <c r="O360" s="226">
        <v>25738.27</v>
      </c>
      <c r="P360" s="122">
        <v>26000</v>
      </c>
      <c r="Q360" s="122">
        <v>12</v>
      </c>
      <c r="R360" s="122">
        <v>12</v>
      </c>
      <c r="S360" s="441">
        <f t="shared" si="70"/>
        <v>26000</v>
      </c>
      <c r="T360" s="432">
        <f t="shared" ref="T360:T379" si="76">P360-K360</f>
        <v>-8400</v>
      </c>
      <c r="U360" s="62">
        <f t="shared" ref="U360:U379" si="77">S360-K360</f>
        <v>-8400</v>
      </c>
      <c r="V360" s="62">
        <f t="shared" si="75"/>
        <v>0</v>
      </c>
      <c r="W360" s="338" t="s">
        <v>862</v>
      </c>
    </row>
    <row r="361" spans="1:24" ht="50.15" customHeight="1" x14ac:dyDescent="0.6">
      <c r="A361" s="440">
        <v>1723000110</v>
      </c>
      <c r="B361" s="120">
        <v>72</v>
      </c>
      <c r="C361" s="121" t="s">
        <v>17</v>
      </c>
      <c r="D361" s="121" t="s">
        <v>33</v>
      </c>
      <c r="E361" s="121" t="s">
        <v>583</v>
      </c>
      <c r="F361" s="121" t="s">
        <v>331</v>
      </c>
      <c r="G361" s="122">
        <v>1375523.91</v>
      </c>
      <c r="H361" s="122">
        <v>915964</v>
      </c>
      <c r="I361" s="122">
        <v>653000</v>
      </c>
      <c r="J361" s="122">
        <v>485968.99174999999</v>
      </c>
      <c r="K361" s="122">
        <v>696453.65824752033</v>
      </c>
      <c r="L361" s="123">
        <v>4.8</v>
      </c>
      <c r="M361" s="123">
        <v>4</v>
      </c>
      <c r="N361" s="123">
        <f>ריכוז!K21</f>
        <v>3.083333333333333</v>
      </c>
      <c r="O361" s="226">
        <f>660564+298615</f>
        <v>959179</v>
      </c>
      <c r="P361" s="122">
        <f>ריכוז!M21</f>
        <v>497700</v>
      </c>
      <c r="Q361" s="122">
        <v>12</v>
      </c>
      <c r="R361" s="122">
        <v>12</v>
      </c>
      <c r="S361" s="441">
        <f t="shared" si="70"/>
        <v>497700</v>
      </c>
      <c r="T361" s="432">
        <f t="shared" si="76"/>
        <v>-198753.65824752033</v>
      </c>
      <c r="U361" s="62">
        <f t="shared" si="77"/>
        <v>-198753.65824752033</v>
      </c>
      <c r="V361" s="62">
        <f t="shared" si="75"/>
        <v>0</v>
      </c>
    </row>
    <row r="362" spans="1:24" ht="50.15" customHeight="1" x14ac:dyDescent="0.6">
      <c r="A362" s="440">
        <v>1723000420</v>
      </c>
      <c r="B362" s="120">
        <v>72</v>
      </c>
      <c r="C362" s="121" t="s">
        <v>18</v>
      </c>
      <c r="D362" s="121" t="s">
        <v>33</v>
      </c>
      <c r="E362" s="121"/>
      <c r="F362" s="121" t="s">
        <v>332</v>
      </c>
      <c r="G362" s="122">
        <v>314469.25</v>
      </c>
      <c r="H362" s="122">
        <v>486000</v>
      </c>
      <c r="I362" s="122">
        <v>513966.75600000005</v>
      </c>
      <c r="J362" s="122">
        <v>414000</v>
      </c>
      <c r="K362" s="122">
        <v>486000</v>
      </c>
      <c r="L362" s="123"/>
      <c r="M362" s="123"/>
      <c r="N362" s="123"/>
      <c r="O362" s="226">
        <v>680879.52</v>
      </c>
      <c r="P362" s="122">
        <f>490000+50000</f>
        <v>540000</v>
      </c>
      <c r="Q362" s="122">
        <v>12</v>
      </c>
      <c r="R362" s="122">
        <v>12</v>
      </c>
      <c r="S362" s="441">
        <f t="shared" si="70"/>
        <v>540000</v>
      </c>
      <c r="T362" s="432">
        <f t="shared" si="76"/>
        <v>54000</v>
      </c>
      <c r="U362" s="62">
        <f t="shared" si="77"/>
        <v>54000</v>
      </c>
      <c r="V362" s="62">
        <f t="shared" si="75"/>
        <v>0</v>
      </c>
      <c r="W362" s="338" t="s">
        <v>864</v>
      </c>
    </row>
    <row r="363" spans="1:24" ht="50.15" customHeight="1" x14ac:dyDescent="0.6">
      <c r="A363" s="440">
        <v>1723000421</v>
      </c>
      <c r="B363" s="120">
        <v>72</v>
      </c>
      <c r="C363" s="121" t="s">
        <v>18</v>
      </c>
      <c r="D363" s="121" t="s">
        <v>33</v>
      </c>
      <c r="E363" s="121"/>
      <c r="F363" s="121" t="s">
        <v>333</v>
      </c>
      <c r="G363" s="122">
        <v>0</v>
      </c>
      <c r="H363" s="122">
        <v>40000</v>
      </c>
      <c r="I363" s="122">
        <v>0</v>
      </c>
      <c r="J363" s="122">
        <v>40000</v>
      </c>
      <c r="K363" s="122">
        <v>40000</v>
      </c>
      <c r="L363" s="123"/>
      <c r="M363" s="123"/>
      <c r="N363" s="123"/>
      <c r="O363" s="122">
        <v>0</v>
      </c>
      <c r="P363" s="122">
        <v>0</v>
      </c>
      <c r="Q363" s="122">
        <v>12</v>
      </c>
      <c r="R363" s="122">
        <v>12</v>
      </c>
      <c r="S363" s="441">
        <f t="shared" si="70"/>
        <v>0</v>
      </c>
      <c r="T363" s="432">
        <f t="shared" si="76"/>
        <v>-40000</v>
      </c>
      <c r="U363" s="62">
        <f t="shared" si="77"/>
        <v>-40000</v>
      </c>
      <c r="V363" s="62">
        <f t="shared" si="75"/>
        <v>0</v>
      </c>
      <c r="W363" s="338"/>
    </row>
    <row r="364" spans="1:24" ht="50.15" customHeight="1" x14ac:dyDescent="0.6">
      <c r="A364" s="440">
        <v>1723000422</v>
      </c>
      <c r="B364" s="120">
        <v>72</v>
      </c>
      <c r="C364" s="121" t="s">
        <v>18</v>
      </c>
      <c r="D364" s="121" t="s">
        <v>33</v>
      </c>
      <c r="E364" s="121"/>
      <c r="F364" s="121" t="s">
        <v>334</v>
      </c>
      <c r="G364" s="122">
        <v>0</v>
      </c>
      <c r="H364" s="122">
        <v>185000</v>
      </c>
      <c r="I364" s="122">
        <v>0</v>
      </c>
      <c r="J364" s="122">
        <v>10000</v>
      </c>
      <c r="K364" s="122">
        <v>25000</v>
      </c>
      <c r="L364" s="123"/>
      <c r="M364" s="123"/>
      <c r="N364" s="123"/>
      <c r="O364" s="122">
        <v>0</v>
      </c>
      <c r="P364" s="122">
        <v>0</v>
      </c>
      <c r="Q364" s="122">
        <v>12</v>
      </c>
      <c r="R364" s="122">
        <v>12</v>
      </c>
      <c r="S364" s="441">
        <f t="shared" si="70"/>
        <v>0</v>
      </c>
      <c r="T364" s="432">
        <f t="shared" si="76"/>
        <v>-25000</v>
      </c>
      <c r="U364" s="62">
        <f t="shared" si="77"/>
        <v>-25000</v>
      </c>
      <c r="V364" s="62">
        <f t="shared" si="75"/>
        <v>0</v>
      </c>
      <c r="W364" s="338" t="s">
        <v>863</v>
      </c>
    </row>
    <row r="365" spans="1:24" ht="50.15" customHeight="1" x14ac:dyDescent="0.6">
      <c r="A365" s="440">
        <v>1723000431</v>
      </c>
      <c r="B365" s="120">
        <v>72</v>
      </c>
      <c r="C365" s="121" t="s">
        <v>18</v>
      </c>
      <c r="D365" s="121" t="s">
        <v>33</v>
      </c>
      <c r="E365" s="121"/>
      <c r="F365" s="121" t="s">
        <v>335</v>
      </c>
      <c r="G365" s="122">
        <v>168335.46</v>
      </c>
      <c r="H365" s="122">
        <v>103178.38</v>
      </c>
      <c r="I365" s="122">
        <v>100000</v>
      </c>
      <c r="J365" s="122">
        <v>100000</v>
      </c>
      <c r="K365" s="122">
        <v>103178.376</v>
      </c>
      <c r="L365" s="123"/>
      <c r="M365" s="123"/>
      <c r="N365" s="123"/>
      <c r="O365" s="226">
        <v>150872.5</v>
      </c>
      <c r="P365" s="122">
        <v>151000</v>
      </c>
      <c r="Q365" s="122">
        <v>12</v>
      </c>
      <c r="R365" s="122">
        <v>12</v>
      </c>
      <c r="S365" s="441">
        <f t="shared" si="70"/>
        <v>151000</v>
      </c>
      <c r="T365" s="432">
        <f t="shared" si="76"/>
        <v>47821.623999999996</v>
      </c>
      <c r="U365" s="62">
        <f t="shared" si="77"/>
        <v>47821.623999999996</v>
      </c>
      <c r="V365" s="62">
        <f t="shared" si="75"/>
        <v>0</v>
      </c>
    </row>
    <row r="366" spans="1:24" ht="50.15" customHeight="1" x14ac:dyDescent="0.6">
      <c r="A366" s="440">
        <v>1723000432</v>
      </c>
      <c r="B366" s="120">
        <v>72</v>
      </c>
      <c r="C366" s="121" t="s">
        <v>18</v>
      </c>
      <c r="D366" s="121" t="s">
        <v>33</v>
      </c>
      <c r="E366" s="121"/>
      <c r="F366" s="121" t="s">
        <v>253</v>
      </c>
      <c r="G366" s="122">
        <v>48001.51</v>
      </c>
      <c r="H366" s="122">
        <v>50000</v>
      </c>
      <c r="I366" s="122">
        <v>50000</v>
      </c>
      <c r="J366" s="122">
        <v>50000</v>
      </c>
      <c r="K366" s="122">
        <v>50000</v>
      </c>
      <c r="L366" s="123"/>
      <c r="M366" s="123"/>
      <c r="N366" s="123"/>
      <c r="O366" s="122">
        <v>10000</v>
      </c>
      <c r="P366" s="122">
        <v>10000</v>
      </c>
      <c r="Q366" s="122">
        <v>12</v>
      </c>
      <c r="R366" s="122">
        <v>12</v>
      </c>
      <c r="S366" s="441">
        <f t="shared" si="70"/>
        <v>10000</v>
      </c>
      <c r="T366" s="432">
        <f t="shared" si="76"/>
        <v>-40000</v>
      </c>
      <c r="U366" s="62">
        <f t="shared" si="77"/>
        <v>-40000</v>
      </c>
      <c r="V366" s="62">
        <f t="shared" si="75"/>
        <v>0</v>
      </c>
    </row>
    <row r="367" spans="1:24" ht="50.15" customHeight="1" x14ac:dyDescent="0.6">
      <c r="A367" s="440">
        <v>1723000440</v>
      </c>
      <c r="B367" s="120">
        <v>72</v>
      </c>
      <c r="C367" s="121" t="s">
        <v>18</v>
      </c>
      <c r="D367" s="121" t="s">
        <v>33</v>
      </c>
      <c r="E367" s="121"/>
      <c r="F367" s="121" t="s">
        <v>336</v>
      </c>
      <c r="G367" s="122">
        <v>200000</v>
      </c>
      <c r="H367" s="122">
        <v>200000</v>
      </c>
      <c r="I367" s="122">
        <v>200000</v>
      </c>
      <c r="J367" s="122">
        <v>200000</v>
      </c>
      <c r="K367" s="122">
        <v>200000</v>
      </c>
      <c r="L367" s="123"/>
      <c r="M367" s="123"/>
      <c r="N367" s="123"/>
      <c r="O367" s="122">
        <v>200000</v>
      </c>
      <c r="P367" s="122">
        <v>200000</v>
      </c>
      <c r="Q367" s="122">
        <v>12</v>
      </c>
      <c r="R367" s="122">
        <v>12</v>
      </c>
      <c r="S367" s="441">
        <f t="shared" si="70"/>
        <v>200000</v>
      </c>
      <c r="T367" s="432">
        <f t="shared" si="76"/>
        <v>0</v>
      </c>
      <c r="U367" s="62">
        <f t="shared" si="77"/>
        <v>0</v>
      </c>
      <c r="V367" s="62">
        <f t="shared" si="75"/>
        <v>0</v>
      </c>
      <c r="W367" s="338" t="s">
        <v>865</v>
      </c>
    </row>
    <row r="368" spans="1:24" ht="50.15" customHeight="1" x14ac:dyDescent="0.6">
      <c r="A368" s="440">
        <v>1723000532</v>
      </c>
      <c r="B368" s="120">
        <v>72</v>
      </c>
      <c r="C368" s="121" t="s">
        <v>18</v>
      </c>
      <c r="D368" s="121" t="s">
        <v>33</v>
      </c>
      <c r="E368" s="121"/>
      <c r="F368" s="121" t="s">
        <v>337</v>
      </c>
      <c r="G368" s="122">
        <v>926</v>
      </c>
      <c r="H368" s="122">
        <v>6500</v>
      </c>
      <c r="I368" s="122">
        <v>10000</v>
      </c>
      <c r="J368" s="122">
        <v>10000</v>
      </c>
      <c r="K368" s="122">
        <v>6500</v>
      </c>
      <c r="L368" s="123"/>
      <c r="M368" s="123"/>
      <c r="N368" s="123"/>
      <c r="O368" s="226">
        <v>9459</v>
      </c>
      <c r="P368" s="122">
        <v>10000</v>
      </c>
      <c r="Q368" s="122">
        <v>12</v>
      </c>
      <c r="R368" s="122">
        <v>12</v>
      </c>
      <c r="S368" s="441">
        <f t="shared" si="70"/>
        <v>10000</v>
      </c>
      <c r="T368" s="432">
        <f t="shared" si="76"/>
        <v>3500</v>
      </c>
      <c r="U368" s="62">
        <f t="shared" si="77"/>
        <v>3500</v>
      </c>
      <c r="V368" s="62">
        <f t="shared" si="75"/>
        <v>0</v>
      </c>
    </row>
    <row r="369" spans="1:23" ht="50.15" customHeight="1" x14ac:dyDescent="0.6">
      <c r="A369" s="440">
        <v>1723000550</v>
      </c>
      <c r="B369" s="120">
        <v>72</v>
      </c>
      <c r="C369" s="121" t="s">
        <v>18</v>
      </c>
      <c r="D369" s="121" t="s">
        <v>33</v>
      </c>
      <c r="E369" s="121"/>
      <c r="F369" s="121" t="s">
        <v>338</v>
      </c>
      <c r="G369" s="122">
        <v>0</v>
      </c>
      <c r="H369" s="122">
        <v>6115</v>
      </c>
      <c r="I369" s="122">
        <v>0</v>
      </c>
      <c r="J369" s="122">
        <v>6078</v>
      </c>
      <c r="K369" s="122">
        <v>6115</v>
      </c>
      <c r="L369" s="123"/>
      <c r="M369" s="123"/>
      <c r="N369" s="123"/>
      <c r="O369" s="122">
        <v>0</v>
      </c>
      <c r="P369" s="122">
        <v>6078</v>
      </c>
      <c r="Q369" s="122">
        <v>12</v>
      </c>
      <c r="R369" s="122">
        <v>12</v>
      </c>
      <c r="S369" s="441">
        <f t="shared" si="70"/>
        <v>6078</v>
      </c>
      <c r="T369" s="432">
        <f t="shared" si="76"/>
        <v>-37</v>
      </c>
      <c r="U369" s="62">
        <f t="shared" si="77"/>
        <v>-37</v>
      </c>
      <c r="V369" s="62">
        <f t="shared" si="75"/>
        <v>0</v>
      </c>
      <c r="W369" s="338" t="s">
        <v>866</v>
      </c>
    </row>
    <row r="370" spans="1:23" ht="50.15" customHeight="1" x14ac:dyDescent="0.6">
      <c r="A370" s="440">
        <v>1723000810</v>
      </c>
      <c r="B370" s="120">
        <v>72</v>
      </c>
      <c r="C370" s="121" t="s">
        <v>18</v>
      </c>
      <c r="D370" s="121" t="s">
        <v>33</v>
      </c>
      <c r="E370" s="121"/>
      <c r="F370" s="121" t="s">
        <v>339</v>
      </c>
      <c r="G370" s="122">
        <v>144650</v>
      </c>
      <c r="H370" s="122">
        <v>144314</v>
      </c>
      <c r="I370" s="122">
        <v>143447</v>
      </c>
      <c r="J370" s="122">
        <v>143446.70000000001</v>
      </c>
      <c r="K370" s="122">
        <v>144314</v>
      </c>
      <c r="L370" s="123"/>
      <c r="M370" s="123"/>
      <c r="N370" s="123"/>
      <c r="O370" s="122">
        <v>143447</v>
      </c>
      <c r="P370" s="122">
        <v>144314</v>
      </c>
      <c r="Q370" s="122">
        <v>12</v>
      </c>
      <c r="R370" s="122">
        <v>12</v>
      </c>
      <c r="S370" s="441">
        <f t="shared" si="70"/>
        <v>144314</v>
      </c>
      <c r="T370" s="432">
        <f t="shared" si="76"/>
        <v>0</v>
      </c>
      <c r="U370" s="62">
        <f t="shared" si="77"/>
        <v>0</v>
      </c>
      <c r="V370" s="62">
        <f t="shared" si="75"/>
        <v>0</v>
      </c>
      <c r="W370" s="338" t="s">
        <v>866</v>
      </c>
    </row>
    <row r="371" spans="1:23" ht="50.15" customHeight="1" x14ac:dyDescent="0.6">
      <c r="A371" s="440">
        <v>1723100110</v>
      </c>
      <c r="B371" s="120">
        <v>72</v>
      </c>
      <c r="C371" s="121" t="s">
        <v>17</v>
      </c>
      <c r="D371" s="121" t="s">
        <v>33</v>
      </c>
      <c r="E371" s="121" t="s">
        <v>583</v>
      </c>
      <c r="F371" s="121" t="s">
        <v>340</v>
      </c>
      <c r="G371" s="122">
        <v>344590.74</v>
      </c>
      <c r="H371" s="122">
        <v>323367.55</v>
      </c>
      <c r="I371" s="122">
        <v>279015</v>
      </c>
      <c r="J371" s="122">
        <v>343200.73249999998</v>
      </c>
      <c r="K371" s="122">
        <v>330384.62231830863</v>
      </c>
      <c r="L371" s="123">
        <v>1.9</v>
      </c>
      <c r="M371" s="123">
        <v>2.4</v>
      </c>
      <c r="N371" s="123">
        <f>ריכוז!K22</f>
        <v>1.9</v>
      </c>
      <c r="O371" s="226">
        <v>279217.76</v>
      </c>
      <c r="P371" s="122">
        <f>ריכוז!M22</f>
        <v>324000</v>
      </c>
      <c r="Q371" s="122">
        <v>12</v>
      </c>
      <c r="R371" s="122">
        <v>12</v>
      </c>
      <c r="S371" s="441">
        <f t="shared" si="70"/>
        <v>324000</v>
      </c>
      <c r="T371" s="432">
        <f t="shared" si="76"/>
        <v>-6384.6223183086258</v>
      </c>
      <c r="U371" s="62">
        <f t="shared" si="77"/>
        <v>-6384.6223183086258</v>
      </c>
      <c r="V371" s="62">
        <f t="shared" si="75"/>
        <v>0</v>
      </c>
      <c r="W371" s="153" t="s">
        <v>912</v>
      </c>
    </row>
    <row r="372" spans="1:23" ht="50.15" customHeight="1" x14ac:dyDescent="0.6">
      <c r="A372" s="440">
        <v>1723100751</v>
      </c>
      <c r="B372" s="120">
        <v>72</v>
      </c>
      <c r="C372" s="121" t="s">
        <v>18</v>
      </c>
      <c r="D372" s="121" t="s">
        <v>33</v>
      </c>
      <c r="E372" s="121"/>
      <c r="F372" s="121" t="s">
        <v>341</v>
      </c>
      <c r="G372" s="122">
        <v>38365.01</v>
      </c>
      <c r="H372" s="122">
        <v>35000</v>
      </c>
      <c r="I372" s="122">
        <v>25687.392</v>
      </c>
      <c r="J372" s="122">
        <v>35000</v>
      </c>
      <c r="K372" s="122">
        <v>35000</v>
      </c>
      <c r="L372" s="123"/>
      <c r="M372" s="123"/>
      <c r="N372" s="123"/>
      <c r="O372" s="226">
        <v>26525.78</v>
      </c>
      <c r="P372" s="122">
        <v>30000</v>
      </c>
      <c r="Q372" s="122">
        <v>12</v>
      </c>
      <c r="R372" s="122">
        <v>12</v>
      </c>
      <c r="S372" s="441">
        <f t="shared" si="70"/>
        <v>30000</v>
      </c>
      <c r="T372" s="432">
        <f t="shared" si="76"/>
        <v>-5000</v>
      </c>
      <c r="U372" s="62">
        <f t="shared" si="77"/>
        <v>-5000</v>
      </c>
      <c r="V372" s="62">
        <f t="shared" si="75"/>
        <v>0</v>
      </c>
      <c r="W372" s="338" t="s">
        <v>867</v>
      </c>
    </row>
    <row r="373" spans="1:23" ht="50.15" customHeight="1" x14ac:dyDescent="0.6">
      <c r="A373" s="440">
        <v>1726000110</v>
      </c>
      <c r="B373" s="120">
        <v>72</v>
      </c>
      <c r="C373" s="121" t="s">
        <v>17</v>
      </c>
      <c r="D373" s="121" t="s">
        <v>33</v>
      </c>
      <c r="E373" s="121" t="s">
        <v>583</v>
      </c>
      <c r="F373" s="121" t="s">
        <v>342</v>
      </c>
      <c r="G373" s="122">
        <v>151171.46</v>
      </c>
      <c r="H373" s="122">
        <v>458825.22</v>
      </c>
      <c r="I373" s="122">
        <v>464549</v>
      </c>
      <c r="J373" s="122">
        <v>352356.5259666667</v>
      </c>
      <c r="K373" s="122">
        <v>322192.72231773345</v>
      </c>
      <c r="L373" s="123">
        <v>2</v>
      </c>
      <c r="M373" s="123">
        <v>2</v>
      </c>
      <c r="N373" s="123">
        <f>ריכוז!K23</f>
        <v>1</v>
      </c>
      <c r="O373" s="226">
        <v>453628.37</v>
      </c>
      <c r="P373" s="122">
        <f>ריכוז!M23</f>
        <v>333000</v>
      </c>
      <c r="Q373" s="122">
        <v>12</v>
      </c>
      <c r="R373" s="122">
        <v>12</v>
      </c>
      <c r="S373" s="441">
        <f t="shared" si="70"/>
        <v>333000</v>
      </c>
      <c r="T373" s="432">
        <f t="shared" si="76"/>
        <v>10807.277682266547</v>
      </c>
      <c r="U373" s="62">
        <f t="shared" si="77"/>
        <v>10807.277682266547</v>
      </c>
      <c r="V373" s="62">
        <f t="shared" si="75"/>
        <v>0</v>
      </c>
      <c r="W373" s="153" t="s">
        <v>912</v>
      </c>
    </row>
    <row r="374" spans="1:23" ht="50.15" customHeight="1" x14ac:dyDescent="0.6">
      <c r="A374" s="440">
        <v>1726000531</v>
      </c>
      <c r="B374" s="120">
        <v>72</v>
      </c>
      <c r="C374" s="121" t="s">
        <v>18</v>
      </c>
      <c r="D374" s="121" t="s">
        <v>33</v>
      </c>
      <c r="E374" s="121"/>
      <c r="F374" s="121" t="s">
        <v>343</v>
      </c>
      <c r="G374" s="122">
        <v>108739.33</v>
      </c>
      <c r="H374" s="122">
        <v>90360</v>
      </c>
      <c r="I374" s="122">
        <v>111502.308</v>
      </c>
      <c r="J374" s="122">
        <v>69600</v>
      </c>
      <c r="K374" s="122">
        <v>90360</v>
      </c>
      <c r="L374" s="123"/>
      <c r="M374" s="123"/>
      <c r="N374" s="123"/>
      <c r="O374" s="226">
        <v>53647.05</v>
      </c>
      <c r="P374" s="122">
        <v>55000</v>
      </c>
      <c r="Q374" s="122">
        <v>12</v>
      </c>
      <c r="R374" s="122">
        <v>12</v>
      </c>
      <c r="S374" s="441">
        <f t="shared" si="70"/>
        <v>55000</v>
      </c>
      <c r="T374" s="432">
        <f t="shared" si="76"/>
        <v>-35360</v>
      </c>
      <c r="U374" s="62">
        <f t="shared" si="77"/>
        <v>-35360</v>
      </c>
      <c r="V374" s="62">
        <f t="shared" si="75"/>
        <v>0</v>
      </c>
    </row>
    <row r="375" spans="1:23" ht="50.15" customHeight="1" x14ac:dyDescent="0.6">
      <c r="A375" s="440">
        <v>1727000431</v>
      </c>
      <c r="B375" s="120">
        <v>72</v>
      </c>
      <c r="C375" s="121" t="s">
        <v>18</v>
      </c>
      <c r="D375" s="121" t="s">
        <v>33</v>
      </c>
      <c r="E375" s="121"/>
      <c r="F375" s="121" t="s">
        <v>346</v>
      </c>
      <c r="G375" s="122">
        <v>928.81</v>
      </c>
      <c r="H375" s="122">
        <v>888.14</v>
      </c>
      <c r="I375" s="122">
        <v>27000</v>
      </c>
      <c r="J375" s="122">
        <v>27217</v>
      </c>
      <c r="K375" s="122">
        <v>888.14399999999978</v>
      </c>
      <c r="L375" s="123"/>
      <c r="M375" s="123"/>
      <c r="N375" s="123"/>
      <c r="O375" s="226">
        <v>18327.88</v>
      </c>
      <c r="P375" s="122">
        <v>20000</v>
      </c>
      <c r="Q375" s="122">
        <v>12</v>
      </c>
      <c r="R375" s="122">
        <v>12</v>
      </c>
      <c r="S375" s="441">
        <f t="shared" si="70"/>
        <v>20000</v>
      </c>
      <c r="T375" s="432">
        <f t="shared" si="76"/>
        <v>19111.856</v>
      </c>
      <c r="U375" s="62">
        <f t="shared" si="77"/>
        <v>19111.856</v>
      </c>
      <c r="V375" s="62">
        <f t="shared" si="75"/>
        <v>0</v>
      </c>
    </row>
    <row r="376" spans="1:23" ht="50.15" customHeight="1" x14ac:dyDescent="0.6">
      <c r="A376" s="440">
        <v>1727000531</v>
      </c>
      <c r="B376" s="120">
        <v>72</v>
      </c>
      <c r="C376" s="121" t="s">
        <v>18</v>
      </c>
      <c r="D376" s="121" t="s">
        <v>33</v>
      </c>
      <c r="E376" s="121"/>
      <c r="F376" s="121" t="s">
        <v>345</v>
      </c>
      <c r="G376" s="122"/>
      <c r="H376" s="122"/>
      <c r="I376" s="122"/>
      <c r="J376" s="122">
        <v>37339</v>
      </c>
      <c r="K376" s="122"/>
      <c r="L376" s="123"/>
      <c r="M376" s="123"/>
      <c r="N376" s="123"/>
      <c r="O376" s="226">
        <v>65522.53</v>
      </c>
      <c r="P376" s="122">
        <v>66000</v>
      </c>
      <c r="Q376" s="122">
        <v>12</v>
      </c>
      <c r="R376" s="122">
        <v>12</v>
      </c>
      <c r="S376" s="441">
        <f t="shared" si="70"/>
        <v>66000</v>
      </c>
      <c r="T376" s="432">
        <f t="shared" si="76"/>
        <v>66000</v>
      </c>
      <c r="U376" s="62">
        <f t="shared" si="77"/>
        <v>66000</v>
      </c>
      <c r="V376" s="62">
        <f t="shared" si="75"/>
        <v>0</v>
      </c>
      <c r="W376" s="338" t="s">
        <v>868</v>
      </c>
    </row>
    <row r="377" spans="1:23" ht="50.15" customHeight="1" x14ac:dyDescent="0.6">
      <c r="A377" s="440">
        <v>1727000780</v>
      </c>
      <c r="B377" s="120">
        <v>72</v>
      </c>
      <c r="C377" s="121" t="s">
        <v>18</v>
      </c>
      <c r="D377" s="121" t="s">
        <v>33</v>
      </c>
      <c r="E377" s="121"/>
      <c r="F377" s="121" t="s">
        <v>347</v>
      </c>
      <c r="G377" s="122">
        <v>12800</v>
      </c>
      <c r="H377" s="122">
        <v>17000</v>
      </c>
      <c r="I377" s="122">
        <v>11337.599999999999</v>
      </c>
      <c r="J377" s="122">
        <v>23670</v>
      </c>
      <c r="K377" s="122">
        <v>17000</v>
      </c>
      <c r="L377" s="123"/>
      <c r="M377" s="123"/>
      <c r="N377" s="123"/>
      <c r="O377" s="226">
        <v>15596</v>
      </c>
      <c r="P377" s="122">
        <v>17000</v>
      </c>
      <c r="Q377" s="122">
        <v>12</v>
      </c>
      <c r="R377" s="122">
        <v>12</v>
      </c>
      <c r="S377" s="441">
        <f t="shared" si="70"/>
        <v>17000</v>
      </c>
      <c r="T377" s="432">
        <f t="shared" si="76"/>
        <v>0</v>
      </c>
      <c r="U377" s="62">
        <f t="shared" si="77"/>
        <v>0</v>
      </c>
      <c r="V377" s="62">
        <f t="shared" si="75"/>
        <v>0</v>
      </c>
    </row>
    <row r="378" spans="1:23" s="497" customFormat="1" ht="50.15" customHeight="1" x14ac:dyDescent="0.6">
      <c r="A378" s="440">
        <v>1727000750</v>
      </c>
      <c r="B378" s="120"/>
      <c r="C378" s="121" t="s">
        <v>18</v>
      </c>
      <c r="D378" s="121"/>
      <c r="E378" s="121"/>
      <c r="F378" s="121" t="s">
        <v>877</v>
      </c>
      <c r="G378" s="122"/>
      <c r="H378" s="122">
        <v>0</v>
      </c>
      <c r="I378" s="122">
        <v>0</v>
      </c>
      <c r="J378" s="122">
        <v>0</v>
      </c>
      <c r="K378" s="122">
        <v>0</v>
      </c>
      <c r="L378" s="123"/>
      <c r="M378" s="123"/>
      <c r="N378" s="123"/>
      <c r="O378" s="226">
        <v>0</v>
      </c>
      <c r="P378" s="122"/>
      <c r="Q378" s="122">
        <v>12</v>
      </c>
      <c r="R378" s="122">
        <v>12</v>
      </c>
      <c r="S378" s="441">
        <v>0</v>
      </c>
      <c r="T378" s="462">
        <f t="shared" si="76"/>
        <v>0</v>
      </c>
      <c r="U378" s="122">
        <f t="shared" si="77"/>
        <v>0</v>
      </c>
      <c r="V378" s="122">
        <f t="shared" si="75"/>
        <v>0</v>
      </c>
      <c r="W378" s="496" t="s">
        <v>3539</v>
      </c>
    </row>
    <row r="379" spans="1:23" ht="50.15" customHeight="1" thickBot="1" x14ac:dyDescent="0.65">
      <c r="A379" s="472">
        <v>1727000781</v>
      </c>
      <c r="B379" s="334">
        <v>72</v>
      </c>
      <c r="C379" s="335" t="s">
        <v>18</v>
      </c>
      <c r="D379" s="335" t="s">
        <v>33</v>
      </c>
      <c r="E379" s="335"/>
      <c r="F379" s="335" t="s">
        <v>344</v>
      </c>
      <c r="G379" s="281" t="s">
        <v>8</v>
      </c>
      <c r="H379" s="281" t="s">
        <v>8</v>
      </c>
      <c r="I379" s="281">
        <v>0</v>
      </c>
      <c r="J379" s="281">
        <v>12800</v>
      </c>
      <c r="K379" s="281">
        <v>0</v>
      </c>
      <c r="L379" s="280"/>
      <c r="M379" s="280"/>
      <c r="N379" s="280"/>
      <c r="O379" s="281">
        <v>0</v>
      </c>
      <c r="P379" s="281">
        <v>0</v>
      </c>
      <c r="Q379" s="281">
        <v>12</v>
      </c>
      <c r="R379" s="281">
        <v>12</v>
      </c>
      <c r="S379" s="473">
        <f t="shared" si="70"/>
        <v>0</v>
      </c>
      <c r="T379" s="432">
        <f t="shared" si="76"/>
        <v>0</v>
      </c>
      <c r="U379" s="62">
        <f t="shared" si="77"/>
        <v>0</v>
      </c>
      <c r="V379" s="399">
        <f t="shared" si="75"/>
        <v>0</v>
      </c>
    </row>
    <row r="380" spans="1:23" ht="50.15" customHeight="1" thickBot="1" x14ac:dyDescent="0.65">
      <c r="A380" s="407"/>
      <c r="B380" s="64"/>
      <c r="C380" s="402"/>
      <c r="D380" s="65"/>
      <c r="E380" s="65"/>
      <c r="F380" s="403"/>
      <c r="G380" s="408">
        <f t="shared" ref="G380:V380" si="78">SUM(G359:G379)</f>
        <v>2942357.53</v>
      </c>
      <c r="H380" s="66">
        <f t="shared" si="78"/>
        <v>3096912.2899999996</v>
      </c>
      <c r="I380" s="66">
        <f t="shared" si="78"/>
        <v>2693682.4456800004</v>
      </c>
      <c r="J380" s="66">
        <f t="shared" si="78"/>
        <v>2395076.9502166668</v>
      </c>
      <c r="K380" s="66">
        <f t="shared" si="78"/>
        <v>2587786.5228835619</v>
      </c>
      <c r="L380" s="66">
        <f t="shared" si="78"/>
        <v>8.6999999999999993</v>
      </c>
      <c r="M380" s="66">
        <f t="shared" si="78"/>
        <v>8.4</v>
      </c>
      <c r="N380" s="66">
        <f t="shared" si="78"/>
        <v>5.9833333333333325</v>
      </c>
      <c r="O380" s="66">
        <f t="shared" si="78"/>
        <v>3092040.6599999992</v>
      </c>
      <c r="P380" s="66">
        <f t="shared" si="78"/>
        <v>2430092</v>
      </c>
      <c r="Q380" s="66">
        <f t="shared" si="78"/>
        <v>252</v>
      </c>
      <c r="R380" s="66">
        <f t="shared" si="78"/>
        <v>252</v>
      </c>
      <c r="S380" s="66">
        <f t="shared" si="78"/>
        <v>2430092</v>
      </c>
      <c r="T380" s="398">
        <f t="shared" si="78"/>
        <v>-157694.5228835624</v>
      </c>
      <c r="U380" s="393">
        <f t="shared" si="78"/>
        <v>-157694.5228835624</v>
      </c>
      <c r="V380" s="66">
        <f t="shared" si="78"/>
        <v>0</v>
      </c>
    </row>
    <row r="381" spans="1:23" ht="50.15" customHeight="1" x14ac:dyDescent="0.35">
      <c r="A381" s="470" t="s">
        <v>673</v>
      </c>
      <c r="B381" s="328"/>
      <c r="C381" s="328"/>
      <c r="D381" s="118"/>
      <c r="E381" s="118"/>
      <c r="F381" s="328"/>
      <c r="G381" s="118"/>
      <c r="H381" s="118"/>
      <c r="I381" s="118"/>
      <c r="J381" s="118"/>
      <c r="K381" s="118"/>
      <c r="L381" s="118"/>
      <c r="M381" s="333"/>
      <c r="N381" s="118"/>
      <c r="O381" s="118"/>
      <c r="P381" s="329"/>
      <c r="Q381" s="328"/>
      <c r="R381" s="328"/>
      <c r="S381" s="471"/>
      <c r="T381" s="461"/>
      <c r="U381" s="391"/>
      <c r="V381" s="400"/>
    </row>
    <row r="382" spans="1:23" ht="50.15" customHeight="1" x14ac:dyDescent="0.6">
      <c r="A382" s="440">
        <v>1730000430</v>
      </c>
      <c r="B382" s="120">
        <v>73</v>
      </c>
      <c r="C382" s="121" t="s">
        <v>18</v>
      </c>
      <c r="D382" s="121" t="s">
        <v>33</v>
      </c>
      <c r="E382" s="121"/>
      <c r="F382" s="121" t="s">
        <v>348</v>
      </c>
      <c r="G382" s="122">
        <v>250000</v>
      </c>
      <c r="H382" s="122">
        <v>250000</v>
      </c>
      <c r="I382" s="122">
        <v>250000</v>
      </c>
      <c r="J382" s="122">
        <v>250000</v>
      </c>
      <c r="K382" s="122">
        <v>250000</v>
      </c>
      <c r="L382" s="123"/>
      <c r="M382" s="123"/>
      <c r="N382" s="123"/>
      <c r="O382" s="122">
        <v>250000</v>
      </c>
      <c r="P382" s="122">
        <v>250000</v>
      </c>
      <c r="Q382" s="122">
        <v>12</v>
      </c>
      <c r="R382" s="122">
        <v>12</v>
      </c>
      <c r="S382" s="441">
        <f t="shared" ref="S382:S423" si="79">P382*Q382/R382</f>
        <v>250000</v>
      </c>
      <c r="T382" s="432">
        <f>P382-K382</f>
        <v>0</v>
      </c>
      <c r="U382" s="62">
        <f>S382-K382</f>
        <v>0</v>
      </c>
      <c r="V382" s="62">
        <f t="shared" ref="V382:V393" si="80">S382-P382</f>
        <v>0</v>
      </c>
      <c r="W382" s="153" t="s">
        <v>865</v>
      </c>
    </row>
    <row r="383" spans="1:23" ht="50.15" customHeight="1" x14ac:dyDescent="0.6">
      <c r="A383" s="440">
        <v>1731000110</v>
      </c>
      <c r="B383" s="120">
        <v>73</v>
      </c>
      <c r="C383" s="121" t="s">
        <v>17</v>
      </c>
      <c r="D383" s="121" t="s">
        <v>33</v>
      </c>
      <c r="E383" s="121" t="s">
        <v>583</v>
      </c>
      <c r="F383" s="121" t="s">
        <v>349</v>
      </c>
      <c r="G383" s="122">
        <v>1675947.14</v>
      </c>
      <c r="H383" s="122">
        <v>1871757.09</v>
      </c>
      <c r="I383" s="122">
        <v>1572000</v>
      </c>
      <c r="J383" s="122">
        <v>1793897.9760079999</v>
      </c>
      <c r="K383" s="122">
        <v>1982374.2159907375</v>
      </c>
      <c r="L383" s="123">
        <v>6.3933999999999989</v>
      </c>
      <c r="M383" s="123">
        <v>6.3933999999999989</v>
      </c>
      <c r="N383" s="123">
        <f>ריכוז!K24</f>
        <v>8.5</v>
      </c>
      <c r="O383" s="226">
        <v>1766421</v>
      </c>
      <c r="P383" s="122">
        <f>ריכוז!M24</f>
        <v>2010600</v>
      </c>
      <c r="Q383" s="122">
        <v>12</v>
      </c>
      <c r="R383" s="122">
        <v>12</v>
      </c>
      <c r="S383" s="441">
        <f t="shared" si="79"/>
        <v>2010600</v>
      </c>
      <c r="T383" s="432">
        <f t="shared" ref="T383:T393" si="81">P383-K383</f>
        <v>28225.784009262454</v>
      </c>
      <c r="U383" s="62">
        <f t="shared" ref="U383:U393" si="82">S383-K383</f>
        <v>28225.784009262454</v>
      </c>
      <c r="V383" s="62">
        <f t="shared" si="80"/>
        <v>0</v>
      </c>
      <c r="W383" s="153" t="s">
        <v>913</v>
      </c>
    </row>
    <row r="384" spans="1:23" ht="50.15" customHeight="1" x14ac:dyDescent="0.6">
      <c r="A384" s="440">
        <v>1731000530</v>
      </c>
      <c r="B384" s="120">
        <v>73</v>
      </c>
      <c r="C384" s="121" t="s">
        <v>18</v>
      </c>
      <c r="D384" s="121" t="s">
        <v>33</v>
      </c>
      <c r="E384" s="121"/>
      <c r="F384" s="121" t="s">
        <v>350</v>
      </c>
      <c r="G384" s="122">
        <v>126923.1</v>
      </c>
      <c r="H384" s="122">
        <v>139200</v>
      </c>
      <c r="I384" s="122">
        <v>129789.36000000002</v>
      </c>
      <c r="J384" s="122">
        <v>130200</v>
      </c>
      <c r="K384" s="122">
        <v>139200</v>
      </c>
      <c r="L384" s="123"/>
      <c r="M384" s="123"/>
      <c r="N384" s="123"/>
      <c r="O384" s="226">
        <v>121413.98</v>
      </c>
      <c r="P384" s="122">
        <v>122000</v>
      </c>
      <c r="Q384" s="122">
        <v>12</v>
      </c>
      <c r="R384" s="122">
        <v>12</v>
      </c>
      <c r="S384" s="441">
        <f t="shared" si="79"/>
        <v>122000</v>
      </c>
      <c r="T384" s="432">
        <f t="shared" si="81"/>
        <v>-17200</v>
      </c>
      <c r="U384" s="62">
        <f t="shared" si="82"/>
        <v>-17200</v>
      </c>
      <c r="V384" s="62">
        <f t="shared" si="80"/>
        <v>0</v>
      </c>
    </row>
    <row r="385" spans="1:23" ht="50.15" customHeight="1" x14ac:dyDescent="0.6">
      <c r="A385" s="440">
        <v>1731000531</v>
      </c>
      <c r="B385" s="120">
        <v>73</v>
      </c>
      <c r="C385" s="121" t="s">
        <v>18</v>
      </c>
      <c r="D385" s="121" t="s">
        <v>33</v>
      </c>
      <c r="E385" s="121"/>
      <c r="F385" s="121" t="s">
        <v>351</v>
      </c>
      <c r="G385" s="122">
        <v>49583.68</v>
      </c>
      <c r="H385" s="122">
        <v>64416</v>
      </c>
      <c r="I385" s="122">
        <v>47947.52399999999</v>
      </c>
      <c r="J385" s="122">
        <v>63984</v>
      </c>
      <c r="K385" s="122">
        <v>64416</v>
      </c>
      <c r="L385" s="123"/>
      <c r="M385" s="123"/>
      <c r="N385" s="123"/>
      <c r="O385" s="226">
        <v>52676.35</v>
      </c>
      <c r="P385" s="122">
        <v>64000</v>
      </c>
      <c r="Q385" s="122">
        <v>12</v>
      </c>
      <c r="R385" s="122">
        <v>12</v>
      </c>
      <c r="S385" s="441">
        <f t="shared" si="79"/>
        <v>64000</v>
      </c>
      <c r="T385" s="432">
        <f t="shared" si="81"/>
        <v>-416</v>
      </c>
      <c r="U385" s="62">
        <f t="shared" si="82"/>
        <v>-416</v>
      </c>
      <c r="V385" s="62">
        <f t="shared" si="80"/>
        <v>0</v>
      </c>
    </row>
    <row r="386" spans="1:23" ht="50.15" customHeight="1" x14ac:dyDescent="0.6">
      <c r="A386" s="440">
        <v>1731000570</v>
      </c>
      <c r="B386" s="120">
        <v>73</v>
      </c>
      <c r="C386" s="121" t="s">
        <v>18</v>
      </c>
      <c r="D386" s="121" t="s">
        <v>33</v>
      </c>
      <c r="E386" s="121"/>
      <c r="F386" s="121" t="s">
        <v>352</v>
      </c>
      <c r="G386" s="122">
        <v>7867.95</v>
      </c>
      <c r="H386" s="122">
        <v>10000</v>
      </c>
      <c r="I386" s="122">
        <v>7111.2000000000007</v>
      </c>
      <c r="J386" s="122">
        <v>19800</v>
      </c>
      <c r="K386" s="122">
        <v>10000</v>
      </c>
      <c r="L386" s="123"/>
      <c r="M386" s="123"/>
      <c r="N386" s="123"/>
      <c r="O386" s="226">
        <v>15403</v>
      </c>
      <c r="P386" s="122">
        <v>12000</v>
      </c>
      <c r="Q386" s="122">
        <v>12</v>
      </c>
      <c r="R386" s="122">
        <v>12</v>
      </c>
      <c r="S386" s="441">
        <f t="shared" si="79"/>
        <v>12000</v>
      </c>
      <c r="T386" s="432">
        <f t="shared" si="81"/>
        <v>2000</v>
      </c>
      <c r="U386" s="62">
        <f t="shared" si="82"/>
        <v>2000</v>
      </c>
      <c r="V386" s="62">
        <f t="shared" si="80"/>
        <v>0</v>
      </c>
    </row>
    <row r="387" spans="1:23" s="243" customFormat="1" ht="50.15" customHeight="1" x14ac:dyDescent="0.6">
      <c r="A387" s="440">
        <v>1731000780</v>
      </c>
      <c r="B387" s="120">
        <v>73</v>
      </c>
      <c r="C387" s="121" t="s">
        <v>18</v>
      </c>
      <c r="D387" s="121" t="s">
        <v>33</v>
      </c>
      <c r="E387" s="121"/>
      <c r="F387" s="121" t="s">
        <v>353</v>
      </c>
      <c r="G387" s="122">
        <v>19953.68</v>
      </c>
      <c r="H387" s="122">
        <v>25500</v>
      </c>
      <c r="I387" s="122">
        <v>23480.675999999999</v>
      </c>
      <c r="J387" s="122">
        <v>178000</v>
      </c>
      <c r="K387" s="122">
        <v>25500</v>
      </c>
      <c r="L387" s="123"/>
      <c r="M387" s="123"/>
      <c r="N387" s="123"/>
      <c r="O387" s="226">
        <v>25172.33</v>
      </c>
      <c r="P387" s="122">
        <v>25500</v>
      </c>
      <c r="Q387" s="122">
        <v>12</v>
      </c>
      <c r="R387" s="122">
        <v>12</v>
      </c>
      <c r="S387" s="441">
        <f t="shared" si="79"/>
        <v>25500</v>
      </c>
      <c r="T387" s="432">
        <f t="shared" si="81"/>
        <v>0</v>
      </c>
      <c r="U387" s="62">
        <f t="shared" si="82"/>
        <v>0</v>
      </c>
      <c r="V387" s="62">
        <f t="shared" si="80"/>
        <v>0</v>
      </c>
      <c r="W387" s="338" t="s">
        <v>869</v>
      </c>
    </row>
    <row r="388" spans="1:23" s="243" customFormat="1" ht="50.15" customHeight="1" x14ac:dyDescent="0.6">
      <c r="A388" s="440">
        <v>1731000781</v>
      </c>
      <c r="B388" s="120">
        <v>73</v>
      </c>
      <c r="C388" s="121" t="s">
        <v>18</v>
      </c>
      <c r="D388" s="121" t="s">
        <v>33</v>
      </c>
      <c r="E388" s="121"/>
      <c r="F388" s="121" t="s">
        <v>354</v>
      </c>
      <c r="G388" s="122">
        <v>31590</v>
      </c>
      <c r="H388" s="122">
        <v>150000</v>
      </c>
      <c r="I388" s="122">
        <v>28080</v>
      </c>
      <c r="J388" s="122">
        <v>100000</v>
      </c>
      <c r="K388" s="122">
        <v>100000</v>
      </c>
      <c r="L388" s="123"/>
      <c r="M388" s="123"/>
      <c r="N388" s="123"/>
      <c r="O388" s="226">
        <v>23400</v>
      </c>
      <c r="P388" s="122">
        <v>30000</v>
      </c>
      <c r="Q388" s="122">
        <v>12</v>
      </c>
      <c r="R388" s="122">
        <v>12</v>
      </c>
      <c r="S388" s="441">
        <f t="shared" si="79"/>
        <v>30000</v>
      </c>
      <c r="T388" s="432">
        <f t="shared" si="81"/>
        <v>-70000</v>
      </c>
      <c r="U388" s="62">
        <f t="shared" si="82"/>
        <v>-70000</v>
      </c>
      <c r="V388" s="62">
        <f t="shared" si="80"/>
        <v>0</v>
      </c>
      <c r="W388" s="338" t="s">
        <v>870</v>
      </c>
    </row>
    <row r="389" spans="1:23" ht="50.15" customHeight="1" x14ac:dyDescent="0.6">
      <c r="A389" s="440">
        <v>1732000780</v>
      </c>
      <c r="B389" s="120">
        <v>73</v>
      </c>
      <c r="C389" s="121" t="s">
        <v>18</v>
      </c>
      <c r="D389" s="121" t="s">
        <v>33</v>
      </c>
      <c r="E389" s="121"/>
      <c r="F389" s="121" t="s">
        <v>355</v>
      </c>
      <c r="G389" s="122">
        <v>2808</v>
      </c>
      <c r="H389" s="122">
        <v>110000</v>
      </c>
      <c r="I389" s="122">
        <v>2695.6800000000003</v>
      </c>
      <c r="J389" s="122">
        <v>100000</v>
      </c>
      <c r="K389" s="122">
        <v>110000</v>
      </c>
      <c r="L389" s="123"/>
      <c r="M389" s="123"/>
      <c r="N389" s="123"/>
      <c r="O389" s="226">
        <v>22560.400000000001</v>
      </c>
      <c r="P389" s="122">
        <v>110000</v>
      </c>
      <c r="Q389" s="122">
        <v>12</v>
      </c>
      <c r="R389" s="122">
        <v>12</v>
      </c>
      <c r="S389" s="441">
        <f t="shared" si="79"/>
        <v>110000</v>
      </c>
      <c r="T389" s="432">
        <f t="shared" si="81"/>
        <v>0</v>
      </c>
      <c r="U389" s="62">
        <f t="shared" si="82"/>
        <v>0</v>
      </c>
      <c r="V389" s="62">
        <f t="shared" si="80"/>
        <v>0</v>
      </c>
      <c r="W389" s="338" t="s">
        <v>2183</v>
      </c>
    </row>
    <row r="390" spans="1:23" ht="50.15" customHeight="1" x14ac:dyDescent="0.6">
      <c r="A390" s="440">
        <v>1733000110</v>
      </c>
      <c r="B390" s="120">
        <v>73</v>
      </c>
      <c r="C390" s="121" t="s">
        <v>17</v>
      </c>
      <c r="D390" s="121" t="s">
        <v>33</v>
      </c>
      <c r="E390" s="121" t="s">
        <v>583</v>
      </c>
      <c r="F390" s="121" t="s">
        <v>356</v>
      </c>
      <c r="G390" s="122">
        <v>654010.37</v>
      </c>
      <c r="H390" s="122">
        <v>853162.76</v>
      </c>
      <c r="I390" s="122">
        <v>1137000</v>
      </c>
      <c r="J390" s="122">
        <v>1143132.4501</v>
      </c>
      <c r="K390" s="122">
        <v>996133.89582193922</v>
      </c>
      <c r="L390" s="123">
        <v>6.2364999999999995</v>
      </c>
      <c r="M390" s="123">
        <v>6.2364999999999995</v>
      </c>
      <c r="N390" s="123">
        <f>ריכוז!K25</f>
        <v>6</v>
      </c>
      <c r="O390" s="226">
        <v>974652</v>
      </c>
      <c r="P390" s="122">
        <f>ריכוז!M25</f>
        <v>1124000</v>
      </c>
      <c r="Q390" s="122">
        <v>12</v>
      </c>
      <c r="R390" s="122">
        <v>12</v>
      </c>
      <c r="S390" s="441">
        <f t="shared" si="79"/>
        <v>1124000</v>
      </c>
      <c r="T390" s="432">
        <f t="shared" si="81"/>
        <v>127866.10417806078</v>
      </c>
      <c r="U390" s="62">
        <f t="shared" si="82"/>
        <v>127866.10417806078</v>
      </c>
      <c r="V390" s="62">
        <f t="shared" si="80"/>
        <v>0</v>
      </c>
      <c r="W390" s="153" t="s">
        <v>914</v>
      </c>
    </row>
    <row r="391" spans="1:23" ht="50.15" customHeight="1" x14ac:dyDescent="0.6">
      <c r="A391" s="440">
        <v>1733000750</v>
      </c>
      <c r="B391" s="120">
        <v>73</v>
      </c>
      <c r="C391" s="121" t="s">
        <v>18</v>
      </c>
      <c r="D391" s="121" t="s">
        <v>33</v>
      </c>
      <c r="E391" s="121"/>
      <c r="F391" s="121" t="s">
        <v>357</v>
      </c>
      <c r="G391" s="122">
        <v>180000</v>
      </c>
      <c r="H391" s="122">
        <v>155000</v>
      </c>
      <c r="I391" s="122">
        <v>144000</v>
      </c>
      <c r="J391" s="122">
        <v>200000</v>
      </c>
      <c r="K391" s="122">
        <v>120000</v>
      </c>
      <c r="L391" s="123"/>
      <c r="M391" s="123"/>
      <c r="N391" s="123"/>
      <c r="O391" s="226">
        <v>180000</v>
      </c>
      <c r="P391" s="122">
        <v>200000</v>
      </c>
      <c r="Q391" s="122">
        <v>12</v>
      </c>
      <c r="R391" s="122">
        <v>12</v>
      </c>
      <c r="S391" s="441">
        <f t="shared" si="79"/>
        <v>200000</v>
      </c>
      <c r="T391" s="432">
        <f t="shared" si="81"/>
        <v>80000</v>
      </c>
      <c r="U391" s="62">
        <f t="shared" si="82"/>
        <v>80000</v>
      </c>
      <c r="V391" s="62">
        <f t="shared" si="80"/>
        <v>0</v>
      </c>
      <c r="W391" s="338" t="s">
        <v>871</v>
      </c>
    </row>
    <row r="392" spans="1:23" ht="50.15" customHeight="1" x14ac:dyDescent="0.6">
      <c r="A392" s="440">
        <v>1733000751</v>
      </c>
      <c r="B392" s="120">
        <v>73</v>
      </c>
      <c r="C392" s="121" t="s">
        <v>18</v>
      </c>
      <c r="D392" s="121" t="s">
        <v>33</v>
      </c>
      <c r="E392" s="121"/>
      <c r="F392" s="121" t="s">
        <v>358</v>
      </c>
      <c r="G392" s="122">
        <v>81926</v>
      </c>
      <c r="H392" s="122">
        <v>163324</v>
      </c>
      <c r="I392" s="122">
        <v>69529.331999999995</v>
      </c>
      <c r="J392" s="122">
        <v>160000</v>
      </c>
      <c r="K392" s="122">
        <v>163324</v>
      </c>
      <c r="L392" s="123"/>
      <c r="M392" s="123"/>
      <c r="N392" s="123"/>
      <c r="O392" s="226">
        <v>111635.23</v>
      </c>
      <c r="P392" s="122">
        <v>110000</v>
      </c>
      <c r="Q392" s="122">
        <v>12</v>
      </c>
      <c r="R392" s="122">
        <v>12</v>
      </c>
      <c r="S392" s="441">
        <f t="shared" si="79"/>
        <v>110000</v>
      </c>
      <c r="T392" s="432">
        <f t="shared" si="81"/>
        <v>-53324</v>
      </c>
      <c r="U392" s="62">
        <f t="shared" si="82"/>
        <v>-53324</v>
      </c>
      <c r="V392" s="62">
        <f t="shared" si="80"/>
        <v>0</v>
      </c>
      <c r="W392" s="338" t="s">
        <v>872</v>
      </c>
    </row>
    <row r="393" spans="1:23" ht="50.15" customHeight="1" thickBot="1" x14ac:dyDescent="0.65">
      <c r="A393" s="472">
        <v>1733000780</v>
      </c>
      <c r="B393" s="334">
        <v>73</v>
      </c>
      <c r="C393" s="335" t="s">
        <v>18</v>
      </c>
      <c r="D393" s="335" t="s">
        <v>33</v>
      </c>
      <c r="E393" s="335"/>
      <c r="F393" s="335" t="s">
        <v>359</v>
      </c>
      <c r="G393" s="281">
        <v>35210.74</v>
      </c>
      <c r="H393" s="281">
        <v>60000</v>
      </c>
      <c r="I393" s="281">
        <v>27571.751999999997</v>
      </c>
      <c r="J393" s="281">
        <v>60000</v>
      </c>
      <c r="K393" s="281">
        <v>60000</v>
      </c>
      <c r="L393" s="280"/>
      <c r="M393" s="280"/>
      <c r="N393" s="280"/>
      <c r="O393" s="426">
        <v>41036.230000000003</v>
      </c>
      <c r="P393" s="281">
        <v>50000</v>
      </c>
      <c r="Q393" s="281">
        <v>12</v>
      </c>
      <c r="R393" s="281">
        <v>12</v>
      </c>
      <c r="S393" s="473">
        <f t="shared" si="79"/>
        <v>50000</v>
      </c>
      <c r="T393" s="432">
        <f t="shared" si="81"/>
        <v>-10000</v>
      </c>
      <c r="U393" s="62">
        <f t="shared" si="82"/>
        <v>-10000</v>
      </c>
      <c r="V393" s="62">
        <f t="shared" si="80"/>
        <v>0</v>
      </c>
      <c r="W393" s="338" t="s">
        <v>873</v>
      </c>
    </row>
    <row r="394" spans="1:23" ht="50.15" customHeight="1" thickBot="1" x14ac:dyDescent="0.65">
      <c r="A394" s="407"/>
      <c r="B394" s="64"/>
      <c r="C394" s="65"/>
      <c r="D394" s="65"/>
      <c r="E394" s="65"/>
      <c r="F394" s="65"/>
      <c r="G394" s="66">
        <f t="shared" ref="G394:N394" si="83">SUM(G382:G393)</f>
        <v>3115820.6600000006</v>
      </c>
      <c r="H394" s="66">
        <f t="shared" si="83"/>
        <v>3852359.8499999996</v>
      </c>
      <c r="I394" s="66">
        <f t="shared" si="83"/>
        <v>3439205.5239999997</v>
      </c>
      <c r="J394" s="66">
        <f t="shared" si="83"/>
        <v>4199014.4261079999</v>
      </c>
      <c r="K394" s="66">
        <f t="shared" si="83"/>
        <v>4020948.1118126768</v>
      </c>
      <c r="L394" s="66">
        <f t="shared" si="83"/>
        <v>12.629899999999999</v>
      </c>
      <c r="M394" s="66">
        <f t="shared" si="83"/>
        <v>12.629899999999999</v>
      </c>
      <c r="N394" s="66">
        <f t="shared" si="83"/>
        <v>14.5</v>
      </c>
      <c r="O394" s="66">
        <f t="shared" ref="O394:U394" si="84">SUM(O382:O393)</f>
        <v>3584370.52</v>
      </c>
      <c r="P394" s="66">
        <f t="shared" si="84"/>
        <v>4108100</v>
      </c>
      <c r="Q394" s="66">
        <f t="shared" si="84"/>
        <v>144</v>
      </c>
      <c r="R394" s="66">
        <f t="shared" si="84"/>
        <v>144</v>
      </c>
      <c r="S394" s="66">
        <f t="shared" si="84"/>
        <v>4108100</v>
      </c>
      <c r="T394" s="398">
        <f t="shared" si="84"/>
        <v>87151.888187323231</v>
      </c>
      <c r="U394" s="393">
        <f t="shared" si="84"/>
        <v>87151.888187323231</v>
      </c>
      <c r="V394" s="393">
        <f>SUM(V382:V393)</f>
        <v>0</v>
      </c>
    </row>
    <row r="395" spans="1:23" ht="50.15" customHeight="1" x14ac:dyDescent="0.35">
      <c r="A395" s="474" t="s">
        <v>631</v>
      </c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333"/>
      <c r="N395" s="118"/>
      <c r="O395" s="118"/>
      <c r="P395" s="318"/>
      <c r="Q395" s="118"/>
      <c r="R395" s="118"/>
      <c r="S395" s="466"/>
      <c r="T395" s="461"/>
      <c r="U395" s="391"/>
      <c r="V395" s="391"/>
    </row>
    <row r="396" spans="1:23" ht="50.15" customHeight="1" x14ac:dyDescent="0.6">
      <c r="A396" s="440">
        <v>1741000110</v>
      </c>
      <c r="B396" s="120">
        <v>74</v>
      </c>
      <c r="C396" s="121" t="s">
        <v>17</v>
      </c>
      <c r="D396" s="121" t="s">
        <v>33</v>
      </c>
      <c r="E396" s="121" t="s">
        <v>583</v>
      </c>
      <c r="F396" s="121" t="s">
        <v>360</v>
      </c>
      <c r="G396" s="122">
        <v>417720.6</v>
      </c>
      <c r="H396" s="122">
        <v>392848.39</v>
      </c>
      <c r="I396" s="122">
        <v>693700.62048000004</v>
      </c>
      <c r="J396" s="122">
        <v>546507.68839999998</v>
      </c>
      <c r="K396" s="122">
        <v>282516.197018334</v>
      </c>
      <c r="L396" s="123">
        <v>5.2</v>
      </c>
      <c r="M396" s="123">
        <v>4</v>
      </c>
      <c r="N396" s="123">
        <f>ריכוז!J26</f>
        <v>4</v>
      </c>
      <c r="O396" s="226">
        <v>668508.79</v>
      </c>
      <c r="P396" s="122">
        <f>ריכוז!M26</f>
        <v>548800</v>
      </c>
      <c r="Q396" s="122">
        <v>12</v>
      </c>
      <c r="R396" s="122">
        <v>12</v>
      </c>
      <c r="S396" s="441">
        <f t="shared" si="79"/>
        <v>548800</v>
      </c>
      <c r="T396" s="432">
        <f>P396-K396</f>
        <v>266283.802981666</v>
      </c>
      <c r="U396" s="62">
        <f>S396-K396</f>
        <v>266283.802981666</v>
      </c>
      <c r="V396" s="62">
        <f t="shared" ref="V396:V418" si="85">S396-P396</f>
        <v>0</v>
      </c>
      <c r="W396" s="153" t="s">
        <v>915</v>
      </c>
    </row>
    <row r="397" spans="1:23" ht="50.15" customHeight="1" x14ac:dyDescent="0.6">
      <c r="A397" s="440">
        <v>1741000530</v>
      </c>
      <c r="B397" s="120">
        <v>74</v>
      </c>
      <c r="C397" s="121" t="s">
        <v>18</v>
      </c>
      <c r="D397" s="121" t="s">
        <v>33</v>
      </c>
      <c r="E397" s="121"/>
      <c r="F397" s="121" t="s">
        <v>361</v>
      </c>
      <c r="G397" s="122">
        <v>0</v>
      </c>
      <c r="H397" s="122">
        <v>1000</v>
      </c>
      <c r="I397" s="122">
        <v>0</v>
      </c>
      <c r="J397" s="122">
        <v>0</v>
      </c>
      <c r="K397" s="122">
        <v>1000</v>
      </c>
      <c r="L397" s="123"/>
      <c r="M397" s="123"/>
      <c r="N397" s="123"/>
      <c r="O397" s="122">
        <v>0</v>
      </c>
      <c r="P397" s="122">
        <v>0</v>
      </c>
      <c r="Q397" s="122">
        <v>12</v>
      </c>
      <c r="R397" s="122">
        <v>12</v>
      </c>
      <c r="S397" s="441">
        <f t="shared" si="79"/>
        <v>0</v>
      </c>
      <c r="T397" s="432">
        <f t="shared" ref="T397:T418" si="86">P397-K397</f>
        <v>-1000</v>
      </c>
      <c r="U397" s="62">
        <f t="shared" ref="U397:U418" si="87">S397-K397</f>
        <v>-1000</v>
      </c>
      <c r="V397" s="62">
        <f t="shared" si="85"/>
        <v>0</v>
      </c>
    </row>
    <row r="398" spans="1:23" ht="50.15" customHeight="1" x14ac:dyDescent="0.6">
      <c r="A398" s="440">
        <v>1741000720</v>
      </c>
      <c r="B398" s="120">
        <v>74</v>
      </c>
      <c r="C398" s="121" t="s">
        <v>18</v>
      </c>
      <c r="D398" s="121" t="s">
        <v>33</v>
      </c>
      <c r="E398" s="121"/>
      <c r="F398" s="121" t="s">
        <v>362</v>
      </c>
      <c r="G398" s="122">
        <v>68646.990000000005</v>
      </c>
      <c r="H398" s="122">
        <v>80000</v>
      </c>
      <c r="I398" s="122">
        <v>38967.24</v>
      </c>
      <c r="J398" s="122"/>
      <c r="K398" s="122">
        <v>40000</v>
      </c>
      <c r="L398" s="123"/>
      <c r="M398" s="123"/>
      <c r="N398" s="123"/>
      <c r="O398" s="226">
        <v>61940.2</v>
      </c>
      <c r="P398" s="122">
        <v>62000</v>
      </c>
      <c r="Q398" s="122">
        <v>12</v>
      </c>
      <c r="R398" s="122">
        <v>12</v>
      </c>
      <c r="S398" s="441">
        <f t="shared" si="79"/>
        <v>62000</v>
      </c>
      <c r="T398" s="432">
        <f t="shared" si="86"/>
        <v>22000</v>
      </c>
      <c r="U398" s="62">
        <f t="shared" si="87"/>
        <v>22000</v>
      </c>
      <c r="V398" s="62">
        <f t="shared" si="85"/>
        <v>0</v>
      </c>
    </row>
    <row r="399" spans="1:23" ht="50.15" customHeight="1" x14ac:dyDescent="0.6">
      <c r="A399" s="440">
        <v>1741000730</v>
      </c>
      <c r="B399" s="120">
        <v>74</v>
      </c>
      <c r="C399" s="121" t="s">
        <v>18</v>
      </c>
      <c r="D399" s="121" t="s">
        <v>33</v>
      </c>
      <c r="E399" s="121"/>
      <c r="F399" s="121" t="s">
        <v>363</v>
      </c>
      <c r="G399" s="122">
        <v>120871.16</v>
      </c>
      <c r="H399" s="122">
        <v>120000</v>
      </c>
      <c r="I399" s="122">
        <v>118656.204</v>
      </c>
      <c r="J399" s="122">
        <v>120000</v>
      </c>
      <c r="K399" s="122">
        <v>120000</v>
      </c>
      <c r="L399" s="123"/>
      <c r="M399" s="123"/>
      <c r="N399" s="123"/>
      <c r="O399" s="226">
        <v>121581.43</v>
      </c>
      <c r="P399" s="122">
        <v>120000</v>
      </c>
      <c r="Q399" s="122">
        <v>12</v>
      </c>
      <c r="R399" s="122">
        <v>12</v>
      </c>
      <c r="S399" s="441">
        <f t="shared" si="79"/>
        <v>120000</v>
      </c>
      <c r="T399" s="432">
        <f t="shared" si="86"/>
        <v>0</v>
      </c>
      <c r="U399" s="62">
        <f t="shared" si="87"/>
        <v>0</v>
      </c>
      <c r="V399" s="62">
        <f t="shared" si="85"/>
        <v>0</v>
      </c>
    </row>
    <row r="400" spans="1:23" ht="50.15" customHeight="1" x14ac:dyDescent="0.6">
      <c r="A400" s="440">
        <v>1741000731</v>
      </c>
      <c r="B400" s="120">
        <v>74</v>
      </c>
      <c r="C400" s="121" t="s">
        <v>18</v>
      </c>
      <c r="D400" s="121" t="s">
        <v>33</v>
      </c>
      <c r="E400" s="121"/>
      <c r="F400" s="121" t="s">
        <v>364</v>
      </c>
      <c r="G400" s="122">
        <v>64799.74</v>
      </c>
      <c r="H400" s="122">
        <v>50000</v>
      </c>
      <c r="I400" s="122">
        <v>19418.556</v>
      </c>
      <c r="J400" s="122">
        <v>30000</v>
      </c>
      <c r="K400" s="122">
        <v>40000</v>
      </c>
      <c r="L400" s="123"/>
      <c r="M400" s="123"/>
      <c r="N400" s="123"/>
      <c r="O400" s="226">
        <v>28248.42</v>
      </c>
      <c r="P400" s="122">
        <v>30000</v>
      </c>
      <c r="Q400" s="122">
        <v>12</v>
      </c>
      <c r="R400" s="122">
        <v>12</v>
      </c>
      <c r="S400" s="441">
        <f t="shared" si="79"/>
        <v>30000</v>
      </c>
      <c r="T400" s="432">
        <f t="shared" si="86"/>
        <v>-10000</v>
      </c>
      <c r="U400" s="62">
        <f t="shared" si="87"/>
        <v>-10000</v>
      </c>
      <c r="V400" s="62">
        <f t="shared" si="85"/>
        <v>0</v>
      </c>
    </row>
    <row r="401" spans="1:23" ht="50.15" customHeight="1" x14ac:dyDescent="0.6">
      <c r="A401" s="440">
        <v>1743000110</v>
      </c>
      <c r="B401" s="120">
        <v>74</v>
      </c>
      <c r="C401" s="121" t="s">
        <v>17</v>
      </c>
      <c r="D401" s="121" t="s">
        <v>33</v>
      </c>
      <c r="E401" s="121" t="s">
        <v>583</v>
      </c>
      <c r="F401" s="121" t="s">
        <v>365</v>
      </c>
      <c r="G401" s="122">
        <v>222918.44</v>
      </c>
      <c r="H401" s="122">
        <v>189079.76</v>
      </c>
      <c r="I401" s="122">
        <v>387000</v>
      </c>
      <c r="J401" s="122">
        <v>393815.39189999993</v>
      </c>
      <c r="K401" s="122">
        <v>193182.79094321161</v>
      </c>
      <c r="L401" s="123">
        <v>2</v>
      </c>
      <c r="M401" s="123">
        <v>2</v>
      </c>
      <c r="N401" s="123">
        <f>ריכוז!K27</f>
        <v>2</v>
      </c>
      <c r="O401" s="226">
        <v>387929.35</v>
      </c>
      <c r="P401" s="122">
        <f>ריכוז!M27</f>
        <v>390000</v>
      </c>
      <c r="Q401" s="122">
        <v>12</v>
      </c>
      <c r="R401" s="122">
        <v>12</v>
      </c>
      <c r="S401" s="441">
        <f t="shared" si="79"/>
        <v>390000</v>
      </c>
      <c r="T401" s="432">
        <f t="shared" si="86"/>
        <v>196817.20905678839</v>
      </c>
      <c r="U401" s="62">
        <f t="shared" si="87"/>
        <v>196817.20905678839</v>
      </c>
      <c r="V401" s="62">
        <f t="shared" si="85"/>
        <v>0</v>
      </c>
    </row>
    <row r="402" spans="1:23" ht="50.15" customHeight="1" x14ac:dyDescent="0.6">
      <c r="A402" s="440">
        <v>1743000431</v>
      </c>
      <c r="B402" s="120">
        <v>74</v>
      </c>
      <c r="C402" s="121" t="s">
        <v>18</v>
      </c>
      <c r="D402" s="121" t="s">
        <v>33</v>
      </c>
      <c r="E402" s="121"/>
      <c r="F402" s="121" t="s">
        <v>366</v>
      </c>
      <c r="G402" s="122">
        <v>1704413.02</v>
      </c>
      <c r="H402" s="122">
        <v>1333657.08</v>
      </c>
      <c r="I402" s="122">
        <v>1700000</v>
      </c>
      <c r="J402" s="122">
        <v>1200000</v>
      </c>
      <c r="K402" s="122">
        <v>983657.08400000026</v>
      </c>
      <c r="L402" s="123"/>
      <c r="M402" s="123"/>
      <c r="N402" s="123"/>
      <c r="O402" s="226">
        <v>1615513</v>
      </c>
      <c r="P402" s="122">
        <v>1200000</v>
      </c>
      <c r="Q402" s="122">
        <v>12</v>
      </c>
      <c r="R402" s="122">
        <v>12</v>
      </c>
      <c r="S402" s="441">
        <f t="shared" si="79"/>
        <v>1200000</v>
      </c>
      <c r="T402" s="432">
        <f t="shared" si="86"/>
        <v>216342.91599999974</v>
      </c>
      <c r="U402" s="62">
        <f t="shared" si="87"/>
        <v>216342.91599999974</v>
      </c>
      <c r="V402" s="62">
        <f t="shared" si="85"/>
        <v>0</v>
      </c>
      <c r="W402" s="153" t="s">
        <v>1047</v>
      </c>
    </row>
    <row r="403" spans="1:23" ht="50.15" customHeight="1" x14ac:dyDescent="0.6">
      <c r="A403" s="440">
        <v>1743000730</v>
      </c>
      <c r="B403" s="120">
        <v>74</v>
      </c>
      <c r="C403" s="121" t="s">
        <v>18</v>
      </c>
      <c r="D403" s="121" t="s">
        <v>33</v>
      </c>
      <c r="E403" s="121"/>
      <c r="F403" s="121" t="s">
        <v>367</v>
      </c>
      <c r="G403" s="122">
        <v>22112.639999999999</v>
      </c>
      <c r="H403" s="122">
        <v>24000</v>
      </c>
      <c r="I403" s="122">
        <v>15109.440000000002</v>
      </c>
      <c r="J403" s="122">
        <v>20000</v>
      </c>
      <c r="K403" s="122">
        <v>24000</v>
      </c>
      <c r="L403" s="123"/>
      <c r="M403" s="123"/>
      <c r="N403" s="123"/>
      <c r="O403" s="226">
        <v>17209.64</v>
      </c>
      <c r="P403" s="122">
        <v>18000</v>
      </c>
      <c r="Q403" s="122">
        <v>12</v>
      </c>
      <c r="R403" s="122">
        <v>12</v>
      </c>
      <c r="S403" s="441">
        <f t="shared" si="79"/>
        <v>18000</v>
      </c>
      <c r="T403" s="432">
        <f t="shared" si="86"/>
        <v>-6000</v>
      </c>
      <c r="U403" s="62">
        <f t="shared" si="87"/>
        <v>-6000</v>
      </c>
      <c r="V403" s="62">
        <f t="shared" si="85"/>
        <v>0</v>
      </c>
    </row>
    <row r="404" spans="1:23" ht="50.15" customHeight="1" x14ac:dyDescent="0.6">
      <c r="A404" s="440">
        <v>1743000731</v>
      </c>
      <c r="B404" s="120">
        <v>74</v>
      </c>
      <c r="C404" s="121" t="s">
        <v>18</v>
      </c>
      <c r="D404" s="121" t="s">
        <v>33</v>
      </c>
      <c r="E404" s="121"/>
      <c r="F404" s="121" t="s">
        <v>368</v>
      </c>
      <c r="G404" s="122">
        <v>9487.66</v>
      </c>
      <c r="H404" s="122">
        <v>7200</v>
      </c>
      <c r="I404" s="122">
        <v>8598.0960000000014</v>
      </c>
      <c r="J404" s="122">
        <v>9000</v>
      </c>
      <c r="K404" s="122">
        <v>7200</v>
      </c>
      <c r="L404" s="123"/>
      <c r="M404" s="123"/>
      <c r="N404" s="123"/>
      <c r="O404" s="226">
        <v>9152.59</v>
      </c>
      <c r="P404" s="122">
        <v>9000</v>
      </c>
      <c r="Q404" s="122">
        <v>12</v>
      </c>
      <c r="R404" s="122">
        <v>12</v>
      </c>
      <c r="S404" s="441">
        <f t="shared" si="79"/>
        <v>9000</v>
      </c>
      <c r="T404" s="432">
        <f t="shared" si="86"/>
        <v>1800</v>
      </c>
      <c r="U404" s="62">
        <f t="shared" si="87"/>
        <v>1800</v>
      </c>
      <c r="V404" s="62">
        <f t="shared" si="85"/>
        <v>0</v>
      </c>
    </row>
    <row r="405" spans="1:23" ht="50.15" customHeight="1" x14ac:dyDescent="0.6">
      <c r="A405" s="440">
        <v>1743000750</v>
      </c>
      <c r="B405" s="120">
        <v>74</v>
      </c>
      <c r="C405" s="121" t="s">
        <v>18</v>
      </c>
      <c r="D405" s="121" t="s">
        <v>33</v>
      </c>
      <c r="E405" s="121"/>
      <c r="F405" s="121" t="s">
        <v>369</v>
      </c>
      <c r="G405" s="122">
        <v>228172.36</v>
      </c>
      <c r="H405" s="122">
        <v>130511</v>
      </c>
      <c r="I405" s="122">
        <v>61498.055999999997</v>
      </c>
      <c r="J405" s="122">
        <v>160000</v>
      </c>
      <c r="K405" s="122">
        <v>180511</v>
      </c>
      <c r="L405" s="123"/>
      <c r="M405" s="123"/>
      <c r="N405" s="123"/>
      <c r="O405" s="226">
        <f>120000+63922.42</f>
        <v>183922.41999999998</v>
      </c>
      <c r="P405" s="122">
        <v>180000</v>
      </c>
      <c r="Q405" s="122">
        <v>12</v>
      </c>
      <c r="R405" s="122">
        <v>12</v>
      </c>
      <c r="S405" s="441">
        <f t="shared" si="79"/>
        <v>180000</v>
      </c>
      <c r="T405" s="432">
        <f t="shared" si="86"/>
        <v>-511</v>
      </c>
      <c r="U405" s="62">
        <f t="shared" si="87"/>
        <v>-511</v>
      </c>
      <c r="V405" s="62">
        <f t="shared" si="85"/>
        <v>0</v>
      </c>
    </row>
    <row r="406" spans="1:23" ht="50.15" customHeight="1" x14ac:dyDescent="0.6">
      <c r="A406" s="440">
        <v>1744000780</v>
      </c>
      <c r="B406" s="120">
        <v>74</v>
      </c>
      <c r="C406" s="121" t="s">
        <v>18</v>
      </c>
      <c r="D406" s="121" t="s">
        <v>33</v>
      </c>
      <c r="E406" s="121"/>
      <c r="F406" s="121" t="s">
        <v>370</v>
      </c>
      <c r="G406" s="122">
        <v>42700.7</v>
      </c>
      <c r="H406" s="122">
        <v>44000</v>
      </c>
      <c r="I406" s="122">
        <v>32318.28</v>
      </c>
      <c r="J406" s="122">
        <v>37000</v>
      </c>
      <c r="K406" s="122">
        <v>44000</v>
      </c>
      <c r="L406" s="123"/>
      <c r="M406" s="123"/>
      <c r="N406" s="123"/>
      <c r="O406" s="226">
        <v>36976.300000000003</v>
      </c>
      <c r="P406" s="122">
        <v>37000</v>
      </c>
      <c r="Q406" s="122">
        <v>12</v>
      </c>
      <c r="R406" s="122">
        <v>12</v>
      </c>
      <c r="S406" s="441">
        <f t="shared" si="79"/>
        <v>37000</v>
      </c>
      <c r="T406" s="432">
        <f t="shared" si="86"/>
        <v>-7000</v>
      </c>
      <c r="U406" s="62">
        <f t="shared" si="87"/>
        <v>-7000</v>
      </c>
      <c r="V406" s="62">
        <f t="shared" si="85"/>
        <v>0</v>
      </c>
    </row>
    <row r="407" spans="1:23" ht="50.15" customHeight="1" x14ac:dyDescent="0.6">
      <c r="A407" s="440">
        <v>1746000432</v>
      </c>
      <c r="B407" s="120">
        <v>74</v>
      </c>
      <c r="C407" s="121" t="s">
        <v>18</v>
      </c>
      <c r="D407" s="121" t="s">
        <v>33</v>
      </c>
      <c r="E407" s="121"/>
      <c r="F407" s="121" t="s">
        <v>253</v>
      </c>
      <c r="G407" s="122">
        <v>636732.72</v>
      </c>
      <c r="H407" s="122">
        <v>600000</v>
      </c>
      <c r="I407" s="122">
        <v>600000</v>
      </c>
      <c r="J407" s="122">
        <v>700000</v>
      </c>
      <c r="K407" s="122">
        <v>600000</v>
      </c>
      <c r="L407" s="123"/>
      <c r="M407" s="123"/>
      <c r="N407" s="123"/>
      <c r="O407" s="226">
        <v>679288.8</v>
      </c>
      <c r="P407" s="122">
        <v>680000</v>
      </c>
      <c r="Q407" s="122">
        <v>12</v>
      </c>
      <c r="R407" s="122">
        <v>12</v>
      </c>
      <c r="S407" s="441">
        <f t="shared" si="79"/>
        <v>680000</v>
      </c>
      <c r="T407" s="432">
        <f t="shared" si="86"/>
        <v>80000</v>
      </c>
      <c r="U407" s="62">
        <f t="shared" si="87"/>
        <v>80000</v>
      </c>
      <c r="V407" s="62">
        <f t="shared" si="85"/>
        <v>0</v>
      </c>
      <c r="W407" s="153" t="s">
        <v>608</v>
      </c>
    </row>
    <row r="408" spans="1:23" ht="50.15" customHeight="1" x14ac:dyDescent="0.6">
      <c r="A408" s="440">
        <v>1746000531</v>
      </c>
      <c r="B408" s="120">
        <v>74</v>
      </c>
      <c r="C408" s="121" t="s">
        <v>18</v>
      </c>
      <c r="D408" s="121" t="s">
        <v>33</v>
      </c>
      <c r="E408" s="121"/>
      <c r="F408" s="121" t="s">
        <v>371</v>
      </c>
      <c r="G408" s="122">
        <v>1190.8900000000001</v>
      </c>
      <c r="H408" s="122" t="s">
        <v>8</v>
      </c>
      <c r="I408" s="122">
        <v>0</v>
      </c>
      <c r="J408" s="122">
        <v>0</v>
      </c>
      <c r="K408" s="122">
        <v>0</v>
      </c>
      <c r="L408" s="123"/>
      <c r="M408" s="123"/>
      <c r="N408" s="123"/>
      <c r="O408" s="122">
        <v>0</v>
      </c>
      <c r="P408" s="122">
        <v>0</v>
      </c>
      <c r="Q408" s="122">
        <v>12</v>
      </c>
      <c r="R408" s="122">
        <v>12</v>
      </c>
      <c r="S408" s="441">
        <f t="shared" si="79"/>
        <v>0</v>
      </c>
      <c r="T408" s="432">
        <f t="shared" si="86"/>
        <v>0</v>
      </c>
      <c r="U408" s="62">
        <f t="shared" si="87"/>
        <v>0</v>
      </c>
      <c r="V408" s="62">
        <f t="shared" si="85"/>
        <v>0</v>
      </c>
    </row>
    <row r="409" spans="1:23" ht="50.15" customHeight="1" x14ac:dyDescent="0.6">
      <c r="A409" s="440">
        <v>1746000720</v>
      </c>
      <c r="B409" s="120">
        <v>74</v>
      </c>
      <c r="C409" s="121" t="s">
        <v>18</v>
      </c>
      <c r="D409" s="121" t="s">
        <v>33</v>
      </c>
      <c r="E409" s="121"/>
      <c r="F409" s="121" t="s">
        <v>372</v>
      </c>
      <c r="G409" s="122">
        <v>62304.6</v>
      </c>
      <c r="H409" s="122">
        <v>60000</v>
      </c>
      <c r="I409" s="122">
        <v>53341.319999999992</v>
      </c>
      <c r="J409" s="122">
        <v>60000</v>
      </c>
      <c r="K409" s="122">
        <v>60000</v>
      </c>
      <c r="L409" s="123"/>
      <c r="M409" s="123"/>
      <c r="N409" s="123"/>
      <c r="O409" s="226">
        <v>48829.8</v>
      </c>
      <c r="P409" s="122">
        <v>50000</v>
      </c>
      <c r="Q409" s="122">
        <v>12</v>
      </c>
      <c r="R409" s="122">
        <v>12</v>
      </c>
      <c r="S409" s="441">
        <f t="shared" si="79"/>
        <v>50000</v>
      </c>
      <c r="T409" s="432">
        <f t="shared" si="86"/>
        <v>-10000</v>
      </c>
      <c r="U409" s="62">
        <f t="shared" si="87"/>
        <v>-10000</v>
      </c>
      <c r="V409" s="62">
        <f t="shared" si="85"/>
        <v>0</v>
      </c>
    </row>
    <row r="410" spans="1:23" ht="50.15" customHeight="1" x14ac:dyDescent="0.6">
      <c r="A410" s="440">
        <v>1746000730</v>
      </c>
      <c r="B410" s="120">
        <v>74</v>
      </c>
      <c r="C410" s="121" t="s">
        <v>18</v>
      </c>
      <c r="D410" s="121" t="s">
        <v>33</v>
      </c>
      <c r="E410" s="121"/>
      <c r="F410" s="121" t="s">
        <v>373</v>
      </c>
      <c r="G410" s="122">
        <v>7735.69</v>
      </c>
      <c r="H410" s="122" t="s">
        <v>8</v>
      </c>
      <c r="I410" s="122">
        <v>0</v>
      </c>
      <c r="J410" s="122">
        <v>0</v>
      </c>
      <c r="K410" s="122">
        <v>0</v>
      </c>
      <c r="L410" s="123"/>
      <c r="M410" s="123"/>
      <c r="N410" s="123"/>
      <c r="O410" s="122">
        <v>0</v>
      </c>
      <c r="P410" s="122">
        <v>0</v>
      </c>
      <c r="Q410" s="122">
        <v>12</v>
      </c>
      <c r="R410" s="122">
        <v>12</v>
      </c>
      <c r="S410" s="441">
        <f t="shared" si="79"/>
        <v>0</v>
      </c>
      <c r="T410" s="432">
        <f t="shared" si="86"/>
        <v>0</v>
      </c>
      <c r="U410" s="62">
        <f t="shared" si="87"/>
        <v>0</v>
      </c>
      <c r="V410" s="62">
        <f t="shared" si="85"/>
        <v>0</v>
      </c>
    </row>
    <row r="411" spans="1:23" ht="50.15" customHeight="1" x14ac:dyDescent="0.6">
      <c r="A411" s="440">
        <v>1746000731</v>
      </c>
      <c r="B411" s="120">
        <v>74</v>
      </c>
      <c r="C411" s="121" t="s">
        <v>18</v>
      </c>
      <c r="D411" s="121" t="s">
        <v>33</v>
      </c>
      <c r="E411" s="121"/>
      <c r="F411" s="121" t="s">
        <v>374</v>
      </c>
      <c r="G411" s="122">
        <v>128643.15</v>
      </c>
      <c r="H411" s="122">
        <v>120000</v>
      </c>
      <c r="I411" s="122">
        <v>91452.372000000003</v>
      </c>
      <c r="J411" s="122">
        <v>110000</v>
      </c>
      <c r="K411" s="122">
        <v>120000</v>
      </c>
      <c r="L411" s="123"/>
      <c r="M411" s="123"/>
      <c r="N411" s="123"/>
      <c r="O411" s="226">
        <v>97517.31</v>
      </c>
      <c r="P411" s="122">
        <v>100000</v>
      </c>
      <c r="Q411" s="122">
        <v>12</v>
      </c>
      <c r="R411" s="122">
        <v>12</v>
      </c>
      <c r="S411" s="441">
        <f t="shared" si="79"/>
        <v>100000</v>
      </c>
      <c r="T411" s="432">
        <f t="shared" si="86"/>
        <v>-20000</v>
      </c>
      <c r="U411" s="62">
        <f t="shared" si="87"/>
        <v>-20000</v>
      </c>
      <c r="V411" s="62">
        <f t="shared" si="85"/>
        <v>0</v>
      </c>
    </row>
    <row r="412" spans="1:23" ht="50.15" customHeight="1" x14ac:dyDescent="0.6">
      <c r="A412" s="440">
        <v>1746000750</v>
      </c>
      <c r="B412" s="120">
        <v>74</v>
      </c>
      <c r="C412" s="121" t="s">
        <v>18</v>
      </c>
      <c r="D412" s="121" t="s">
        <v>33</v>
      </c>
      <c r="E412" s="121"/>
      <c r="F412" s="121" t="s">
        <v>375</v>
      </c>
      <c r="G412" s="122">
        <v>129970</v>
      </c>
      <c r="H412" s="122">
        <v>195620</v>
      </c>
      <c r="I412" s="122">
        <v>146388.59999999998</v>
      </c>
      <c r="J412" s="122">
        <v>162000</v>
      </c>
      <c r="K412" s="122">
        <v>145620</v>
      </c>
      <c r="L412" s="123"/>
      <c r="M412" s="123"/>
      <c r="N412" s="123"/>
      <c r="O412" s="226">
        <v>144513</v>
      </c>
      <c r="P412" s="122">
        <v>145620</v>
      </c>
      <c r="Q412" s="122">
        <v>12</v>
      </c>
      <c r="R412" s="122">
        <v>12</v>
      </c>
      <c r="S412" s="441">
        <f t="shared" si="79"/>
        <v>145620</v>
      </c>
      <c r="T412" s="432">
        <f t="shared" si="86"/>
        <v>0</v>
      </c>
      <c r="U412" s="62">
        <f t="shared" si="87"/>
        <v>0</v>
      </c>
      <c r="V412" s="62">
        <f t="shared" si="85"/>
        <v>0</v>
      </c>
    </row>
    <row r="413" spans="1:23" ht="50.15" customHeight="1" x14ac:dyDescent="0.6">
      <c r="A413" s="440">
        <v>1746000751</v>
      </c>
      <c r="B413" s="120">
        <v>74</v>
      </c>
      <c r="C413" s="121" t="s">
        <v>18</v>
      </c>
      <c r="D413" s="121" t="s">
        <v>33</v>
      </c>
      <c r="E413" s="121"/>
      <c r="F413" s="121" t="s">
        <v>376</v>
      </c>
      <c r="G413" s="122">
        <v>2733712.98</v>
      </c>
      <c r="H413" s="122">
        <v>2256073.92</v>
      </c>
      <c r="I413" s="122">
        <v>2200000</v>
      </c>
      <c r="J413" s="122">
        <v>2550000</v>
      </c>
      <c r="K413" s="122">
        <v>2256073.92</v>
      </c>
      <c r="L413" s="123"/>
      <c r="M413" s="123"/>
      <c r="N413" s="123"/>
      <c r="O413" s="226">
        <v>2335803.17</v>
      </c>
      <c r="P413" s="122">
        <v>2350000</v>
      </c>
      <c r="Q413" s="122">
        <v>12</v>
      </c>
      <c r="R413" s="122">
        <v>12</v>
      </c>
      <c r="S413" s="441">
        <f t="shared" si="79"/>
        <v>2350000</v>
      </c>
      <c r="T413" s="432">
        <f t="shared" si="86"/>
        <v>93926.080000000075</v>
      </c>
      <c r="U413" s="62">
        <f t="shared" si="87"/>
        <v>93926.080000000075</v>
      </c>
      <c r="V413" s="62">
        <f t="shared" si="85"/>
        <v>0</v>
      </c>
      <c r="W413" s="338" t="s">
        <v>874</v>
      </c>
    </row>
    <row r="414" spans="1:23" ht="50.15" customHeight="1" x14ac:dyDescent="0.6">
      <c r="A414" s="440" t="s">
        <v>1</v>
      </c>
      <c r="B414" s="120">
        <v>74</v>
      </c>
      <c r="C414" s="121" t="s">
        <v>30</v>
      </c>
      <c r="D414" s="121" t="s">
        <v>33</v>
      </c>
      <c r="E414" s="121"/>
      <c r="F414" s="121" t="s">
        <v>3575</v>
      </c>
      <c r="G414" s="122"/>
      <c r="H414" s="122"/>
      <c r="I414" s="122"/>
      <c r="J414" s="122"/>
      <c r="K414" s="122">
        <v>0</v>
      </c>
      <c r="L414" s="123"/>
      <c r="M414" s="123"/>
      <c r="N414" s="123"/>
      <c r="O414" s="226">
        <v>0</v>
      </c>
      <c r="P414" s="122"/>
      <c r="Q414" s="122"/>
      <c r="R414" s="122"/>
      <c r="S414" s="441">
        <v>500000</v>
      </c>
      <c r="T414" s="432"/>
      <c r="U414" s="62"/>
      <c r="V414" s="62"/>
    </row>
    <row r="415" spans="1:23" s="243" customFormat="1" ht="50.15" customHeight="1" x14ac:dyDescent="0.6">
      <c r="A415" s="440">
        <v>1746000752</v>
      </c>
      <c r="B415" s="120">
        <v>74</v>
      </c>
      <c r="C415" s="121" t="s">
        <v>18</v>
      </c>
      <c r="D415" s="121" t="s">
        <v>33</v>
      </c>
      <c r="E415" s="121"/>
      <c r="F415" s="121" t="s">
        <v>3553</v>
      </c>
      <c r="G415" s="122">
        <v>0</v>
      </c>
      <c r="H415" s="122" t="s">
        <v>8</v>
      </c>
      <c r="I415" s="122">
        <v>0</v>
      </c>
      <c r="J415" s="122">
        <v>260000</v>
      </c>
      <c r="K415" s="122">
        <v>0</v>
      </c>
      <c r="L415" s="123"/>
      <c r="M415" s="123"/>
      <c r="N415" s="123"/>
      <c r="O415" s="122">
        <v>0</v>
      </c>
      <c r="P415" s="122">
        <v>150000</v>
      </c>
      <c r="Q415" s="122">
        <v>12</v>
      </c>
      <c r="R415" s="122">
        <v>12</v>
      </c>
      <c r="S415" s="441">
        <f t="shared" si="79"/>
        <v>150000</v>
      </c>
      <c r="T415" s="432">
        <f t="shared" si="86"/>
        <v>150000</v>
      </c>
      <c r="U415" s="62">
        <f t="shared" si="87"/>
        <v>150000</v>
      </c>
      <c r="V415" s="62">
        <f t="shared" si="85"/>
        <v>0</v>
      </c>
      <c r="W415" s="338" t="s">
        <v>875</v>
      </c>
    </row>
    <row r="416" spans="1:23" ht="50.15" customHeight="1" x14ac:dyDescent="0.6">
      <c r="A416" s="440">
        <v>1746000753</v>
      </c>
      <c r="B416" s="120">
        <v>74</v>
      </c>
      <c r="C416" s="121" t="s">
        <v>18</v>
      </c>
      <c r="D416" s="121" t="s">
        <v>33</v>
      </c>
      <c r="E416" s="121"/>
      <c r="F416" s="121" t="s">
        <v>377</v>
      </c>
      <c r="G416" s="122">
        <v>10500</v>
      </c>
      <c r="H416" s="122">
        <v>36000</v>
      </c>
      <c r="I416" s="122">
        <v>19943.099999999999</v>
      </c>
      <c r="J416" s="122">
        <v>36000</v>
      </c>
      <c r="K416" s="122">
        <v>36000</v>
      </c>
      <c r="L416" s="123"/>
      <c r="M416" s="123"/>
      <c r="N416" s="123"/>
      <c r="O416" s="226">
        <v>33765.550000000003</v>
      </c>
      <c r="P416" s="122">
        <v>36000</v>
      </c>
      <c r="Q416" s="122">
        <v>12</v>
      </c>
      <c r="R416" s="122">
        <v>12</v>
      </c>
      <c r="S416" s="441">
        <f t="shared" si="79"/>
        <v>36000</v>
      </c>
      <c r="T416" s="432">
        <f t="shared" si="86"/>
        <v>0</v>
      </c>
      <c r="U416" s="62">
        <f t="shared" si="87"/>
        <v>0</v>
      </c>
      <c r="V416" s="62">
        <f t="shared" si="85"/>
        <v>0</v>
      </c>
    </row>
    <row r="417" spans="1:24" ht="50.15" customHeight="1" x14ac:dyDescent="0.6">
      <c r="A417" s="440">
        <v>1746000757</v>
      </c>
      <c r="B417" s="120">
        <v>74</v>
      </c>
      <c r="C417" s="121" t="s">
        <v>18</v>
      </c>
      <c r="D417" s="121" t="s">
        <v>33</v>
      </c>
      <c r="E417" s="121"/>
      <c r="F417" s="121" t="s">
        <v>378</v>
      </c>
      <c r="G417" s="122">
        <v>0</v>
      </c>
      <c r="H417" s="122">
        <v>558693.96</v>
      </c>
      <c r="I417" s="122">
        <v>522950.39999999997</v>
      </c>
      <c r="J417" s="122">
        <v>660000</v>
      </c>
      <c r="K417" s="122">
        <v>558693.96</v>
      </c>
      <c r="L417" s="123"/>
      <c r="M417" s="123"/>
      <c r="N417" s="123"/>
      <c r="O417" s="226">
        <v>490266</v>
      </c>
      <c r="P417" s="122">
        <v>660000</v>
      </c>
      <c r="Q417" s="122">
        <v>12</v>
      </c>
      <c r="R417" s="122">
        <v>12</v>
      </c>
      <c r="S417" s="441">
        <f t="shared" si="79"/>
        <v>660000</v>
      </c>
      <c r="T417" s="432">
        <f t="shared" si="86"/>
        <v>101306.04000000004</v>
      </c>
      <c r="U417" s="62">
        <f t="shared" si="87"/>
        <v>101306.04000000004</v>
      </c>
      <c r="V417" s="62">
        <f t="shared" si="85"/>
        <v>0</v>
      </c>
      <c r="W417" s="153" t="s">
        <v>2173</v>
      </c>
    </row>
    <row r="418" spans="1:24" ht="50.15" customHeight="1" thickBot="1" x14ac:dyDescent="0.65">
      <c r="A418" s="472">
        <v>1747300432</v>
      </c>
      <c r="B418" s="334">
        <v>74</v>
      </c>
      <c r="C418" s="335" t="s">
        <v>18</v>
      </c>
      <c r="D418" s="335" t="s">
        <v>33</v>
      </c>
      <c r="E418" s="335"/>
      <c r="F418" s="335" t="s">
        <v>379</v>
      </c>
      <c r="G418" s="281">
        <v>31777</v>
      </c>
      <c r="H418" s="281" t="s">
        <v>8</v>
      </c>
      <c r="I418" s="281">
        <v>0</v>
      </c>
      <c r="J418" s="281">
        <v>0</v>
      </c>
      <c r="K418" s="281">
        <v>0</v>
      </c>
      <c r="L418" s="280"/>
      <c r="M418" s="280"/>
      <c r="N418" s="280"/>
      <c r="O418" s="281">
        <v>0</v>
      </c>
      <c r="P418" s="281">
        <v>0</v>
      </c>
      <c r="Q418" s="281">
        <v>12</v>
      </c>
      <c r="R418" s="281">
        <v>12</v>
      </c>
      <c r="S418" s="473">
        <f t="shared" si="79"/>
        <v>0</v>
      </c>
      <c r="T418" s="432">
        <f t="shared" si="86"/>
        <v>0</v>
      </c>
      <c r="U418" s="62">
        <f t="shared" si="87"/>
        <v>0</v>
      </c>
      <c r="V418" s="62">
        <f t="shared" si="85"/>
        <v>0</v>
      </c>
    </row>
    <row r="419" spans="1:24" ht="50.15" customHeight="1" thickBot="1" x14ac:dyDescent="0.65">
      <c r="A419" s="407"/>
      <c r="B419" s="64"/>
      <c r="C419" s="65"/>
      <c r="D419" s="65"/>
      <c r="E419" s="65"/>
      <c r="F419" s="65"/>
      <c r="G419" s="66">
        <f t="shared" ref="G419:N419" si="88">SUM(G396:G418)</f>
        <v>6644410.3399999999</v>
      </c>
      <c r="H419" s="66">
        <f t="shared" si="88"/>
        <v>6198684.1100000003</v>
      </c>
      <c r="I419" s="66">
        <f t="shared" si="88"/>
        <v>6709342.2844799999</v>
      </c>
      <c r="J419" s="66">
        <f t="shared" si="88"/>
        <v>7054323.0802999996</v>
      </c>
      <c r="K419" s="66">
        <f t="shared" si="88"/>
        <v>5692454.9519615462</v>
      </c>
      <c r="L419" s="66">
        <f t="shared" si="88"/>
        <v>7.2</v>
      </c>
      <c r="M419" s="66">
        <f t="shared" si="88"/>
        <v>6</v>
      </c>
      <c r="N419" s="66">
        <f t="shared" si="88"/>
        <v>6</v>
      </c>
      <c r="O419" s="66">
        <f t="shared" ref="O419:U419" si="89">SUM(O396:O418)</f>
        <v>6960965.7699999986</v>
      </c>
      <c r="P419" s="66">
        <f t="shared" si="89"/>
        <v>6766420</v>
      </c>
      <c r="Q419" s="66">
        <f t="shared" si="89"/>
        <v>264</v>
      </c>
      <c r="R419" s="66">
        <f t="shared" si="89"/>
        <v>264</v>
      </c>
      <c r="S419" s="66">
        <f t="shared" si="89"/>
        <v>7266420</v>
      </c>
      <c r="T419" s="398">
        <f t="shared" si="89"/>
        <v>1073965.0480384543</v>
      </c>
      <c r="U419" s="393">
        <f t="shared" si="89"/>
        <v>1073965.0480384543</v>
      </c>
      <c r="V419" s="393">
        <f>SUM(V396:V418)</f>
        <v>0</v>
      </c>
    </row>
    <row r="420" spans="1:24" ht="50.15" customHeight="1" x14ac:dyDescent="0.35">
      <c r="A420" s="474" t="s">
        <v>674</v>
      </c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333"/>
      <c r="N420" s="118"/>
      <c r="O420" s="118"/>
      <c r="P420" s="318"/>
      <c r="Q420" s="118"/>
      <c r="R420" s="118"/>
      <c r="S420" s="466"/>
      <c r="T420" s="461"/>
      <c r="U420" s="391"/>
      <c r="V420" s="391"/>
    </row>
    <row r="421" spans="1:24" ht="50.15" customHeight="1" x14ac:dyDescent="0.6">
      <c r="A421" s="59">
        <v>1752000780</v>
      </c>
      <c r="B421" s="60">
        <v>75</v>
      </c>
      <c r="C421" s="61" t="s">
        <v>18</v>
      </c>
      <c r="D421" s="61" t="s">
        <v>33</v>
      </c>
      <c r="E421" s="61"/>
      <c r="F421" s="61" t="s">
        <v>749</v>
      </c>
      <c r="G421" s="62">
        <v>928921.19</v>
      </c>
      <c r="H421" s="62">
        <v>700000</v>
      </c>
      <c r="I421" s="62">
        <v>800000</v>
      </c>
      <c r="J421" s="62">
        <v>800000</v>
      </c>
      <c r="K421" s="62">
        <v>700000</v>
      </c>
      <c r="L421" s="63"/>
      <c r="M421" s="63"/>
      <c r="N421" s="63"/>
      <c r="O421" s="242">
        <v>767797.23</v>
      </c>
      <c r="P421" s="62">
        <v>430000</v>
      </c>
      <c r="Q421" s="62">
        <v>12</v>
      </c>
      <c r="R421" s="62">
        <v>12</v>
      </c>
      <c r="S421" s="441">
        <f>P421*Q421/R421</f>
        <v>430000</v>
      </c>
      <c r="T421" s="432">
        <f>P421-K421</f>
        <v>-270000</v>
      </c>
      <c r="U421" s="62">
        <f>S421-K421</f>
        <v>-270000</v>
      </c>
      <c r="V421" s="62">
        <f>S421-P421</f>
        <v>0</v>
      </c>
      <c r="W421" s="153" t="s">
        <v>876</v>
      </c>
      <c r="X421" s="243" t="s">
        <v>3561</v>
      </c>
    </row>
    <row r="422" spans="1:24" ht="50.15" customHeight="1" x14ac:dyDescent="0.6">
      <c r="A422" s="59">
        <v>1753000780</v>
      </c>
      <c r="B422" s="60">
        <v>75</v>
      </c>
      <c r="C422" s="61" t="s">
        <v>18</v>
      </c>
      <c r="D422" s="61" t="s">
        <v>33</v>
      </c>
      <c r="E422" s="61"/>
      <c r="F422" s="61" t="s">
        <v>3567</v>
      </c>
      <c r="G422" s="62">
        <v>928921.19</v>
      </c>
      <c r="H422" s="62">
        <v>0</v>
      </c>
      <c r="I422" s="62">
        <v>800000</v>
      </c>
      <c r="J422" s="62">
        <v>800000</v>
      </c>
      <c r="K422" s="62">
        <v>0</v>
      </c>
      <c r="L422" s="63"/>
      <c r="M422" s="63"/>
      <c r="N422" s="63"/>
      <c r="O422" s="242">
        <v>0</v>
      </c>
      <c r="P422" s="62">
        <v>0</v>
      </c>
      <c r="Q422" s="62">
        <v>12</v>
      </c>
      <c r="R422" s="62">
        <v>12</v>
      </c>
      <c r="S422" s="441">
        <v>70000</v>
      </c>
      <c r="T422" s="432">
        <f>P422-K422</f>
        <v>0</v>
      </c>
      <c r="U422" s="62">
        <f>S422-K422</f>
        <v>70000</v>
      </c>
      <c r="V422" s="62">
        <f>S422-P422</f>
        <v>70000</v>
      </c>
      <c r="X422" s="243" t="s">
        <v>3561</v>
      </c>
    </row>
    <row r="423" spans="1:24" ht="50.15" customHeight="1" x14ac:dyDescent="0.6">
      <c r="A423" s="59">
        <v>1752000781</v>
      </c>
      <c r="B423" s="60">
        <v>75</v>
      </c>
      <c r="C423" s="61" t="s">
        <v>18</v>
      </c>
      <c r="D423" s="61" t="s">
        <v>33</v>
      </c>
      <c r="E423" s="61"/>
      <c r="F423" s="61" t="s">
        <v>380</v>
      </c>
      <c r="G423" s="62">
        <v>14760</v>
      </c>
      <c r="H423" s="62">
        <v>12240</v>
      </c>
      <c r="I423" s="62">
        <v>8796.48</v>
      </c>
      <c r="J423" s="62">
        <v>12240</v>
      </c>
      <c r="K423" s="62">
        <v>12240</v>
      </c>
      <c r="L423" s="63"/>
      <c r="M423" s="63"/>
      <c r="N423" s="63"/>
      <c r="O423" s="242">
        <v>10643.2</v>
      </c>
      <c r="P423" s="62">
        <v>12240</v>
      </c>
      <c r="Q423" s="62">
        <v>12</v>
      </c>
      <c r="R423" s="62">
        <v>12</v>
      </c>
      <c r="S423" s="467">
        <f t="shared" si="79"/>
        <v>12240</v>
      </c>
      <c r="T423" s="432">
        <f>P423-K423</f>
        <v>0</v>
      </c>
      <c r="U423" s="62">
        <f>S423-K423</f>
        <v>0</v>
      </c>
      <c r="V423" s="62">
        <f>S423-P423</f>
        <v>0</v>
      </c>
    </row>
    <row r="424" spans="1:24" ht="50.15" customHeight="1" thickBot="1" x14ac:dyDescent="0.65">
      <c r="A424" s="468">
        <v>1752000782</v>
      </c>
      <c r="B424" s="404">
        <v>75</v>
      </c>
      <c r="C424" s="405" t="s">
        <v>18</v>
      </c>
      <c r="D424" s="405" t="s">
        <v>33</v>
      </c>
      <c r="E424" s="405"/>
      <c r="F424" s="405" t="s">
        <v>381</v>
      </c>
      <c r="G424" s="399">
        <v>39302</v>
      </c>
      <c r="H424" s="399">
        <v>42000</v>
      </c>
      <c r="I424" s="399">
        <v>45000</v>
      </c>
      <c r="J424" s="399">
        <v>45000</v>
      </c>
      <c r="K424" s="399">
        <v>42000</v>
      </c>
      <c r="L424" s="427"/>
      <c r="M424" s="427"/>
      <c r="N424" s="427"/>
      <c r="O424" s="428">
        <v>38046.400000000001</v>
      </c>
      <c r="P424" s="399">
        <v>40000</v>
      </c>
      <c r="Q424" s="399">
        <v>12</v>
      </c>
      <c r="R424" s="399">
        <v>12</v>
      </c>
      <c r="S424" s="469">
        <f>P424*Q424/R424</f>
        <v>40000</v>
      </c>
      <c r="T424" s="432">
        <f>P424-K424</f>
        <v>-2000</v>
      </c>
      <c r="U424" s="62">
        <f>S424-K424</f>
        <v>-2000</v>
      </c>
      <c r="V424" s="62">
        <f>S424-P424</f>
        <v>0</v>
      </c>
    </row>
    <row r="425" spans="1:24" ht="50.15" customHeight="1" thickBot="1" x14ac:dyDescent="0.65">
      <c r="A425" s="407"/>
      <c r="B425" s="64"/>
      <c r="C425" s="65"/>
      <c r="D425" s="65"/>
      <c r="E425" s="65"/>
      <c r="F425" s="65"/>
      <c r="G425" s="66">
        <f t="shared" ref="G425:N425" si="90">SUM(G421:G424)</f>
        <v>1911904.38</v>
      </c>
      <c r="H425" s="66">
        <f t="shared" si="90"/>
        <v>754240</v>
      </c>
      <c r="I425" s="66">
        <f t="shared" si="90"/>
        <v>1653796.48</v>
      </c>
      <c r="J425" s="66">
        <f t="shared" si="90"/>
        <v>1657240</v>
      </c>
      <c r="K425" s="66">
        <f t="shared" si="90"/>
        <v>754240</v>
      </c>
      <c r="L425" s="66">
        <f t="shared" si="90"/>
        <v>0</v>
      </c>
      <c r="M425" s="66">
        <f t="shared" si="90"/>
        <v>0</v>
      </c>
      <c r="N425" s="66">
        <f t="shared" si="90"/>
        <v>0</v>
      </c>
      <c r="O425" s="66">
        <f t="shared" ref="O425:U425" si="91">SUM(O421:O424)</f>
        <v>816486.83</v>
      </c>
      <c r="P425" s="66">
        <f t="shared" si="91"/>
        <v>482240</v>
      </c>
      <c r="Q425" s="66">
        <f t="shared" si="91"/>
        <v>48</v>
      </c>
      <c r="R425" s="66">
        <f t="shared" si="91"/>
        <v>48</v>
      </c>
      <c r="S425" s="66">
        <f t="shared" si="91"/>
        <v>552240</v>
      </c>
      <c r="T425" s="398">
        <f t="shared" si="91"/>
        <v>-272000</v>
      </c>
      <c r="U425" s="393">
        <f t="shared" si="91"/>
        <v>-202000</v>
      </c>
      <c r="V425" s="393">
        <f>SUM(V421:V424)</f>
        <v>70000</v>
      </c>
    </row>
    <row r="426" spans="1:24" ht="50.15" customHeight="1" x14ac:dyDescent="0.35">
      <c r="A426" s="474" t="s">
        <v>675</v>
      </c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333"/>
      <c r="N426" s="118"/>
      <c r="O426" s="118"/>
      <c r="P426" s="318"/>
      <c r="Q426" s="118"/>
      <c r="R426" s="118"/>
      <c r="S426" s="466"/>
      <c r="T426" s="461"/>
      <c r="U426" s="391"/>
      <c r="V426" s="391"/>
    </row>
    <row r="427" spans="1:24" ht="50.15" customHeight="1" x14ac:dyDescent="0.6">
      <c r="A427" s="59">
        <v>1765000780</v>
      </c>
      <c r="B427" s="60">
        <v>76</v>
      </c>
      <c r="C427" s="61" t="s">
        <v>18</v>
      </c>
      <c r="D427" s="61" t="s">
        <v>33</v>
      </c>
      <c r="E427" s="61"/>
      <c r="F427" s="61" t="s">
        <v>382</v>
      </c>
      <c r="G427" s="62">
        <v>60000</v>
      </c>
      <c r="H427" s="62">
        <v>101000</v>
      </c>
      <c r="I427" s="62">
        <v>0</v>
      </c>
      <c r="J427" s="62">
        <v>101000</v>
      </c>
      <c r="K427" s="62">
        <v>101000</v>
      </c>
      <c r="L427" s="63"/>
      <c r="M427" s="63"/>
      <c r="N427" s="63"/>
      <c r="O427" s="226">
        <f>550305-195000-30000</f>
        <v>325305</v>
      </c>
      <c r="P427" s="122">
        <v>101000</v>
      </c>
      <c r="Q427" s="62">
        <v>12</v>
      </c>
      <c r="R427" s="62">
        <v>12</v>
      </c>
      <c r="S427" s="467">
        <f>P427*Q427/R427</f>
        <v>101000</v>
      </c>
      <c r="T427" s="432">
        <f t="shared" ref="T427:T432" si="92">P427-K427</f>
        <v>0</v>
      </c>
      <c r="U427" s="62">
        <f t="shared" ref="U427:U432" si="93">S427-K427</f>
        <v>0</v>
      </c>
      <c r="V427" s="62">
        <f t="shared" ref="V427:V432" si="94">S427-P427</f>
        <v>0</v>
      </c>
      <c r="W427" s="153" t="s">
        <v>878</v>
      </c>
    </row>
    <row r="428" spans="1:24" ht="50.15" customHeight="1" x14ac:dyDescent="0.6">
      <c r="A428" s="59">
        <v>1765000810</v>
      </c>
      <c r="B428" s="60">
        <v>76</v>
      </c>
      <c r="C428" s="61" t="s">
        <v>18</v>
      </c>
      <c r="D428" s="61" t="s">
        <v>33</v>
      </c>
      <c r="E428" s="61"/>
      <c r="F428" s="61" t="s">
        <v>383</v>
      </c>
      <c r="G428" s="62">
        <v>61020</v>
      </c>
      <c r="H428" s="62">
        <v>61000</v>
      </c>
      <c r="I428" s="62">
        <v>61000</v>
      </c>
      <c r="J428" s="62">
        <v>61000</v>
      </c>
      <c r="K428" s="62">
        <v>61000</v>
      </c>
      <c r="L428" s="63"/>
      <c r="M428" s="63"/>
      <c r="N428" s="63"/>
      <c r="O428" s="62">
        <v>61000</v>
      </c>
      <c r="P428" s="62">
        <v>61000</v>
      </c>
      <c r="Q428" s="62">
        <v>12</v>
      </c>
      <c r="R428" s="62">
        <v>12</v>
      </c>
      <c r="S428" s="467">
        <f>P428*Q428/R428</f>
        <v>61000</v>
      </c>
      <c r="T428" s="432">
        <f t="shared" si="92"/>
        <v>0</v>
      </c>
      <c r="U428" s="62">
        <f t="shared" si="93"/>
        <v>0</v>
      </c>
      <c r="V428" s="62">
        <f t="shared" si="94"/>
        <v>0</v>
      </c>
      <c r="W428" s="338" t="s">
        <v>879</v>
      </c>
    </row>
    <row r="429" spans="1:24" ht="50.15" customHeight="1" x14ac:dyDescent="0.6">
      <c r="A429" s="59">
        <v>1765000812</v>
      </c>
      <c r="B429" s="60">
        <v>76</v>
      </c>
      <c r="C429" s="61" t="s">
        <v>18</v>
      </c>
      <c r="D429" s="61" t="s">
        <v>33</v>
      </c>
      <c r="E429" s="61"/>
      <c r="F429" s="61" t="s">
        <v>384</v>
      </c>
      <c r="G429" s="62">
        <v>30670</v>
      </c>
      <c r="H429" s="62">
        <v>54600</v>
      </c>
      <c r="I429" s="62"/>
      <c r="J429" s="62">
        <v>54000</v>
      </c>
      <c r="K429" s="62">
        <v>54600</v>
      </c>
      <c r="L429" s="63"/>
      <c r="M429" s="63"/>
      <c r="N429" s="63"/>
      <c r="O429" s="62">
        <v>0</v>
      </c>
      <c r="P429" s="62">
        <v>0</v>
      </c>
      <c r="Q429" s="62">
        <v>12</v>
      </c>
      <c r="R429" s="62">
        <v>12</v>
      </c>
      <c r="S429" s="467">
        <f>P429*Q429/R429</f>
        <v>0</v>
      </c>
      <c r="T429" s="432">
        <f t="shared" si="92"/>
        <v>-54600</v>
      </c>
      <c r="U429" s="62">
        <f t="shared" si="93"/>
        <v>-54600</v>
      </c>
      <c r="V429" s="62">
        <f t="shared" si="94"/>
        <v>0</v>
      </c>
      <c r="W429" s="153" t="s">
        <v>880</v>
      </c>
    </row>
    <row r="430" spans="1:24" ht="50.15" customHeight="1" x14ac:dyDescent="0.6">
      <c r="A430" s="59">
        <v>1767000441</v>
      </c>
      <c r="B430" s="60">
        <v>76</v>
      </c>
      <c r="C430" s="61" t="s">
        <v>18</v>
      </c>
      <c r="D430" s="61" t="s">
        <v>33</v>
      </c>
      <c r="E430" s="61"/>
      <c r="F430" s="61" t="s">
        <v>385</v>
      </c>
      <c r="G430" s="62">
        <v>732425</v>
      </c>
      <c r="H430" s="62">
        <v>732425</v>
      </c>
      <c r="I430" s="62">
        <v>732000</v>
      </c>
      <c r="J430" s="62">
        <v>789980</v>
      </c>
      <c r="K430" s="62">
        <v>732425</v>
      </c>
      <c r="L430" s="63"/>
      <c r="M430" s="63"/>
      <c r="N430" s="63"/>
      <c r="O430" s="226">
        <f>1149313-200000-250000+84006</f>
        <v>783319</v>
      </c>
      <c r="P430" s="122">
        <v>780000</v>
      </c>
      <c r="Q430" s="62">
        <v>12</v>
      </c>
      <c r="R430" s="62">
        <v>12</v>
      </c>
      <c r="S430" s="467">
        <f>P430*Q430/R430</f>
        <v>780000</v>
      </c>
      <c r="T430" s="432">
        <f t="shared" si="92"/>
        <v>47575</v>
      </c>
      <c r="U430" s="62">
        <f t="shared" si="93"/>
        <v>47575</v>
      </c>
      <c r="V430" s="62">
        <f t="shared" si="94"/>
        <v>0</v>
      </c>
    </row>
    <row r="431" spans="1:24" ht="50.15" customHeight="1" x14ac:dyDescent="0.6">
      <c r="A431" s="59">
        <v>1767000443</v>
      </c>
      <c r="B431" s="60">
        <v>76</v>
      </c>
      <c r="C431" s="61" t="s">
        <v>18</v>
      </c>
      <c r="D431" s="61" t="s">
        <v>33</v>
      </c>
      <c r="E431" s="61"/>
      <c r="F431" s="61" t="s">
        <v>2181</v>
      </c>
      <c r="G431" s="62">
        <v>368743.32</v>
      </c>
      <c r="H431" s="62">
        <v>286000</v>
      </c>
      <c r="I431" s="62">
        <v>340625.41200000001</v>
      </c>
      <c r="J431" s="62">
        <v>350000</v>
      </c>
      <c r="K431" s="62">
        <v>286000</v>
      </c>
      <c r="L431" s="63"/>
      <c r="M431" s="63"/>
      <c r="N431" s="63"/>
      <c r="O431" s="226">
        <f>598369.15-84006</f>
        <v>514363.15</v>
      </c>
      <c r="P431" s="122">
        <v>400000</v>
      </c>
      <c r="Q431" s="62">
        <v>12</v>
      </c>
      <c r="R431" s="62">
        <v>12</v>
      </c>
      <c r="S431" s="467">
        <f>P431*Q431/R431</f>
        <v>400000</v>
      </c>
      <c r="T431" s="432">
        <f t="shared" si="92"/>
        <v>114000</v>
      </c>
      <c r="U431" s="62">
        <f t="shared" si="93"/>
        <v>114000</v>
      </c>
      <c r="V431" s="62">
        <f t="shared" si="94"/>
        <v>0</v>
      </c>
      <c r="W431" s="338" t="s">
        <v>881</v>
      </c>
    </row>
    <row r="432" spans="1:24" ht="50.15" customHeight="1" thickBot="1" x14ac:dyDescent="0.65">
      <c r="A432" s="468">
        <v>1769000110</v>
      </c>
      <c r="B432" s="404">
        <v>76</v>
      </c>
      <c r="C432" s="405" t="s">
        <v>8</v>
      </c>
      <c r="D432" s="405" t="s">
        <v>8</v>
      </c>
      <c r="E432" s="405"/>
      <c r="F432" s="405" t="s">
        <v>387</v>
      </c>
      <c r="G432" s="399">
        <v>0</v>
      </c>
      <c r="H432" s="399" t="s">
        <v>8</v>
      </c>
      <c r="I432" s="399">
        <v>0</v>
      </c>
      <c r="J432" s="399">
        <v>0</v>
      </c>
      <c r="K432" s="399">
        <v>0</v>
      </c>
      <c r="L432" s="427">
        <v>0</v>
      </c>
      <c r="M432" s="427">
        <v>0</v>
      </c>
      <c r="N432" s="427"/>
      <c r="O432" s="399">
        <v>0</v>
      </c>
      <c r="P432" s="399">
        <v>0</v>
      </c>
      <c r="Q432" s="399">
        <v>12</v>
      </c>
      <c r="R432" s="399">
        <v>12</v>
      </c>
      <c r="S432" s="469">
        <v>0</v>
      </c>
      <c r="T432" s="432">
        <f t="shared" si="92"/>
        <v>0</v>
      </c>
      <c r="U432" s="62">
        <f t="shared" si="93"/>
        <v>0</v>
      </c>
      <c r="V432" s="62">
        <f t="shared" si="94"/>
        <v>0</v>
      </c>
    </row>
    <row r="433" spans="1:24" ht="50.15" customHeight="1" thickBot="1" x14ac:dyDescent="0.65">
      <c r="A433" s="407"/>
      <c r="B433" s="64"/>
      <c r="C433" s="65"/>
      <c r="D433" s="65"/>
      <c r="E433" s="65"/>
      <c r="F433" s="65"/>
      <c r="G433" s="66">
        <f t="shared" ref="G433:N433" si="95">SUM(G427:G432)</f>
        <v>1252858.32</v>
      </c>
      <c r="H433" s="66">
        <f t="shared" si="95"/>
        <v>1235025</v>
      </c>
      <c r="I433" s="66">
        <f t="shared" si="95"/>
        <v>1133625.412</v>
      </c>
      <c r="J433" s="66">
        <f t="shared" si="95"/>
        <v>1355980</v>
      </c>
      <c r="K433" s="66">
        <f t="shared" si="95"/>
        <v>1235025</v>
      </c>
      <c r="L433" s="66">
        <f t="shared" si="95"/>
        <v>0</v>
      </c>
      <c r="M433" s="66">
        <f t="shared" si="95"/>
        <v>0</v>
      </c>
      <c r="N433" s="66">
        <f t="shared" si="95"/>
        <v>0</v>
      </c>
      <c r="O433" s="66">
        <f t="shared" ref="O433:U433" si="96">SUM(O427:O432)</f>
        <v>1683987.15</v>
      </c>
      <c r="P433" s="66">
        <f t="shared" si="96"/>
        <v>1342000</v>
      </c>
      <c r="Q433" s="66">
        <f t="shared" si="96"/>
        <v>72</v>
      </c>
      <c r="R433" s="66">
        <f t="shared" si="96"/>
        <v>72</v>
      </c>
      <c r="S433" s="66">
        <f t="shared" si="96"/>
        <v>1342000</v>
      </c>
      <c r="T433" s="398">
        <f t="shared" si="96"/>
        <v>106975</v>
      </c>
      <c r="U433" s="393">
        <f t="shared" si="96"/>
        <v>106975</v>
      </c>
      <c r="V433" s="393">
        <f>SUM(V427:V432)</f>
        <v>0</v>
      </c>
    </row>
    <row r="434" spans="1:24" ht="50.15" customHeight="1" x14ac:dyDescent="0.35">
      <c r="A434" s="474" t="s">
        <v>3571</v>
      </c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333"/>
      <c r="N434" s="118"/>
      <c r="O434" s="118"/>
      <c r="P434" s="318"/>
      <c r="Q434" s="118"/>
      <c r="R434" s="118"/>
      <c r="S434" s="466"/>
      <c r="T434" s="461"/>
      <c r="U434" s="391"/>
      <c r="V434" s="391"/>
    </row>
    <row r="435" spans="1:24" ht="50.15" customHeight="1" x14ac:dyDescent="0.6">
      <c r="A435" s="440">
        <v>1772000110</v>
      </c>
      <c r="B435" s="120">
        <v>77</v>
      </c>
      <c r="C435" s="121" t="s">
        <v>17</v>
      </c>
      <c r="D435" s="121" t="s">
        <v>33</v>
      </c>
      <c r="E435" s="121" t="s">
        <v>583</v>
      </c>
      <c r="F435" s="121" t="s">
        <v>392</v>
      </c>
      <c r="G435" s="122">
        <v>192265.67</v>
      </c>
      <c r="H435" s="122">
        <v>140089.92000000001</v>
      </c>
      <c r="I435" s="122">
        <v>140000</v>
      </c>
      <c r="J435" s="122">
        <v>0</v>
      </c>
      <c r="K435" s="122">
        <v>143129.87399464351</v>
      </c>
      <c r="L435" s="123">
        <v>1.2</v>
      </c>
      <c r="M435" s="123">
        <v>1.1200000000000001</v>
      </c>
      <c r="N435" s="123"/>
      <c r="O435" s="122">
        <v>125177</v>
      </c>
      <c r="P435" s="122">
        <v>0</v>
      </c>
      <c r="Q435" s="122">
        <v>12</v>
      </c>
      <c r="R435" s="122">
        <v>12</v>
      </c>
      <c r="S435" s="441">
        <f t="shared" ref="S435:S440" si="97">P435*Q435/R435</f>
        <v>0</v>
      </c>
      <c r="T435" s="432">
        <f t="shared" ref="T435:T440" si="98">P435-K435</f>
        <v>-143129.87399464351</v>
      </c>
      <c r="U435" s="62">
        <f t="shared" ref="U435:U440" si="99">S435-K435</f>
        <v>-143129.87399464351</v>
      </c>
      <c r="V435" s="62">
        <f t="shared" ref="V435:V440" si="100">S435-P435</f>
        <v>0</v>
      </c>
    </row>
    <row r="436" spans="1:24" ht="50.15" customHeight="1" x14ac:dyDescent="0.6">
      <c r="A436" s="440">
        <v>1772000530</v>
      </c>
      <c r="B436" s="120">
        <v>77</v>
      </c>
      <c r="C436" s="121" t="s">
        <v>18</v>
      </c>
      <c r="D436" s="121" t="s">
        <v>33</v>
      </c>
      <c r="E436" s="121"/>
      <c r="F436" s="121" t="s">
        <v>393</v>
      </c>
      <c r="G436" s="122">
        <v>26663.64</v>
      </c>
      <c r="H436" s="122">
        <v>104200</v>
      </c>
      <c r="I436" s="122">
        <v>65000</v>
      </c>
      <c r="J436" s="122">
        <v>78960</v>
      </c>
      <c r="K436" s="122">
        <v>104200</v>
      </c>
      <c r="L436" s="123"/>
      <c r="M436" s="123"/>
      <c r="N436" s="123"/>
      <c r="O436" s="226">
        <v>82679.56</v>
      </c>
      <c r="P436" s="122">
        <v>83000</v>
      </c>
      <c r="Q436" s="122">
        <v>12</v>
      </c>
      <c r="R436" s="122">
        <v>12</v>
      </c>
      <c r="S436" s="441">
        <f t="shared" si="97"/>
        <v>83000</v>
      </c>
      <c r="T436" s="432">
        <f t="shared" si="98"/>
        <v>-21200</v>
      </c>
      <c r="U436" s="62">
        <f t="shared" si="99"/>
        <v>-21200</v>
      </c>
      <c r="V436" s="62">
        <f t="shared" si="100"/>
        <v>0</v>
      </c>
    </row>
    <row r="437" spans="1:24" ht="50.15" customHeight="1" x14ac:dyDescent="0.6">
      <c r="A437" s="440">
        <v>1772000780</v>
      </c>
      <c r="B437" s="120">
        <v>77</v>
      </c>
      <c r="C437" s="121" t="s">
        <v>18</v>
      </c>
      <c r="D437" s="121" t="s">
        <v>33</v>
      </c>
      <c r="E437" s="121"/>
      <c r="F437" s="121" t="s">
        <v>78</v>
      </c>
      <c r="G437" s="122">
        <v>422265.29</v>
      </c>
      <c r="H437" s="122">
        <v>618334</v>
      </c>
      <c r="I437" s="122">
        <v>601433.53199999989</v>
      </c>
      <c r="J437" s="122"/>
      <c r="K437" s="122">
        <v>618334</v>
      </c>
      <c r="L437" s="123"/>
      <c r="M437" s="123"/>
      <c r="N437" s="123"/>
      <c r="O437" s="226">
        <v>584885.62</v>
      </c>
      <c r="P437" s="122"/>
      <c r="Q437" s="122">
        <v>12</v>
      </c>
      <c r="R437" s="122">
        <v>12</v>
      </c>
      <c r="S437" s="441">
        <f t="shared" si="97"/>
        <v>0</v>
      </c>
      <c r="T437" s="432">
        <f t="shared" si="98"/>
        <v>-618334</v>
      </c>
      <c r="U437" s="62">
        <f t="shared" si="99"/>
        <v>-618334</v>
      </c>
      <c r="V437" s="62">
        <f t="shared" si="100"/>
        <v>0</v>
      </c>
      <c r="W437" s="153" t="s">
        <v>883</v>
      </c>
    </row>
    <row r="438" spans="1:24" ht="50.15" customHeight="1" x14ac:dyDescent="0.6">
      <c r="A438" s="440">
        <v>1772000781</v>
      </c>
      <c r="B438" s="120">
        <v>77</v>
      </c>
      <c r="C438" s="121" t="s">
        <v>18</v>
      </c>
      <c r="D438" s="121" t="s">
        <v>33</v>
      </c>
      <c r="E438" s="121"/>
      <c r="F438" s="121" t="s">
        <v>394</v>
      </c>
      <c r="G438" s="122">
        <v>63877.440000000002</v>
      </c>
      <c r="H438" s="122">
        <v>105492</v>
      </c>
      <c r="I438" s="122">
        <v>48104.28</v>
      </c>
      <c r="J438" s="122">
        <v>80000</v>
      </c>
      <c r="K438" s="122">
        <v>105492</v>
      </c>
      <c r="L438" s="123"/>
      <c r="M438" s="123"/>
      <c r="N438" s="123"/>
      <c r="O438" s="226">
        <v>58020.93</v>
      </c>
      <c r="P438" s="122">
        <f>80000+105000</f>
        <v>185000</v>
      </c>
      <c r="Q438" s="122">
        <v>12</v>
      </c>
      <c r="R438" s="122">
        <v>12</v>
      </c>
      <c r="S438" s="441">
        <f t="shared" si="97"/>
        <v>185000</v>
      </c>
      <c r="T438" s="432">
        <f t="shared" si="98"/>
        <v>79508</v>
      </c>
      <c r="U438" s="62">
        <f t="shared" si="99"/>
        <v>79508</v>
      </c>
      <c r="V438" s="62">
        <f t="shared" si="100"/>
        <v>0</v>
      </c>
      <c r="W438" s="153" t="s">
        <v>2184</v>
      </c>
    </row>
    <row r="439" spans="1:24" ht="50.15" customHeight="1" x14ac:dyDescent="0.6">
      <c r="A439" s="440">
        <v>1772000782</v>
      </c>
      <c r="B439" s="120">
        <v>77</v>
      </c>
      <c r="C439" s="121" t="s">
        <v>18</v>
      </c>
      <c r="D439" s="121" t="s">
        <v>33</v>
      </c>
      <c r="E439" s="121"/>
      <c r="F439" s="121" t="s">
        <v>395</v>
      </c>
      <c r="G439" s="122">
        <v>36940.35</v>
      </c>
      <c r="H439" s="122">
        <v>10000</v>
      </c>
      <c r="I439" s="122">
        <v>21182.82</v>
      </c>
      <c r="J439" s="122">
        <v>10000</v>
      </c>
      <c r="K439" s="122">
        <v>10000</v>
      </c>
      <c r="L439" s="123"/>
      <c r="M439" s="123"/>
      <c r="N439" s="123"/>
      <c r="O439" s="226">
        <v>4939.03</v>
      </c>
      <c r="P439" s="122">
        <v>10000</v>
      </c>
      <c r="Q439" s="122">
        <v>12</v>
      </c>
      <c r="R439" s="122">
        <v>12</v>
      </c>
      <c r="S439" s="441">
        <f t="shared" si="97"/>
        <v>10000</v>
      </c>
      <c r="T439" s="432">
        <f t="shared" si="98"/>
        <v>0</v>
      </c>
      <c r="U439" s="62">
        <f t="shared" si="99"/>
        <v>0</v>
      </c>
      <c r="V439" s="62">
        <f t="shared" si="100"/>
        <v>0</v>
      </c>
    </row>
    <row r="440" spans="1:24" ht="50.15" customHeight="1" thickBot="1" x14ac:dyDescent="0.65">
      <c r="A440" s="440">
        <v>1772200110</v>
      </c>
      <c r="B440" s="120">
        <v>77</v>
      </c>
      <c r="C440" s="121" t="s">
        <v>17</v>
      </c>
      <c r="D440" s="121" t="s">
        <v>33</v>
      </c>
      <c r="E440" s="121" t="s">
        <v>583</v>
      </c>
      <c r="F440" s="121" t="s">
        <v>396</v>
      </c>
      <c r="G440" s="122">
        <v>580173.28</v>
      </c>
      <c r="H440" s="122">
        <v>983266.13</v>
      </c>
      <c r="I440" s="122">
        <v>1279000</v>
      </c>
      <c r="J440" s="122">
        <v>1391311.0963999999</v>
      </c>
      <c r="K440" s="122">
        <v>804662.00638611137</v>
      </c>
      <c r="L440" s="123">
        <v>5.0599999999999996</v>
      </c>
      <c r="M440" s="123">
        <v>5.57</v>
      </c>
      <c r="N440" s="123">
        <f>ריכוז!K30</f>
        <v>7</v>
      </c>
      <c r="O440" s="122">
        <v>966147</v>
      </c>
      <c r="P440" s="122">
        <f>ריכוז!M30</f>
        <v>1372467.92</v>
      </c>
      <c r="Q440" s="122">
        <v>12</v>
      </c>
      <c r="R440" s="122">
        <v>12</v>
      </c>
      <c r="S440" s="441">
        <f t="shared" si="97"/>
        <v>1372467.92</v>
      </c>
      <c r="T440" s="432">
        <f t="shared" si="98"/>
        <v>567805.91361388855</v>
      </c>
      <c r="U440" s="62">
        <f t="shared" si="99"/>
        <v>567805.91361388855</v>
      </c>
      <c r="V440" s="62">
        <f t="shared" si="100"/>
        <v>0</v>
      </c>
      <c r="W440" s="153" t="s">
        <v>916</v>
      </c>
    </row>
    <row r="441" spans="1:24" ht="50.15" customHeight="1" thickBot="1" x14ac:dyDescent="0.65">
      <c r="A441" s="407"/>
      <c r="B441" s="64"/>
      <c r="C441" s="65"/>
      <c r="D441" s="65"/>
      <c r="E441" s="65"/>
      <c r="F441" s="65"/>
      <c r="G441" s="66">
        <f t="shared" ref="G441:V441" si="101">SUM(G435:G440)</f>
        <v>1322185.67</v>
      </c>
      <c r="H441" s="66">
        <f t="shared" si="101"/>
        <v>1961382.05</v>
      </c>
      <c r="I441" s="66">
        <f t="shared" si="101"/>
        <v>2154720.6319999998</v>
      </c>
      <c r="J441" s="66">
        <f t="shared" si="101"/>
        <v>1560271.0963999999</v>
      </c>
      <c r="K441" s="66">
        <f t="shared" si="101"/>
        <v>1785817.8803807548</v>
      </c>
      <c r="L441" s="66">
        <f t="shared" si="101"/>
        <v>6.26</v>
      </c>
      <c r="M441" s="66">
        <f t="shared" si="101"/>
        <v>6.69</v>
      </c>
      <c r="N441" s="66">
        <f t="shared" si="101"/>
        <v>7</v>
      </c>
      <c r="O441" s="66">
        <f t="shared" si="101"/>
        <v>1821849.1400000001</v>
      </c>
      <c r="P441" s="66">
        <f t="shared" si="101"/>
        <v>1650467.92</v>
      </c>
      <c r="Q441" s="66">
        <f t="shared" si="101"/>
        <v>72</v>
      </c>
      <c r="R441" s="66">
        <f t="shared" si="101"/>
        <v>72</v>
      </c>
      <c r="S441" s="66">
        <f t="shared" si="101"/>
        <v>1650467.92</v>
      </c>
      <c r="T441" s="398">
        <f t="shared" si="101"/>
        <v>-135349.96038075502</v>
      </c>
      <c r="U441" s="393">
        <f t="shared" si="101"/>
        <v>-135349.96038075502</v>
      </c>
      <c r="V441" s="393">
        <f t="shared" si="101"/>
        <v>0</v>
      </c>
    </row>
    <row r="442" spans="1:24" ht="50.15" customHeight="1" thickBot="1" x14ac:dyDescent="0.4">
      <c r="A442" s="474" t="s">
        <v>657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333"/>
      <c r="N442" s="118"/>
      <c r="O442" s="118"/>
      <c r="P442" s="318"/>
      <c r="Q442" s="118"/>
      <c r="R442" s="118"/>
      <c r="S442" s="466"/>
      <c r="T442" s="461"/>
      <c r="U442" s="391"/>
      <c r="V442" s="391"/>
    </row>
    <row r="443" spans="1:24" ht="50.15" customHeight="1" x14ac:dyDescent="0.6">
      <c r="A443" s="433">
        <v>1781000110</v>
      </c>
      <c r="B443" s="434">
        <v>78</v>
      </c>
      <c r="C443" s="435" t="s">
        <v>17</v>
      </c>
      <c r="D443" s="435" t="s">
        <v>33</v>
      </c>
      <c r="E443" s="435" t="s">
        <v>583</v>
      </c>
      <c r="F443" s="435" t="s">
        <v>397</v>
      </c>
      <c r="G443" s="436">
        <v>1077356.77</v>
      </c>
      <c r="H443" s="436">
        <v>834258.16</v>
      </c>
      <c r="I443" s="436">
        <v>839123</v>
      </c>
      <c r="J443" s="436">
        <v>858574.72964999988</v>
      </c>
      <c r="K443" s="436">
        <v>852361.55870652013</v>
      </c>
      <c r="L443" s="437">
        <v>5.24</v>
      </c>
      <c r="M443" s="437">
        <v>5.2110000000000003</v>
      </c>
      <c r="N443" s="437">
        <f>ריכוז!K31</f>
        <v>5.36</v>
      </c>
      <c r="O443" s="438">
        <v>835956</v>
      </c>
      <c r="P443" s="436">
        <f>ריכוז!M31</f>
        <v>878865.2</v>
      </c>
      <c r="Q443" s="436">
        <v>12</v>
      </c>
      <c r="R443" s="436">
        <v>12</v>
      </c>
      <c r="S443" s="439">
        <f t="shared" ref="S443:S451" si="102">P443*Q443/R443</f>
        <v>878865.19999999984</v>
      </c>
      <c r="T443" s="432">
        <f t="shared" ref="T443:T451" si="103">P443-K443</f>
        <v>26503.641293479828</v>
      </c>
      <c r="U443" s="62">
        <f t="shared" ref="U443:U451" si="104">S443-K443</f>
        <v>26503.641293479712</v>
      </c>
      <c r="V443" s="62">
        <f t="shared" ref="V443:V451" si="105">S443-P443</f>
        <v>0</v>
      </c>
    </row>
    <row r="444" spans="1:24" ht="50.15" customHeight="1" x14ac:dyDescent="0.6">
      <c r="A444" s="440">
        <v>1781000750</v>
      </c>
      <c r="B444" s="120">
        <v>78</v>
      </c>
      <c r="C444" s="121" t="s">
        <v>18</v>
      </c>
      <c r="D444" s="121" t="s">
        <v>33</v>
      </c>
      <c r="E444" s="121"/>
      <c r="F444" s="121" t="s">
        <v>398</v>
      </c>
      <c r="G444" s="122">
        <v>1576283.75</v>
      </c>
      <c r="H444" s="122">
        <v>1500000</v>
      </c>
      <c r="I444" s="122">
        <v>1450000</v>
      </c>
      <c r="J444" s="122">
        <v>1500000</v>
      </c>
      <c r="K444" s="122">
        <v>1350000</v>
      </c>
      <c r="L444" s="123"/>
      <c r="M444" s="123"/>
      <c r="N444" s="123"/>
      <c r="O444" s="226">
        <v>1487400.13</v>
      </c>
      <c r="P444" s="122">
        <v>1490000</v>
      </c>
      <c r="Q444" s="122">
        <v>12</v>
      </c>
      <c r="R444" s="122">
        <v>12</v>
      </c>
      <c r="S444" s="441">
        <f t="shared" si="102"/>
        <v>1490000</v>
      </c>
      <c r="T444" s="432">
        <f t="shared" si="103"/>
        <v>140000</v>
      </c>
      <c r="U444" s="62">
        <f t="shared" si="104"/>
        <v>140000</v>
      </c>
      <c r="V444" s="62">
        <f t="shared" si="105"/>
        <v>0</v>
      </c>
      <c r="X444" s="239" t="s">
        <v>884</v>
      </c>
    </row>
    <row r="445" spans="1:24" s="243" customFormat="1" ht="50.15" customHeight="1" x14ac:dyDescent="0.6">
      <c r="A445" s="440">
        <v>1781000780</v>
      </c>
      <c r="B445" s="120">
        <v>78</v>
      </c>
      <c r="C445" s="121" t="s">
        <v>18</v>
      </c>
      <c r="D445" s="121" t="s">
        <v>33</v>
      </c>
      <c r="E445" s="121"/>
      <c r="F445" s="121" t="s">
        <v>399</v>
      </c>
      <c r="G445" s="122">
        <v>15615.99</v>
      </c>
      <c r="H445" s="122">
        <v>25000</v>
      </c>
      <c r="I445" s="122">
        <v>13730.963999999998</v>
      </c>
      <c r="J445" s="122">
        <v>200000</v>
      </c>
      <c r="K445" s="122">
        <v>25000</v>
      </c>
      <c r="L445" s="123"/>
      <c r="M445" s="123"/>
      <c r="N445" s="123"/>
      <c r="O445" s="226">
        <v>14601.84</v>
      </c>
      <c r="P445" s="122">
        <v>120000</v>
      </c>
      <c r="Q445" s="122">
        <v>12</v>
      </c>
      <c r="R445" s="122">
        <v>12</v>
      </c>
      <c r="S445" s="441">
        <f t="shared" si="102"/>
        <v>120000</v>
      </c>
      <c r="T445" s="432">
        <f t="shared" si="103"/>
        <v>95000</v>
      </c>
      <c r="U445" s="62">
        <f t="shared" si="104"/>
        <v>95000</v>
      </c>
      <c r="V445" s="62">
        <f t="shared" si="105"/>
        <v>0</v>
      </c>
      <c r="W445" s="156"/>
    </row>
    <row r="446" spans="1:24" ht="50.15" customHeight="1" x14ac:dyDescent="0.6">
      <c r="A446" s="440">
        <v>1770000110</v>
      </c>
      <c r="B446" s="120">
        <v>77</v>
      </c>
      <c r="C446" s="121" t="s">
        <v>17</v>
      </c>
      <c r="D446" s="121" t="s">
        <v>33</v>
      </c>
      <c r="E446" s="121" t="s">
        <v>583</v>
      </c>
      <c r="F446" s="121" t="s">
        <v>388</v>
      </c>
      <c r="G446" s="122">
        <v>1594606.11</v>
      </c>
      <c r="H446" s="122">
        <v>1552825.53</v>
      </c>
      <c r="I446" s="122">
        <v>1679000</v>
      </c>
      <c r="J446" s="122">
        <v>1816046.4495999997</v>
      </c>
      <c r="K446" s="122">
        <v>1586521.8472451379</v>
      </c>
      <c r="L446" s="123">
        <v>9.5299999999999994</v>
      </c>
      <c r="M446" s="123">
        <v>9.4482999999999997</v>
      </c>
      <c r="N446" s="123">
        <f>ריכוז!K28</f>
        <v>10</v>
      </c>
      <c r="O446" s="226">
        <v>1675103</v>
      </c>
      <c r="P446" s="122">
        <f>ריכוז!M28</f>
        <v>1802600</v>
      </c>
      <c r="Q446" s="122">
        <v>12</v>
      </c>
      <c r="R446" s="122">
        <v>12</v>
      </c>
      <c r="S446" s="441">
        <f t="shared" si="102"/>
        <v>1802600</v>
      </c>
      <c r="T446" s="432">
        <f t="shared" si="103"/>
        <v>216078.15275486209</v>
      </c>
      <c r="U446" s="62">
        <f t="shared" si="104"/>
        <v>216078.15275486209</v>
      </c>
      <c r="V446" s="62">
        <f t="shared" si="105"/>
        <v>0</v>
      </c>
    </row>
    <row r="447" spans="1:24" ht="50.15" customHeight="1" x14ac:dyDescent="0.6">
      <c r="A447" s="440">
        <v>1770000530</v>
      </c>
      <c r="B447" s="120">
        <v>77</v>
      </c>
      <c r="C447" s="121" t="s">
        <v>18</v>
      </c>
      <c r="D447" s="121" t="s">
        <v>33</v>
      </c>
      <c r="E447" s="121"/>
      <c r="F447" s="121" t="s">
        <v>389</v>
      </c>
      <c r="G447" s="122" t="s">
        <v>8</v>
      </c>
      <c r="H447" s="122">
        <v>77448</v>
      </c>
      <c r="I447" s="122">
        <v>47390.760000000009</v>
      </c>
      <c r="J447" s="122">
        <v>79200</v>
      </c>
      <c r="K447" s="122" t="s">
        <v>607</v>
      </c>
      <c r="L447" s="123"/>
      <c r="M447" s="123"/>
      <c r="N447" s="123"/>
      <c r="O447" s="226">
        <v>66365.5</v>
      </c>
      <c r="P447" s="122">
        <v>67000</v>
      </c>
      <c r="Q447" s="122">
        <v>12</v>
      </c>
      <c r="R447" s="122">
        <v>12</v>
      </c>
      <c r="S447" s="441">
        <f t="shared" si="102"/>
        <v>67000</v>
      </c>
      <c r="T447" s="432">
        <f t="shared" si="103"/>
        <v>67000</v>
      </c>
      <c r="U447" s="62">
        <f t="shared" si="104"/>
        <v>67000</v>
      </c>
      <c r="V447" s="62">
        <f t="shared" si="105"/>
        <v>0</v>
      </c>
      <c r="W447" s="338" t="s">
        <v>882</v>
      </c>
    </row>
    <row r="448" spans="1:24" ht="50.15" customHeight="1" x14ac:dyDescent="0.6">
      <c r="A448" s="440">
        <v>1770000531</v>
      </c>
      <c r="B448" s="120">
        <v>77</v>
      </c>
      <c r="C448" s="121" t="s">
        <v>18</v>
      </c>
      <c r="D448" s="121" t="s">
        <v>33</v>
      </c>
      <c r="E448" s="121"/>
      <c r="F448" s="121" t="s">
        <v>390</v>
      </c>
      <c r="G448" s="122" t="s">
        <v>8</v>
      </c>
      <c r="H448" s="122">
        <v>46848</v>
      </c>
      <c r="I448" s="122">
        <v>15112.956</v>
      </c>
      <c r="J448" s="122">
        <v>44640</v>
      </c>
      <c r="K448" s="122" t="s">
        <v>607</v>
      </c>
      <c r="L448" s="123"/>
      <c r="M448" s="123"/>
      <c r="N448" s="123"/>
      <c r="O448" s="226">
        <v>26335.26</v>
      </c>
      <c r="P448" s="122">
        <v>28000</v>
      </c>
      <c r="Q448" s="122">
        <v>12</v>
      </c>
      <c r="R448" s="122">
        <v>12</v>
      </c>
      <c r="S448" s="441">
        <f t="shared" si="102"/>
        <v>28000</v>
      </c>
      <c r="T448" s="432">
        <f t="shared" si="103"/>
        <v>28000</v>
      </c>
      <c r="U448" s="62">
        <f t="shared" si="104"/>
        <v>28000</v>
      </c>
      <c r="V448" s="62">
        <f t="shared" si="105"/>
        <v>0</v>
      </c>
    </row>
    <row r="449" spans="1:24" ht="50.15" customHeight="1" x14ac:dyDescent="0.6">
      <c r="A449" s="440">
        <v>1770000780</v>
      </c>
      <c r="B449" s="120">
        <v>77</v>
      </c>
      <c r="C449" s="121" t="s">
        <v>18</v>
      </c>
      <c r="D449" s="121" t="s">
        <v>33</v>
      </c>
      <c r="E449" s="121"/>
      <c r="F449" s="121" t="s">
        <v>391</v>
      </c>
      <c r="G449" s="122">
        <v>201342.29</v>
      </c>
      <c r="H449" s="122">
        <v>70000</v>
      </c>
      <c r="I449" s="122">
        <v>94650.323999999993</v>
      </c>
      <c r="J449" s="122">
        <v>50000</v>
      </c>
      <c r="K449" s="122">
        <v>70000</v>
      </c>
      <c r="L449" s="123"/>
      <c r="M449" s="123"/>
      <c r="N449" s="123"/>
      <c r="O449" s="226">
        <v>42748.43</v>
      </c>
      <c r="P449" s="122">
        <v>45000</v>
      </c>
      <c r="Q449" s="122">
        <v>12</v>
      </c>
      <c r="R449" s="122">
        <v>12</v>
      </c>
      <c r="S449" s="441">
        <f t="shared" si="102"/>
        <v>45000</v>
      </c>
      <c r="T449" s="432">
        <f t="shared" si="103"/>
        <v>-25000</v>
      </c>
      <c r="U449" s="62">
        <f t="shared" si="104"/>
        <v>-25000</v>
      </c>
      <c r="V449" s="62">
        <f t="shared" si="105"/>
        <v>0</v>
      </c>
      <c r="X449" s="239" t="s">
        <v>3563</v>
      </c>
    </row>
    <row r="450" spans="1:24" ht="50.15" customHeight="1" x14ac:dyDescent="0.6">
      <c r="A450" s="440" t="s">
        <v>1</v>
      </c>
      <c r="B450" s="159">
        <v>78</v>
      </c>
      <c r="C450" s="121" t="s">
        <v>18</v>
      </c>
      <c r="D450" s="121" t="s">
        <v>33</v>
      </c>
      <c r="E450" s="121"/>
      <c r="F450" s="121" t="s">
        <v>389</v>
      </c>
      <c r="G450" s="122" t="s">
        <v>8</v>
      </c>
      <c r="H450" s="122" t="s">
        <v>8</v>
      </c>
      <c r="I450" s="122">
        <v>0</v>
      </c>
      <c r="J450" s="122"/>
      <c r="K450" s="122">
        <v>77448</v>
      </c>
      <c r="L450" s="123"/>
      <c r="M450" s="123"/>
      <c r="N450" s="123"/>
      <c r="O450" s="122">
        <v>0</v>
      </c>
      <c r="P450" s="122"/>
      <c r="Q450" s="122">
        <v>12</v>
      </c>
      <c r="R450" s="122">
        <v>12</v>
      </c>
      <c r="S450" s="441">
        <f t="shared" si="102"/>
        <v>0</v>
      </c>
      <c r="T450" s="432">
        <f t="shared" si="103"/>
        <v>-77448</v>
      </c>
      <c r="U450" s="62">
        <f t="shared" si="104"/>
        <v>-77448</v>
      </c>
      <c r="V450" s="62">
        <f t="shared" si="105"/>
        <v>0</v>
      </c>
    </row>
    <row r="451" spans="1:24" ht="50.15" customHeight="1" thickBot="1" x14ac:dyDescent="0.65">
      <c r="A451" s="442" t="s">
        <v>1</v>
      </c>
      <c r="B451" s="443">
        <v>78</v>
      </c>
      <c r="C451" s="444" t="s">
        <v>18</v>
      </c>
      <c r="D451" s="444" t="s">
        <v>33</v>
      </c>
      <c r="E451" s="444"/>
      <c r="F451" s="444" t="s">
        <v>390</v>
      </c>
      <c r="G451" s="445" t="s">
        <v>8</v>
      </c>
      <c r="H451" s="445" t="s">
        <v>8</v>
      </c>
      <c r="I451" s="445">
        <v>0</v>
      </c>
      <c r="J451" s="445"/>
      <c r="K451" s="445">
        <v>46848</v>
      </c>
      <c r="L451" s="446"/>
      <c r="M451" s="446"/>
      <c r="N451" s="446"/>
      <c r="O451" s="445">
        <v>0</v>
      </c>
      <c r="P451" s="445"/>
      <c r="Q451" s="445">
        <v>12</v>
      </c>
      <c r="R451" s="445">
        <v>12</v>
      </c>
      <c r="S451" s="447">
        <f t="shared" si="102"/>
        <v>0</v>
      </c>
      <c r="T451" s="432">
        <f t="shared" si="103"/>
        <v>-46848</v>
      </c>
      <c r="U451" s="62">
        <f t="shared" si="104"/>
        <v>-46848</v>
      </c>
      <c r="V451" s="399">
        <f t="shared" si="105"/>
        <v>0</v>
      </c>
    </row>
    <row r="452" spans="1:24" ht="50.15" customHeight="1" thickBot="1" x14ac:dyDescent="0.65">
      <c r="A452" s="429"/>
      <c r="B452" s="330"/>
      <c r="C452" s="430"/>
      <c r="D452" s="331"/>
      <c r="E452" s="331"/>
      <c r="F452" s="431"/>
      <c r="G452" s="397">
        <f t="shared" ref="G452:N452" si="106">SUM(G443:G451)</f>
        <v>4465204.91</v>
      </c>
      <c r="H452" s="119">
        <f t="shared" si="106"/>
        <v>4106379.6900000004</v>
      </c>
      <c r="I452" s="119">
        <f t="shared" si="106"/>
        <v>4139008.0040000002</v>
      </c>
      <c r="J452" s="119">
        <f t="shared" si="106"/>
        <v>4548461.17925</v>
      </c>
      <c r="K452" s="119">
        <f t="shared" si="106"/>
        <v>4008179.4059516583</v>
      </c>
      <c r="L452" s="119">
        <f t="shared" si="106"/>
        <v>14.77</v>
      </c>
      <c r="M452" s="119">
        <f t="shared" si="106"/>
        <v>14.6593</v>
      </c>
      <c r="N452" s="119">
        <f t="shared" si="106"/>
        <v>15.36</v>
      </c>
      <c r="O452" s="119">
        <f t="shared" ref="O452:U452" si="107">SUM(O443:O451)</f>
        <v>4148510.1599999997</v>
      </c>
      <c r="P452" s="119">
        <f t="shared" si="107"/>
        <v>4431465.2</v>
      </c>
      <c r="Q452" s="119">
        <f t="shared" si="107"/>
        <v>108</v>
      </c>
      <c r="R452" s="119">
        <f t="shared" si="107"/>
        <v>108</v>
      </c>
      <c r="S452" s="119">
        <f>SUM(S443:S451)</f>
        <v>4431465.1999999993</v>
      </c>
      <c r="T452" s="398">
        <f t="shared" si="107"/>
        <v>423285.79404834192</v>
      </c>
      <c r="U452" s="393">
        <f t="shared" si="107"/>
        <v>423285.79404834181</v>
      </c>
      <c r="V452" s="66">
        <f>SUM(V443:V451)</f>
        <v>0</v>
      </c>
    </row>
    <row r="453" spans="1:24" ht="50.15" customHeight="1" x14ac:dyDescent="0.35">
      <c r="A453" s="470" t="s">
        <v>635</v>
      </c>
      <c r="B453" s="328"/>
      <c r="C453" s="328"/>
      <c r="D453" s="118"/>
      <c r="E453" s="118"/>
      <c r="F453" s="328"/>
      <c r="G453" s="118"/>
      <c r="H453" s="118"/>
      <c r="I453" s="118"/>
      <c r="J453" s="118"/>
      <c r="K453" s="118"/>
      <c r="L453" s="118"/>
      <c r="M453" s="333"/>
      <c r="N453" s="118"/>
      <c r="O453" s="118"/>
      <c r="P453" s="329"/>
      <c r="Q453" s="328"/>
      <c r="R453" s="328"/>
      <c r="S453" s="471"/>
      <c r="T453" s="461"/>
      <c r="U453" s="391"/>
      <c r="V453" s="400"/>
    </row>
    <row r="454" spans="1:24" s="243" customFormat="1" ht="50.15" customHeight="1" x14ac:dyDescent="0.6">
      <c r="A454" s="440">
        <v>1811000110</v>
      </c>
      <c r="B454" s="120">
        <v>81</v>
      </c>
      <c r="C454" s="121" t="s">
        <v>21</v>
      </c>
      <c r="D454" s="121" t="s">
        <v>33</v>
      </c>
      <c r="E454" s="121" t="s">
        <v>583</v>
      </c>
      <c r="F454" s="121" t="s">
        <v>400</v>
      </c>
      <c r="G454" s="122">
        <v>1509687.31</v>
      </c>
      <c r="H454" s="122">
        <v>1536583.92</v>
      </c>
      <c r="I454" s="122">
        <v>1352000</v>
      </c>
      <c r="J454" s="122">
        <v>1225261</v>
      </c>
      <c r="K454" s="122">
        <v>1362743.7333310377</v>
      </c>
      <c r="L454" s="123">
        <v>7.6499999999999995</v>
      </c>
      <c r="M454" s="123">
        <v>7.6499999999999995</v>
      </c>
      <c r="N454" s="123">
        <f>ריכוז!K32</f>
        <v>7.4375</v>
      </c>
      <c r="O454" s="122">
        <v>1456380</v>
      </c>
      <c r="P454" s="122">
        <f>ריכוז!M32</f>
        <v>1500420.7100000002</v>
      </c>
      <c r="Q454" s="122">
        <v>12</v>
      </c>
      <c r="R454" s="122">
        <v>12</v>
      </c>
      <c r="S454" s="441">
        <f t="shared" ref="S454:S510" si="108">P454*Q454/R454</f>
        <v>1500420.7100000002</v>
      </c>
      <c r="T454" s="432">
        <f>P454-K454</f>
        <v>137676.97666896251</v>
      </c>
      <c r="U454" s="62">
        <f>S454-K454</f>
        <v>137676.97666896251</v>
      </c>
      <c r="V454" s="62">
        <f t="shared" ref="V454:V483" si="109">S454-P454</f>
        <v>0</v>
      </c>
      <c r="W454" s="156" t="s">
        <v>917</v>
      </c>
    </row>
    <row r="455" spans="1:24" ht="50.15" customHeight="1" x14ac:dyDescent="0.6">
      <c r="A455" s="440">
        <v>1811000411</v>
      </c>
      <c r="B455" s="120">
        <v>81</v>
      </c>
      <c r="C455" s="121" t="s">
        <v>22</v>
      </c>
      <c r="D455" s="121" t="s">
        <v>33</v>
      </c>
      <c r="E455" s="121"/>
      <c r="F455" s="121" t="s">
        <v>401</v>
      </c>
      <c r="G455" s="122">
        <v>52011.519999999997</v>
      </c>
      <c r="H455" s="122">
        <v>80000</v>
      </c>
      <c r="I455" s="122">
        <v>33199.656000000003</v>
      </c>
      <c r="J455" s="122">
        <v>80000</v>
      </c>
      <c r="K455" s="122">
        <v>80000</v>
      </c>
      <c r="L455" s="123"/>
      <c r="M455" s="123"/>
      <c r="N455" s="123"/>
      <c r="O455" s="226">
        <v>83751.64</v>
      </c>
      <c r="P455" s="122">
        <v>80000</v>
      </c>
      <c r="Q455" s="122">
        <v>12</v>
      </c>
      <c r="R455" s="122">
        <v>12</v>
      </c>
      <c r="S455" s="441">
        <f t="shared" si="108"/>
        <v>80000</v>
      </c>
      <c r="T455" s="432">
        <f t="shared" ref="T455:T511" si="110">P455-K455</f>
        <v>0</v>
      </c>
      <c r="U455" s="62">
        <f t="shared" ref="U455:U511" si="111">S455-K455</f>
        <v>0</v>
      </c>
      <c r="V455" s="62">
        <f t="shared" si="109"/>
        <v>0</v>
      </c>
      <c r="W455" s="338" t="s">
        <v>886</v>
      </c>
    </row>
    <row r="456" spans="1:24" ht="50.15" customHeight="1" x14ac:dyDescent="0.6">
      <c r="A456" s="440">
        <v>1811000420</v>
      </c>
      <c r="B456" s="120">
        <v>81</v>
      </c>
      <c r="C456" s="121" t="s">
        <v>22</v>
      </c>
      <c r="D456" s="121" t="s">
        <v>33</v>
      </c>
      <c r="E456" s="121"/>
      <c r="F456" s="121" t="s">
        <v>402</v>
      </c>
      <c r="G456" s="122">
        <v>61889.43</v>
      </c>
      <c r="H456" s="122">
        <v>90000</v>
      </c>
      <c r="I456" s="122">
        <v>76085.040000000008</v>
      </c>
      <c r="J456" s="122">
        <v>100000</v>
      </c>
      <c r="K456" s="122">
        <v>90000</v>
      </c>
      <c r="L456" s="123"/>
      <c r="M456" s="123"/>
      <c r="N456" s="123"/>
      <c r="O456" s="226">
        <v>84565.48</v>
      </c>
      <c r="P456" s="122">
        <v>85000</v>
      </c>
      <c r="Q456" s="122">
        <v>12</v>
      </c>
      <c r="R456" s="122">
        <v>12</v>
      </c>
      <c r="S456" s="441">
        <f t="shared" si="108"/>
        <v>85000</v>
      </c>
      <c r="T456" s="432">
        <f t="shared" si="110"/>
        <v>-5000</v>
      </c>
      <c r="U456" s="62">
        <f t="shared" si="111"/>
        <v>-5000</v>
      </c>
      <c r="V456" s="62">
        <f t="shared" si="109"/>
        <v>0</v>
      </c>
      <c r="W456" s="338" t="s">
        <v>887</v>
      </c>
    </row>
    <row r="457" spans="1:24" ht="50.15" customHeight="1" x14ac:dyDescent="0.6">
      <c r="A457" s="440">
        <v>1811000440</v>
      </c>
      <c r="B457" s="120">
        <v>81</v>
      </c>
      <c r="C457" s="121" t="s">
        <v>22</v>
      </c>
      <c r="D457" s="121" t="s">
        <v>33</v>
      </c>
      <c r="E457" s="121"/>
      <c r="F457" s="121" t="s">
        <v>403</v>
      </c>
      <c r="G457" s="122">
        <v>217314.8</v>
      </c>
      <c r="H457" s="122">
        <v>220000</v>
      </c>
      <c r="I457" s="122">
        <v>220000</v>
      </c>
      <c r="J457" s="122">
        <v>225400</v>
      </c>
      <c r="K457" s="122">
        <v>220000</v>
      </c>
      <c r="L457" s="123"/>
      <c r="M457" s="123"/>
      <c r="N457" s="123"/>
      <c r="O457" s="226">
        <v>153419</v>
      </c>
      <c r="P457" s="122">
        <v>160000</v>
      </c>
      <c r="Q457" s="122">
        <v>12</v>
      </c>
      <c r="R457" s="122">
        <v>12</v>
      </c>
      <c r="S457" s="441">
        <f t="shared" si="108"/>
        <v>160000</v>
      </c>
      <c r="T457" s="432">
        <f t="shared" si="110"/>
        <v>-60000</v>
      </c>
      <c r="U457" s="62">
        <f t="shared" si="111"/>
        <v>-60000</v>
      </c>
      <c r="V457" s="62">
        <f t="shared" si="109"/>
        <v>0</v>
      </c>
      <c r="W457" s="338" t="s">
        <v>888</v>
      </c>
    </row>
    <row r="458" spans="1:24" ht="50.15" customHeight="1" x14ac:dyDescent="0.6">
      <c r="A458" s="440">
        <v>1811000444</v>
      </c>
      <c r="B458" s="120">
        <v>81</v>
      </c>
      <c r="C458" s="121" t="s">
        <v>22</v>
      </c>
      <c r="D458" s="121" t="s">
        <v>33</v>
      </c>
      <c r="E458" s="121"/>
      <c r="F458" s="121" t="s">
        <v>404</v>
      </c>
      <c r="G458" s="122">
        <v>188429.03</v>
      </c>
      <c r="H458" s="122">
        <v>180000</v>
      </c>
      <c r="I458" s="122">
        <v>168356.55599999998</v>
      </c>
      <c r="J458" s="122">
        <v>180000</v>
      </c>
      <c r="K458" s="122">
        <v>180000</v>
      </c>
      <c r="L458" s="123"/>
      <c r="M458" s="123"/>
      <c r="N458" s="123"/>
      <c r="O458" s="226">
        <v>164797.13</v>
      </c>
      <c r="P458" s="122">
        <v>165000</v>
      </c>
      <c r="Q458" s="122">
        <v>12</v>
      </c>
      <c r="R458" s="122">
        <v>12</v>
      </c>
      <c r="S458" s="441">
        <f t="shared" si="108"/>
        <v>165000</v>
      </c>
      <c r="T458" s="432">
        <f t="shared" si="110"/>
        <v>-15000</v>
      </c>
      <c r="U458" s="62">
        <f t="shared" si="111"/>
        <v>-15000</v>
      </c>
      <c r="V458" s="62">
        <f t="shared" si="109"/>
        <v>0</v>
      </c>
      <c r="W458" s="338" t="s">
        <v>889</v>
      </c>
    </row>
    <row r="459" spans="1:24" ht="50.15" customHeight="1" x14ac:dyDescent="0.6">
      <c r="A459" s="440">
        <v>1811000540</v>
      </c>
      <c r="B459" s="120">
        <v>81</v>
      </c>
      <c r="C459" s="121" t="s">
        <v>22</v>
      </c>
      <c r="D459" s="121" t="s">
        <v>33</v>
      </c>
      <c r="E459" s="121"/>
      <c r="F459" s="121" t="s">
        <v>405</v>
      </c>
      <c r="G459" s="122">
        <v>2756.38</v>
      </c>
      <c r="H459" s="122">
        <v>2000</v>
      </c>
      <c r="I459" s="122">
        <v>2000</v>
      </c>
      <c r="J459" s="122">
        <v>2000</v>
      </c>
      <c r="K459" s="122">
        <v>2000</v>
      </c>
      <c r="L459" s="123"/>
      <c r="M459" s="123"/>
      <c r="N459" s="123"/>
      <c r="O459" s="122">
        <v>3800</v>
      </c>
      <c r="P459" s="122">
        <v>3800</v>
      </c>
      <c r="Q459" s="122">
        <v>12</v>
      </c>
      <c r="R459" s="122">
        <v>12</v>
      </c>
      <c r="S459" s="441">
        <f t="shared" si="108"/>
        <v>3800</v>
      </c>
      <c r="T459" s="432">
        <f t="shared" si="110"/>
        <v>1800</v>
      </c>
      <c r="U459" s="62">
        <f t="shared" si="111"/>
        <v>1800</v>
      </c>
      <c r="V459" s="62">
        <f t="shared" si="109"/>
        <v>0</v>
      </c>
    </row>
    <row r="460" spans="1:24" ht="50.15" customHeight="1" x14ac:dyDescent="0.6">
      <c r="A460" s="440">
        <v>1811000750</v>
      </c>
      <c r="B460" s="120">
        <v>81</v>
      </c>
      <c r="C460" s="121" t="s">
        <v>22</v>
      </c>
      <c r="D460" s="121" t="s">
        <v>33</v>
      </c>
      <c r="E460" s="121"/>
      <c r="F460" s="121" t="s">
        <v>406</v>
      </c>
      <c r="G460" s="122">
        <v>221417.25</v>
      </c>
      <c r="H460" s="122">
        <v>200000</v>
      </c>
      <c r="I460" s="122">
        <v>120000</v>
      </c>
      <c r="J460" s="122">
        <v>160000</v>
      </c>
      <c r="K460" s="122">
        <v>200000</v>
      </c>
      <c r="L460" s="123"/>
      <c r="M460" s="123"/>
      <c r="N460" s="123"/>
      <c r="O460" s="226">
        <v>176458.01</v>
      </c>
      <c r="P460" s="122">
        <v>175000</v>
      </c>
      <c r="Q460" s="122">
        <v>12</v>
      </c>
      <c r="R460" s="122">
        <v>12</v>
      </c>
      <c r="S460" s="441">
        <f t="shared" si="108"/>
        <v>175000</v>
      </c>
      <c r="T460" s="432">
        <f t="shared" si="110"/>
        <v>-25000</v>
      </c>
      <c r="U460" s="62">
        <f t="shared" si="111"/>
        <v>-25000</v>
      </c>
      <c r="V460" s="62">
        <f t="shared" si="109"/>
        <v>0</v>
      </c>
      <c r="W460" s="338" t="s">
        <v>890</v>
      </c>
    </row>
    <row r="461" spans="1:24" ht="50.15" customHeight="1" x14ac:dyDescent="0.6">
      <c r="A461" s="440">
        <v>1811000751</v>
      </c>
      <c r="B461" s="120">
        <v>81</v>
      </c>
      <c r="C461" s="121" t="s">
        <v>22</v>
      </c>
      <c r="D461" s="121" t="s">
        <v>33</v>
      </c>
      <c r="E461" s="121"/>
      <c r="F461" s="121" t="s">
        <v>407</v>
      </c>
      <c r="G461" s="122">
        <v>144340.56</v>
      </c>
      <c r="H461" s="122">
        <v>150000</v>
      </c>
      <c r="I461" s="122">
        <v>150000</v>
      </c>
      <c r="J461" s="122">
        <v>160200</v>
      </c>
      <c r="K461" s="122">
        <v>150000</v>
      </c>
      <c r="L461" s="123"/>
      <c r="M461" s="123"/>
      <c r="N461" s="123"/>
      <c r="O461" s="226">
        <v>225358.75</v>
      </c>
      <c r="P461" s="122">
        <v>225000</v>
      </c>
      <c r="Q461" s="122">
        <v>12</v>
      </c>
      <c r="R461" s="122">
        <v>12</v>
      </c>
      <c r="S461" s="441">
        <f t="shared" si="108"/>
        <v>225000</v>
      </c>
      <c r="T461" s="432">
        <f t="shared" si="110"/>
        <v>75000</v>
      </c>
      <c r="U461" s="62">
        <f t="shared" si="111"/>
        <v>75000</v>
      </c>
      <c r="V461" s="62">
        <f t="shared" si="109"/>
        <v>0</v>
      </c>
      <c r="W461" s="153" t="s">
        <v>759</v>
      </c>
    </row>
    <row r="462" spans="1:24" ht="50.15" customHeight="1" x14ac:dyDescent="0.6">
      <c r="A462" s="440">
        <v>1811000752</v>
      </c>
      <c r="B462" s="120">
        <v>81</v>
      </c>
      <c r="C462" s="121" t="s">
        <v>22</v>
      </c>
      <c r="D462" s="121" t="s">
        <v>33</v>
      </c>
      <c r="E462" s="121"/>
      <c r="F462" s="121" t="s">
        <v>408</v>
      </c>
      <c r="G462" s="122">
        <v>-508</v>
      </c>
      <c r="H462" s="122">
        <v>70000</v>
      </c>
      <c r="I462" s="122">
        <v>116941.36799999999</v>
      </c>
      <c r="J462" s="122">
        <v>120000</v>
      </c>
      <c r="K462" s="122">
        <v>70000</v>
      </c>
      <c r="L462" s="123"/>
      <c r="M462" s="123"/>
      <c r="N462" s="123"/>
      <c r="O462" s="226">
        <v>107767.14</v>
      </c>
      <c r="P462" s="122">
        <v>108000</v>
      </c>
      <c r="Q462" s="122">
        <v>12</v>
      </c>
      <c r="R462" s="122">
        <v>12</v>
      </c>
      <c r="S462" s="441">
        <f t="shared" si="108"/>
        <v>108000</v>
      </c>
      <c r="T462" s="432">
        <f t="shared" si="110"/>
        <v>38000</v>
      </c>
      <c r="U462" s="62">
        <f t="shared" si="111"/>
        <v>38000</v>
      </c>
      <c r="V462" s="62">
        <f t="shared" si="109"/>
        <v>0</v>
      </c>
    </row>
    <row r="463" spans="1:24" ht="50.15" customHeight="1" x14ac:dyDescent="0.6">
      <c r="A463" s="440">
        <v>1811000753</v>
      </c>
      <c r="B463" s="120">
        <v>81</v>
      </c>
      <c r="C463" s="121" t="s">
        <v>22</v>
      </c>
      <c r="D463" s="121" t="s">
        <v>33</v>
      </c>
      <c r="E463" s="121"/>
      <c r="F463" s="121" t="s">
        <v>409</v>
      </c>
      <c r="G463" s="122">
        <v>684043.07</v>
      </c>
      <c r="H463" s="122">
        <v>685000</v>
      </c>
      <c r="I463" s="122">
        <v>592995.99600000004</v>
      </c>
      <c r="J463" s="122">
        <v>685000</v>
      </c>
      <c r="K463" s="122">
        <v>559109</v>
      </c>
      <c r="L463" s="123"/>
      <c r="M463" s="123"/>
      <c r="N463" s="123"/>
      <c r="O463" s="226">
        <v>692819.78</v>
      </c>
      <c r="P463" s="122">
        <v>685000</v>
      </c>
      <c r="Q463" s="122">
        <v>12</v>
      </c>
      <c r="R463" s="122">
        <v>12</v>
      </c>
      <c r="S463" s="441">
        <f t="shared" si="108"/>
        <v>685000</v>
      </c>
      <c r="T463" s="432">
        <f t="shared" si="110"/>
        <v>125891</v>
      </c>
      <c r="U463" s="62">
        <f t="shared" si="111"/>
        <v>125891</v>
      </c>
      <c r="V463" s="62">
        <f t="shared" si="109"/>
        <v>0</v>
      </c>
    </row>
    <row r="464" spans="1:24" ht="50.15" customHeight="1" x14ac:dyDescent="0.6">
      <c r="A464" s="440">
        <v>1811000770</v>
      </c>
      <c r="B464" s="120">
        <v>81</v>
      </c>
      <c r="C464" s="121" t="s">
        <v>22</v>
      </c>
      <c r="D464" s="121" t="s">
        <v>33</v>
      </c>
      <c r="E464" s="121"/>
      <c r="F464" s="121" t="s">
        <v>410</v>
      </c>
      <c r="G464" s="122">
        <v>2486112.98</v>
      </c>
      <c r="H464" s="122">
        <v>2490000</v>
      </c>
      <c r="I464" s="122">
        <v>2600000</v>
      </c>
      <c r="J464" s="122">
        <v>2611833</v>
      </c>
      <c r="K464" s="122">
        <v>2590000</v>
      </c>
      <c r="L464" s="123"/>
      <c r="M464" s="123"/>
      <c r="N464" s="123"/>
      <c r="O464" s="226">
        <f>3038638.77-400000</f>
        <v>2638638.77</v>
      </c>
      <c r="P464" s="122">
        <v>2640000</v>
      </c>
      <c r="Q464" s="122">
        <v>10</v>
      </c>
      <c r="R464" s="122">
        <v>12</v>
      </c>
      <c r="S464" s="441">
        <f t="shared" si="108"/>
        <v>2200000</v>
      </c>
      <c r="T464" s="432">
        <f t="shared" si="110"/>
        <v>50000</v>
      </c>
      <c r="U464" s="62">
        <f t="shared" si="111"/>
        <v>-390000</v>
      </c>
      <c r="V464" s="62">
        <f t="shared" si="109"/>
        <v>-440000</v>
      </c>
      <c r="X464" s="239" t="s">
        <v>891</v>
      </c>
    </row>
    <row r="465" spans="1:24" ht="50.15" customHeight="1" x14ac:dyDescent="0.6">
      <c r="A465" s="440">
        <v>1811000771</v>
      </c>
      <c r="B465" s="120">
        <v>81</v>
      </c>
      <c r="C465" s="121" t="s">
        <v>22</v>
      </c>
      <c r="D465" s="121" t="s">
        <v>33</v>
      </c>
      <c r="E465" s="121"/>
      <c r="F465" s="121" t="s">
        <v>84</v>
      </c>
      <c r="G465" s="122">
        <v>876717.1</v>
      </c>
      <c r="H465" s="122">
        <v>950000</v>
      </c>
      <c r="I465" s="122">
        <v>950000</v>
      </c>
      <c r="J465" s="122">
        <v>1000000</v>
      </c>
      <c r="K465" s="122">
        <v>950000</v>
      </c>
      <c r="L465" s="123"/>
      <c r="M465" s="123"/>
      <c r="N465" s="123"/>
      <c r="O465" s="226">
        <v>870067.74</v>
      </c>
      <c r="P465" s="122">
        <v>1000000</v>
      </c>
      <c r="Q465" s="122">
        <v>12</v>
      </c>
      <c r="R465" s="122">
        <v>12</v>
      </c>
      <c r="S465" s="441">
        <f>P465*Q465/R465-20000</f>
        <v>980000</v>
      </c>
      <c r="T465" s="432">
        <f t="shared" si="110"/>
        <v>50000</v>
      </c>
      <c r="U465" s="62">
        <f t="shared" si="111"/>
        <v>30000</v>
      </c>
      <c r="V465" s="62">
        <f t="shared" si="109"/>
        <v>-20000</v>
      </c>
    </row>
    <row r="466" spans="1:24" ht="50.15" customHeight="1" x14ac:dyDescent="0.6">
      <c r="A466" s="440">
        <v>1811000780</v>
      </c>
      <c r="B466" s="120">
        <v>81</v>
      </c>
      <c r="C466" s="121" t="s">
        <v>22</v>
      </c>
      <c r="D466" s="121" t="s">
        <v>33</v>
      </c>
      <c r="E466" s="121"/>
      <c r="F466" s="121" t="s">
        <v>411</v>
      </c>
      <c r="G466" s="122">
        <v>96336</v>
      </c>
      <c r="H466" s="122">
        <v>100000</v>
      </c>
      <c r="I466" s="122">
        <v>70000</v>
      </c>
      <c r="J466" s="122">
        <v>80000</v>
      </c>
      <c r="K466" s="122">
        <v>100000</v>
      </c>
      <c r="L466" s="123"/>
      <c r="M466" s="123"/>
      <c r="N466" s="123"/>
      <c r="O466" s="226">
        <v>85170.5</v>
      </c>
      <c r="P466" s="122">
        <v>85000</v>
      </c>
      <c r="Q466" s="122">
        <v>12</v>
      </c>
      <c r="R466" s="122">
        <v>12</v>
      </c>
      <c r="S466" s="441">
        <f t="shared" si="108"/>
        <v>85000</v>
      </c>
      <c r="T466" s="432">
        <f t="shared" si="110"/>
        <v>-15000</v>
      </c>
      <c r="U466" s="62">
        <f t="shared" si="111"/>
        <v>-15000</v>
      </c>
      <c r="V466" s="62">
        <f t="shared" si="109"/>
        <v>0</v>
      </c>
    </row>
    <row r="467" spans="1:24" s="243" customFormat="1" ht="50.15" customHeight="1" x14ac:dyDescent="0.6">
      <c r="A467" s="440">
        <v>1811000781</v>
      </c>
      <c r="B467" s="120">
        <v>81</v>
      </c>
      <c r="C467" s="121" t="s">
        <v>22</v>
      </c>
      <c r="D467" s="121" t="s">
        <v>33</v>
      </c>
      <c r="E467" s="121"/>
      <c r="F467" s="121" t="s">
        <v>412</v>
      </c>
      <c r="G467" s="122">
        <v>118557</v>
      </c>
      <c r="H467" s="122">
        <v>180000</v>
      </c>
      <c r="I467" s="122">
        <v>120000</v>
      </c>
      <c r="J467" s="122">
        <v>120000</v>
      </c>
      <c r="K467" s="122">
        <v>180000</v>
      </c>
      <c r="L467" s="123"/>
      <c r="M467" s="123"/>
      <c r="N467" s="123"/>
      <c r="O467" s="226">
        <v>115374</v>
      </c>
      <c r="P467" s="122">
        <v>120000</v>
      </c>
      <c r="Q467" s="122">
        <v>10</v>
      </c>
      <c r="R467" s="122">
        <v>12</v>
      </c>
      <c r="S467" s="441">
        <f t="shared" si="108"/>
        <v>100000</v>
      </c>
      <c r="T467" s="432">
        <f t="shared" si="110"/>
        <v>-60000</v>
      </c>
      <c r="U467" s="62">
        <f t="shared" si="111"/>
        <v>-80000</v>
      </c>
      <c r="V467" s="62">
        <f t="shared" si="109"/>
        <v>-20000</v>
      </c>
      <c r="W467" s="156"/>
    </row>
    <row r="468" spans="1:24" ht="50.15" customHeight="1" x14ac:dyDescent="0.6">
      <c r="A468" s="440">
        <v>1811000783</v>
      </c>
      <c r="B468" s="120">
        <v>81</v>
      </c>
      <c r="C468" s="121" t="s">
        <v>22</v>
      </c>
      <c r="D468" s="121" t="s">
        <v>33</v>
      </c>
      <c r="E468" s="121"/>
      <c r="F468" s="121" t="s">
        <v>413</v>
      </c>
      <c r="G468" s="122">
        <v>10000</v>
      </c>
      <c r="H468" s="122">
        <v>10000</v>
      </c>
      <c r="I468" s="122">
        <v>28000</v>
      </c>
      <c r="J468" s="122">
        <v>18000</v>
      </c>
      <c r="K468" s="122">
        <v>10000</v>
      </c>
      <c r="L468" s="123"/>
      <c r="M468" s="123"/>
      <c r="N468" s="123"/>
      <c r="O468" s="226">
        <v>28000</v>
      </c>
      <c r="P468" s="122">
        <v>28000</v>
      </c>
      <c r="Q468" s="122">
        <v>12</v>
      </c>
      <c r="R468" s="122">
        <v>12</v>
      </c>
      <c r="S468" s="441">
        <f t="shared" si="108"/>
        <v>28000</v>
      </c>
      <c r="T468" s="432">
        <f t="shared" si="110"/>
        <v>18000</v>
      </c>
      <c r="U468" s="62">
        <f t="shared" si="111"/>
        <v>18000</v>
      </c>
      <c r="V468" s="62">
        <f t="shared" si="109"/>
        <v>0</v>
      </c>
    </row>
    <row r="469" spans="1:24" ht="50.15" customHeight="1" x14ac:dyDescent="0.6">
      <c r="A469" s="440">
        <v>1811000785</v>
      </c>
      <c r="B469" s="120">
        <v>81</v>
      </c>
      <c r="C469" s="121" t="s">
        <v>22</v>
      </c>
      <c r="D469" s="121" t="s">
        <v>33</v>
      </c>
      <c r="E469" s="121"/>
      <c r="F469" s="121" t="s">
        <v>414</v>
      </c>
      <c r="G469" s="122">
        <v>660771.81999999995</v>
      </c>
      <c r="H469" s="122">
        <v>534851.31000000006</v>
      </c>
      <c r="I469" s="122">
        <v>602274.10800000001</v>
      </c>
      <c r="J469" s="122">
        <v>400706</v>
      </c>
      <c r="K469" s="122">
        <v>534851.31333333335</v>
      </c>
      <c r="L469" s="123"/>
      <c r="M469" s="123"/>
      <c r="N469" s="123"/>
      <c r="O469" s="226">
        <v>639850.18000000005</v>
      </c>
      <c r="P469" s="122">
        <v>534851</v>
      </c>
      <c r="Q469" s="122">
        <v>10.5</v>
      </c>
      <c r="R469" s="122">
        <v>12</v>
      </c>
      <c r="S469" s="441">
        <f t="shared" si="108"/>
        <v>467994.625</v>
      </c>
      <c r="T469" s="432">
        <f t="shared" si="110"/>
        <v>-0.31333333335351199</v>
      </c>
      <c r="U469" s="62">
        <f t="shared" si="111"/>
        <v>-66856.688333333354</v>
      </c>
      <c r="V469" s="62">
        <f t="shared" si="109"/>
        <v>-66856.375</v>
      </c>
      <c r="W469" s="338" t="s">
        <v>780</v>
      </c>
      <c r="X469" s="239" t="s">
        <v>962</v>
      </c>
    </row>
    <row r="470" spans="1:24" ht="50.15" customHeight="1" x14ac:dyDescent="0.6">
      <c r="A470" s="440">
        <v>1812100110</v>
      </c>
      <c r="B470" s="120">
        <v>81</v>
      </c>
      <c r="C470" s="121" t="s">
        <v>21</v>
      </c>
      <c r="D470" s="121" t="s">
        <v>33</v>
      </c>
      <c r="E470" s="121" t="s">
        <v>583</v>
      </c>
      <c r="F470" s="121" t="s">
        <v>415</v>
      </c>
      <c r="G470" s="122">
        <v>215556.68</v>
      </c>
      <c r="H470" s="122">
        <v>183552.59</v>
      </c>
      <c r="I470" s="122">
        <v>175375.68048000004</v>
      </c>
      <c r="J470" s="122">
        <v>119169.43</v>
      </c>
      <c r="K470" s="122">
        <v>187535.67749288466</v>
      </c>
      <c r="L470" s="123">
        <v>1</v>
      </c>
      <c r="M470" s="123">
        <v>1</v>
      </c>
      <c r="N470" s="123">
        <f>ריכוז!K33</f>
        <v>0</v>
      </c>
      <c r="O470" s="226">
        <v>171520.99</v>
      </c>
      <c r="P470" s="122">
        <f>ריכוז!M33</f>
        <v>59585</v>
      </c>
      <c r="Q470" s="122">
        <v>12</v>
      </c>
      <c r="R470" s="122">
        <v>12</v>
      </c>
      <c r="S470" s="441">
        <f t="shared" si="108"/>
        <v>59585</v>
      </c>
      <c r="T470" s="432">
        <f t="shared" si="110"/>
        <v>-127950.67749288466</v>
      </c>
      <c r="U470" s="62">
        <f t="shared" si="111"/>
        <v>-127950.67749288466</v>
      </c>
      <c r="V470" s="62">
        <f t="shared" si="109"/>
        <v>0</v>
      </c>
      <c r="W470" s="153" t="s">
        <v>918</v>
      </c>
    </row>
    <row r="471" spans="1:24" s="243" customFormat="1" ht="50.15" customHeight="1" x14ac:dyDescent="0.6">
      <c r="A471" s="440">
        <v>1812200110</v>
      </c>
      <c r="B471" s="120">
        <v>81</v>
      </c>
      <c r="C471" s="121" t="s">
        <v>21</v>
      </c>
      <c r="D471" s="121" t="s">
        <v>33</v>
      </c>
      <c r="E471" s="121" t="s">
        <v>583</v>
      </c>
      <c r="F471" s="121" t="s">
        <v>416</v>
      </c>
      <c r="G471" s="122">
        <f>7304337.04+1868087.2</f>
        <v>9172424.2400000002</v>
      </c>
      <c r="H471" s="122">
        <f>7400306.6+1861406.7+13395.05</f>
        <v>9275108.3499999996</v>
      </c>
      <c r="I471" s="122">
        <f>6274000+2379000</f>
        <v>8653000</v>
      </c>
      <c r="J471" s="122">
        <f>6447623.59536667+2208509.8047</f>
        <v>8656133.40006667</v>
      </c>
      <c r="K471" s="122">
        <v>7041456.8306317618</v>
      </c>
      <c r="L471" s="123">
        <v>51.52999999999998</v>
      </c>
      <c r="M471" s="123">
        <v>50.985999999999983</v>
      </c>
      <c r="N471" s="123">
        <f>ריכוז!K34</f>
        <v>44.762666666666654</v>
      </c>
      <c r="O471" s="226">
        <v>6809100</v>
      </c>
      <c r="P471" s="122">
        <f>ריכוז!M34</f>
        <v>6455267.3200000022</v>
      </c>
      <c r="Q471" s="122">
        <v>12</v>
      </c>
      <c r="R471" s="122">
        <v>12</v>
      </c>
      <c r="S471" s="441">
        <f t="shared" si="108"/>
        <v>6455267.3200000031</v>
      </c>
      <c r="T471" s="432">
        <f t="shared" si="110"/>
        <v>-586189.51063175965</v>
      </c>
      <c r="U471" s="62">
        <f t="shared" si="111"/>
        <v>-586189.51063175872</v>
      </c>
      <c r="V471" s="62">
        <f t="shared" si="109"/>
        <v>0</v>
      </c>
      <c r="W471" s="156"/>
    </row>
    <row r="472" spans="1:24" ht="50.15" customHeight="1" x14ac:dyDescent="0.6">
      <c r="A472" s="440">
        <v>1812200431</v>
      </c>
      <c r="B472" s="120">
        <v>81</v>
      </c>
      <c r="C472" s="121" t="s">
        <v>22</v>
      </c>
      <c r="D472" s="121" t="s">
        <v>33</v>
      </c>
      <c r="E472" s="121"/>
      <c r="F472" s="121" t="s">
        <v>417</v>
      </c>
      <c r="G472" s="122">
        <v>275530.68</v>
      </c>
      <c r="H472" s="122">
        <v>266709.99</v>
      </c>
      <c r="I472" s="122">
        <v>250000</v>
      </c>
      <c r="J472" s="122">
        <v>250000</v>
      </c>
      <c r="K472" s="122">
        <v>247899.91888000001</v>
      </c>
      <c r="L472" s="123"/>
      <c r="M472" s="123"/>
      <c r="N472" s="123"/>
      <c r="O472" s="226">
        <v>272992.24</v>
      </c>
      <c r="P472" s="122">
        <v>280000</v>
      </c>
      <c r="Q472" s="122">
        <v>10</v>
      </c>
      <c r="R472" s="122">
        <v>12</v>
      </c>
      <c r="S472" s="441">
        <f t="shared" si="108"/>
        <v>233333.33333333334</v>
      </c>
      <c r="T472" s="432">
        <f t="shared" si="110"/>
        <v>32100.081119999988</v>
      </c>
      <c r="U472" s="62">
        <f t="shared" si="111"/>
        <v>-14566.585546666669</v>
      </c>
      <c r="V472" s="62">
        <f t="shared" si="109"/>
        <v>-46666.666666666657</v>
      </c>
    </row>
    <row r="473" spans="1:24" ht="50.15" customHeight="1" x14ac:dyDescent="0.6">
      <c r="A473" s="440">
        <v>1812200432</v>
      </c>
      <c r="B473" s="120">
        <v>81</v>
      </c>
      <c r="C473" s="121" t="s">
        <v>22</v>
      </c>
      <c r="D473" s="121" t="s">
        <v>33</v>
      </c>
      <c r="E473" s="121"/>
      <c r="F473" s="121" t="s">
        <v>418</v>
      </c>
      <c r="G473" s="122">
        <v>153952.76</v>
      </c>
      <c r="H473" s="122">
        <v>198769.23</v>
      </c>
      <c r="I473" s="122">
        <v>150000</v>
      </c>
      <c r="J473" s="122">
        <v>140000</v>
      </c>
      <c r="K473" s="122">
        <v>184750.76923076925</v>
      </c>
      <c r="L473" s="123"/>
      <c r="M473" s="123"/>
      <c r="N473" s="123"/>
      <c r="O473" s="226">
        <v>181954.89</v>
      </c>
      <c r="P473" s="122">
        <v>182000</v>
      </c>
      <c r="Q473" s="122">
        <v>10</v>
      </c>
      <c r="R473" s="122">
        <v>12</v>
      </c>
      <c r="S473" s="441">
        <f t="shared" si="108"/>
        <v>151666.66666666666</v>
      </c>
      <c r="T473" s="432">
        <f t="shared" si="110"/>
        <v>-2750.7692307692487</v>
      </c>
      <c r="U473" s="62">
        <f t="shared" si="111"/>
        <v>-33084.102564102592</v>
      </c>
      <c r="V473" s="62">
        <f t="shared" si="109"/>
        <v>-30333.333333333343</v>
      </c>
    </row>
    <row r="474" spans="1:24" ht="50.15" customHeight="1" x14ac:dyDescent="0.6">
      <c r="A474" s="440">
        <v>1812200540</v>
      </c>
      <c r="B474" s="120">
        <v>81</v>
      </c>
      <c r="C474" s="121" t="s">
        <v>22</v>
      </c>
      <c r="D474" s="121" t="s">
        <v>33</v>
      </c>
      <c r="E474" s="121"/>
      <c r="F474" s="121" t="s">
        <v>419</v>
      </c>
      <c r="G474" s="122">
        <v>72502.75</v>
      </c>
      <c r="H474" s="122">
        <v>46282.05</v>
      </c>
      <c r="I474" s="122">
        <v>50000</v>
      </c>
      <c r="J474" s="122">
        <v>48000</v>
      </c>
      <c r="K474" s="122">
        <v>43017.948717948719</v>
      </c>
      <c r="L474" s="123"/>
      <c r="M474" s="123"/>
      <c r="N474" s="123"/>
      <c r="O474" s="122">
        <v>49800</v>
      </c>
      <c r="P474" s="122">
        <v>49800</v>
      </c>
      <c r="Q474" s="122">
        <v>12</v>
      </c>
      <c r="R474" s="122">
        <v>12</v>
      </c>
      <c r="S474" s="441">
        <f t="shared" si="108"/>
        <v>49800</v>
      </c>
      <c r="T474" s="432">
        <f t="shared" si="110"/>
        <v>6782.0512820512813</v>
      </c>
      <c r="U474" s="62">
        <f t="shared" si="111"/>
        <v>6782.0512820512813</v>
      </c>
      <c r="V474" s="62">
        <f t="shared" si="109"/>
        <v>0</v>
      </c>
    </row>
    <row r="475" spans="1:24" ht="50.15" customHeight="1" x14ac:dyDescent="0.6">
      <c r="A475" s="440">
        <v>1812200750</v>
      </c>
      <c r="B475" s="120">
        <v>81</v>
      </c>
      <c r="C475" s="121" t="s">
        <v>22</v>
      </c>
      <c r="D475" s="121" t="s">
        <v>33</v>
      </c>
      <c r="E475" s="121"/>
      <c r="F475" s="121" t="s">
        <v>420</v>
      </c>
      <c r="G475" s="122" t="s">
        <v>8</v>
      </c>
      <c r="H475" s="122">
        <v>0</v>
      </c>
      <c r="I475" s="122">
        <v>453680.64000000001</v>
      </c>
      <c r="J475" s="122">
        <v>458000</v>
      </c>
      <c r="K475" s="122" t="s">
        <v>607</v>
      </c>
      <c r="L475" s="123"/>
      <c r="M475" s="123"/>
      <c r="N475" s="123"/>
      <c r="O475" s="226">
        <v>378067.20000000001</v>
      </c>
      <c r="P475" s="122">
        <v>380000</v>
      </c>
      <c r="Q475" s="122">
        <v>12</v>
      </c>
      <c r="R475" s="122">
        <v>12</v>
      </c>
      <c r="S475" s="441">
        <f t="shared" si="108"/>
        <v>380000</v>
      </c>
      <c r="T475" s="432">
        <f t="shared" si="110"/>
        <v>380000</v>
      </c>
      <c r="U475" s="62">
        <f t="shared" si="111"/>
        <v>380000</v>
      </c>
      <c r="V475" s="62">
        <f t="shared" si="109"/>
        <v>0</v>
      </c>
      <c r="W475" s="338" t="s">
        <v>892</v>
      </c>
    </row>
    <row r="476" spans="1:24" ht="50.15" customHeight="1" x14ac:dyDescent="0.6">
      <c r="A476" s="440">
        <v>1812200751</v>
      </c>
      <c r="B476" s="120">
        <v>81</v>
      </c>
      <c r="C476" s="121" t="s">
        <v>22</v>
      </c>
      <c r="D476" s="121" t="s">
        <v>33</v>
      </c>
      <c r="E476" s="121"/>
      <c r="F476" s="121" t="s">
        <v>421</v>
      </c>
      <c r="G476" s="122">
        <v>1842065.67</v>
      </c>
      <c r="H476" s="122">
        <v>1926000</v>
      </c>
      <c r="I476" s="122">
        <v>1519331.4240000001</v>
      </c>
      <c r="J476" s="122">
        <v>1565000</v>
      </c>
      <c r="K476" s="122">
        <v>2026000</v>
      </c>
      <c r="L476" s="123"/>
      <c r="M476" s="123"/>
      <c r="N476" s="123"/>
      <c r="O476" s="226">
        <v>1415800.06</v>
      </c>
      <c r="P476" s="122">
        <f>1450000+115000</f>
        <v>1565000</v>
      </c>
      <c r="Q476" s="122">
        <v>12</v>
      </c>
      <c r="R476" s="122">
        <v>12</v>
      </c>
      <c r="S476" s="441">
        <f t="shared" si="108"/>
        <v>1565000</v>
      </c>
      <c r="T476" s="432">
        <f t="shared" si="110"/>
        <v>-461000</v>
      </c>
      <c r="U476" s="62">
        <f t="shared" si="111"/>
        <v>-461000</v>
      </c>
      <c r="V476" s="62">
        <f t="shared" si="109"/>
        <v>0</v>
      </c>
      <c r="W476" s="338" t="s">
        <v>2156</v>
      </c>
    </row>
    <row r="477" spans="1:24" ht="50.15" customHeight="1" x14ac:dyDescent="0.6">
      <c r="A477" s="440">
        <v>1812200770</v>
      </c>
      <c r="B477" s="120">
        <v>81</v>
      </c>
      <c r="C477" s="121" t="s">
        <v>22</v>
      </c>
      <c r="D477" s="121" t="s">
        <v>33</v>
      </c>
      <c r="E477" s="121"/>
      <c r="F477" s="121" t="s">
        <v>422</v>
      </c>
      <c r="G477" s="122">
        <v>6451785.7300000004</v>
      </c>
      <c r="H477" s="122">
        <v>5202877.5</v>
      </c>
      <c r="I477" s="122">
        <v>6680513.9039999992</v>
      </c>
      <c r="J477" s="122">
        <v>6260085.010819355</v>
      </c>
      <c r="K477" s="122">
        <v>4842930</v>
      </c>
      <c r="L477" s="123"/>
      <c r="M477" s="123"/>
      <c r="N477" s="123"/>
      <c r="O477" s="226">
        <v>6416594.3600000003</v>
      </c>
      <c r="P477" s="122">
        <v>6300000</v>
      </c>
      <c r="Q477" s="122">
        <v>12</v>
      </c>
      <c r="R477" s="122">
        <v>12</v>
      </c>
      <c r="S477" s="441">
        <f t="shared" si="108"/>
        <v>6300000</v>
      </c>
      <c r="T477" s="432">
        <f t="shared" si="110"/>
        <v>1457070</v>
      </c>
      <c r="U477" s="62">
        <f t="shared" si="111"/>
        <v>1457070</v>
      </c>
      <c r="V477" s="62">
        <f t="shared" si="109"/>
        <v>0</v>
      </c>
      <c r="W477" s="338" t="s">
        <v>893</v>
      </c>
    </row>
    <row r="478" spans="1:24" ht="43.5" customHeight="1" x14ac:dyDescent="0.6">
      <c r="A478" s="440">
        <v>1812200780</v>
      </c>
      <c r="B478" s="120">
        <v>81</v>
      </c>
      <c r="C478" s="121" t="s">
        <v>22</v>
      </c>
      <c r="D478" s="121" t="s">
        <v>33</v>
      </c>
      <c r="E478" s="121"/>
      <c r="F478" s="121" t="s">
        <v>423</v>
      </c>
      <c r="G478" s="122">
        <v>262867.62</v>
      </c>
      <c r="H478" s="122">
        <v>193589.74</v>
      </c>
      <c r="I478" s="122">
        <v>262662.37199999997</v>
      </c>
      <c r="J478" s="122">
        <v>198000</v>
      </c>
      <c r="K478" s="122">
        <v>226410.25641025644</v>
      </c>
      <c r="L478" s="123"/>
      <c r="M478" s="123"/>
      <c r="N478" s="123"/>
      <c r="O478" s="226">
        <v>235267.71</v>
      </c>
      <c r="P478" s="122">
        <v>220000</v>
      </c>
      <c r="Q478" s="122">
        <v>10</v>
      </c>
      <c r="R478" s="122">
        <v>12</v>
      </c>
      <c r="S478" s="441">
        <f t="shared" si="108"/>
        <v>183333.33333333334</v>
      </c>
      <c r="T478" s="432">
        <f t="shared" si="110"/>
        <v>-6410.2564102564356</v>
      </c>
      <c r="U478" s="62">
        <f t="shared" si="111"/>
        <v>-43076.923076923093</v>
      </c>
      <c r="V478" s="62">
        <f t="shared" si="109"/>
        <v>-36666.666666666657</v>
      </c>
      <c r="W478" s="153" t="s">
        <v>608</v>
      </c>
      <c r="X478" s="239" t="s">
        <v>884</v>
      </c>
    </row>
    <row r="479" spans="1:24" s="243" customFormat="1" ht="50.15" customHeight="1" x14ac:dyDescent="0.6">
      <c r="A479" s="440">
        <v>1812300110</v>
      </c>
      <c r="B479" s="120">
        <v>81</v>
      </c>
      <c r="C479" s="121" t="s">
        <v>21</v>
      </c>
      <c r="D479" s="121" t="s">
        <v>33</v>
      </c>
      <c r="E479" s="121" t="s">
        <v>583</v>
      </c>
      <c r="F479" s="121" t="s">
        <v>424</v>
      </c>
      <c r="G479" s="122"/>
      <c r="H479" s="122"/>
      <c r="I479" s="122"/>
      <c r="J479" s="122"/>
      <c r="K479" s="122">
        <f>1641060.36637395+13686</f>
        <v>1654746.3663739499</v>
      </c>
      <c r="L479" s="123">
        <v>14.951999999999996</v>
      </c>
      <c r="M479" s="123">
        <v>14.951999999999996</v>
      </c>
      <c r="N479" s="123">
        <f>ריכוז!K35</f>
        <v>17.399999999999999</v>
      </c>
      <c r="O479" s="226">
        <v>2379097.56</v>
      </c>
      <c r="P479" s="122">
        <f>ריכוז!M35</f>
        <v>2556261.2600000002</v>
      </c>
      <c r="Q479" s="122">
        <v>12</v>
      </c>
      <c r="R479" s="122">
        <v>12</v>
      </c>
      <c r="S479" s="441">
        <f t="shared" si="108"/>
        <v>2556261.2600000002</v>
      </c>
      <c r="T479" s="432">
        <f t="shared" si="110"/>
        <v>901514.89362605033</v>
      </c>
      <c r="U479" s="62">
        <f t="shared" si="111"/>
        <v>901514.89362605033</v>
      </c>
      <c r="V479" s="62">
        <f t="shared" si="109"/>
        <v>0</v>
      </c>
      <c r="W479" s="338" t="s">
        <v>949</v>
      </c>
    </row>
    <row r="480" spans="1:24" ht="50.15" customHeight="1" x14ac:dyDescent="0.6">
      <c r="A480" s="440">
        <v>1812300780</v>
      </c>
      <c r="B480" s="120">
        <v>81</v>
      </c>
      <c r="C480" s="121" t="s">
        <v>22</v>
      </c>
      <c r="D480" s="121" t="s">
        <v>33</v>
      </c>
      <c r="E480" s="121"/>
      <c r="F480" s="121" t="s">
        <v>425</v>
      </c>
      <c r="G480" s="122">
        <v>449299.17</v>
      </c>
      <c r="H480" s="122">
        <v>359450</v>
      </c>
      <c r="I480" s="122">
        <v>389274</v>
      </c>
      <c r="J480" s="122">
        <v>460800</v>
      </c>
      <c r="K480" s="122">
        <v>65994</v>
      </c>
      <c r="L480" s="123"/>
      <c r="M480" s="123"/>
      <c r="N480" s="123"/>
      <c r="O480" s="226">
        <v>438325</v>
      </c>
      <c r="P480" s="122">
        <v>440000</v>
      </c>
      <c r="Q480" s="122">
        <v>10</v>
      </c>
      <c r="R480" s="122">
        <v>12</v>
      </c>
      <c r="S480" s="441">
        <f t="shared" si="108"/>
        <v>366666.66666666669</v>
      </c>
      <c r="T480" s="432">
        <f t="shared" si="110"/>
        <v>374006</v>
      </c>
      <c r="U480" s="62">
        <f t="shared" si="111"/>
        <v>300672.66666666669</v>
      </c>
      <c r="V480" s="62">
        <f t="shared" si="109"/>
        <v>-73333.333333333314</v>
      </c>
      <c r="X480" s="239" t="s">
        <v>884</v>
      </c>
    </row>
    <row r="481" spans="1:24" ht="50.15" customHeight="1" x14ac:dyDescent="0.6">
      <c r="A481" s="440">
        <v>1812310110</v>
      </c>
      <c r="B481" s="120">
        <v>81</v>
      </c>
      <c r="C481" s="121" t="s">
        <v>21</v>
      </c>
      <c r="D481" s="121" t="s">
        <v>33</v>
      </c>
      <c r="E481" s="121" t="s">
        <v>583</v>
      </c>
      <c r="F481" s="121" t="s">
        <v>426</v>
      </c>
      <c r="G481" s="122">
        <v>0</v>
      </c>
      <c r="H481" s="122"/>
      <c r="I481" s="122">
        <v>0</v>
      </c>
      <c r="J481" s="122">
        <v>0</v>
      </c>
      <c r="K481" s="122"/>
      <c r="L481" s="123">
        <v>0</v>
      </c>
      <c r="M481" s="123">
        <v>0</v>
      </c>
      <c r="N481" s="123"/>
      <c r="O481" s="122">
        <v>0</v>
      </c>
      <c r="P481" s="122">
        <v>0</v>
      </c>
      <c r="Q481" s="122">
        <v>12</v>
      </c>
      <c r="R481" s="122">
        <v>12</v>
      </c>
      <c r="S481" s="441">
        <f t="shared" si="108"/>
        <v>0</v>
      </c>
      <c r="T481" s="432">
        <f t="shared" si="110"/>
        <v>0</v>
      </c>
      <c r="U481" s="62">
        <f t="shared" si="111"/>
        <v>0</v>
      </c>
      <c r="V481" s="62">
        <f t="shared" si="109"/>
        <v>0</v>
      </c>
    </row>
    <row r="482" spans="1:24" ht="50.15" customHeight="1" x14ac:dyDescent="0.6">
      <c r="A482" s="440">
        <v>1812400110</v>
      </c>
      <c r="B482" s="120">
        <v>81</v>
      </c>
      <c r="C482" s="121" t="s">
        <v>21</v>
      </c>
      <c r="D482" s="121" t="s">
        <v>33</v>
      </c>
      <c r="E482" s="121" t="s">
        <v>583</v>
      </c>
      <c r="F482" s="121" t="s">
        <v>427</v>
      </c>
      <c r="G482" s="122">
        <v>310271.38</v>
      </c>
      <c r="H482" s="122">
        <v>314398.69</v>
      </c>
      <c r="I482" s="122">
        <v>313000</v>
      </c>
      <c r="J482" s="122">
        <v>317883.84074999997</v>
      </c>
      <c r="K482" s="122">
        <v>318352.21262926335</v>
      </c>
      <c r="L482" s="123">
        <v>2.9</v>
      </c>
      <c r="M482" s="123">
        <v>2.9</v>
      </c>
      <c r="N482" s="123">
        <f>ריכוז!K37</f>
        <v>2.9</v>
      </c>
      <c r="O482" s="226">
        <v>314671.15999999997</v>
      </c>
      <c r="P482" s="122">
        <f>ריכוז!M37</f>
        <v>322563</v>
      </c>
      <c r="Q482" s="122">
        <v>12</v>
      </c>
      <c r="R482" s="122">
        <v>12</v>
      </c>
      <c r="S482" s="441">
        <f t="shared" si="108"/>
        <v>322563</v>
      </c>
      <c r="T482" s="432">
        <f t="shared" si="110"/>
        <v>4210.7873707366525</v>
      </c>
      <c r="U482" s="62">
        <f t="shared" si="111"/>
        <v>4210.7873707366525</v>
      </c>
      <c r="V482" s="62">
        <f t="shared" si="109"/>
        <v>0</v>
      </c>
    </row>
    <row r="483" spans="1:24" ht="50.15" customHeight="1" x14ac:dyDescent="0.6">
      <c r="A483" s="440">
        <v>1812400780</v>
      </c>
      <c r="B483" s="120">
        <v>81</v>
      </c>
      <c r="C483" s="121" t="s">
        <v>22</v>
      </c>
      <c r="D483" s="121" t="s">
        <v>33</v>
      </c>
      <c r="E483" s="121"/>
      <c r="F483" s="121" t="s">
        <v>428</v>
      </c>
      <c r="G483" s="122">
        <v>137563.46</v>
      </c>
      <c r="H483" s="122">
        <v>100000</v>
      </c>
      <c r="I483" s="122">
        <v>71835.432000000001</v>
      </c>
      <c r="J483" s="122">
        <v>103008</v>
      </c>
      <c r="K483" s="122">
        <v>100000</v>
      </c>
      <c r="L483" s="123"/>
      <c r="M483" s="123"/>
      <c r="N483" s="123"/>
      <c r="O483" s="226">
        <v>142034.81</v>
      </c>
      <c r="P483" s="122">
        <v>100000</v>
      </c>
      <c r="Q483" s="122">
        <v>12</v>
      </c>
      <c r="R483" s="122">
        <v>12</v>
      </c>
      <c r="S483" s="441">
        <f t="shared" si="108"/>
        <v>100000</v>
      </c>
      <c r="T483" s="432">
        <f t="shared" si="110"/>
        <v>0</v>
      </c>
      <c r="U483" s="62">
        <f t="shared" si="111"/>
        <v>0</v>
      </c>
      <c r="V483" s="62">
        <f t="shared" si="109"/>
        <v>0</v>
      </c>
    </row>
    <row r="484" spans="1:24" ht="50.15" customHeight="1" x14ac:dyDescent="0.6">
      <c r="A484" s="440">
        <v>1812600431</v>
      </c>
      <c r="B484" s="120">
        <v>81</v>
      </c>
      <c r="C484" s="121" t="s">
        <v>22</v>
      </c>
      <c r="D484" s="121" t="s">
        <v>33</v>
      </c>
      <c r="E484" s="121"/>
      <c r="F484" s="121" t="s">
        <v>429</v>
      </c>
      <c r="G484" s="122">
        <v>14803.76</v>
      </c>
      <c r="H484" s="122">
        <v>15456.92</v>
      </c>
      <c r="I484" s="122">
        <v>15000</v>
      </c>
      <c r="J484" s="122">
        <v>15000</v>
      </c>
      <c r="K484" s="122">
        <v>15456.923999999999</v>
      </c>
      <c r="L484" s="123"/>
      <c r="M484" s="123"/>
      <c r="N484" s="123"/>
      <c r="O484" s="226">
        <v>19774</v>
      </c>
      <c r="P484" s="122">
        <v>20000</v>
      </c>
      <c r="Q484" s="122">
        <v>12</v>
      </c>
      <c r="R484" s="122">
        <v>12</v>
      </c>
      <c r="S484" s="441">
        <f t="shared" si="108"/>
        <v>20000</v>
      </c>
      <c r="T484" s="432">
        <f t="shared" si="110"/>
        <v>4543.0760000000009</v>
      </c>
      <c r="U484" s="62">
        <f t="shared" si="111"/>
        <v>4543.0760000000009</v>
      </c>
      <c r="V484" s="62">
        <f t="shared" ref="V484:V510" si="112">S484-P484</f>
        <v>0</v>
      </c>
    </row>
    <row r="485" spans="1:24" ht="50.15" customHeight="1" x14ac:dyDescent="0.6">
      <c r="A485" s="440">
        <v>1813200110</v>
      </c>
      <c r="B485" s="120">
        <v>81</v>
      </c>
      <c r="C485" s="121" t="s">
        <v>21</v>
      </c>
      <c r="D485" s="121" t="s">
        <v>33</v>
      </c>
      <c r="E485" s="121" t="s">
        <v>583</v>
      </c>
      <c r="F485" s="121" t="s">
        <v>430</v>
      </c>
      <c r="G485" s="122">
        <v>2908.4</v>
      </c>
      <c r="H485" s="122">
        <v>2320.0500000000002</v>
      </c>
      <c r="I485" s="122">
        <v>0</v>
      </c>
      <c r="J485" s="122">
        <v>0</v>
      </c>
      <c r="K485" s="122">
        <v>2370.3920371075792</v>
      </c>
      <c r="L485" s="123">
        <v>0</v>
      </c>
      <c r="M485" s="123">
        <v>0</v>
      </c>
      <c r="N485" s="123"/>
      <c r="O485" s="226">
        <v>4078.84</v>
      </c>
      <c r="P485" s="122">
        <v>0</v>
      </c>
      <c r="Q485" s="122">
        <v>12</v>
      </c>
      <c r="R485" s="122">
        <v>12</v>
      </c>
      <c r="S485" s="441">
        <f t="shared" si="108"/>
        <v>0</v>
      </c>
      <c r="T485" s="432">
        <f t="shared" si="110"/>
        <v>-2370.3920371075792</v>
      </c>
      <c r="U485" s="62">
        <f t="shared" si="111"/>
        <v>-2370.3920371075792</v>
      </c>
      <c r="V485" s="62">
        <f t="shared" si="112"/>
        <v>0</v>
      </c>
      <c r="W485" s="153" t="s">
        <v>919</v>
      </c>
    </row>
    <row r="486" spans="1:24" ht="50.15" customHeight="1" x14ac:dyDescent="0.6">
      <c r="A486" s="440">
        <v>1813200750</v>
      </c>
      <c r="B486" s="120">
        <v>81</v>
      </c>
      <c r="C486" s="121" t="s">
        <v>22</v>
      </c>
      <c r="D486" s="121" t="s">
        <v>33</v>
      </c>
      <c r="E486" s="121"/>
      <c r="F486" s="121" t="s">
        <v>431</v>
      </c>
      <c r="G486" s="122">
        <v>609710.71</v>
      </c>
      <c r="H486" s="122">
        <v>548800</v>
      </c>
      <c r="I486" s="122">
        <v>618448.88399999996</v>
      </c>
      <c r="J486" s="122">
        <v>620000</v>
      </c>
      <c r="K486" s="122">
        <v>448800</v>
      </c>
      <c r="L486" s="123"/>
      <c r="M486" s="123"/>
      <c r="N486" s="123"/>
      <c r="O486" s="226">
        <v>662701.11</v>
      </c>
      <c r="P486" s="122">
        <v>663000</v>
      </c>
      <c r="Q486" s="122">
        <v>10</v>
      </c>
      <c r="R486" s="122">
        <v>12</v>
      </c>
      <c r="S486" s="441">
        <f t="shared" si="108"/>
        <v>552500</v>
      </c>
      <c r="T486" s="432">
        <f t="shared" si="110"/>
        <v>214200</v>
      </c>
      <c r="U486" s="62">
        <f t="shared" si="111"/>
        <v>103700</v>
      </c>
      <c r="V486" s="62">
        <f t="shared" si="112"/>
        <v>-110500</v>
      </c>
      <c r="W486" s="338" t="s">
        <v>894</v>
      </c>
    </row>
    <row r="487" spans="1:24" ht="50.15" customHeight="1" x14ac:dyDescent="0.6">
      <c r="A487" s="440">
        <v>1813200751</v>
      </c>
      <c r="B487" s="120">
        <v>81</v>
      </c>
      <c r="C487" s="121" t="s">
        <v>22</v>
      </c>
      <c r="D487" s="121" t="s">
        <v>33</v>
      </c>
      <c r="E487" s="121"/>
      <c r="F487" s="121" t="s">
        <v>432</v>
      </c>
      <c r="G487" s="122">
        <v>964167.65</v>
      </c>
      <c r="H487" s="122">
        <v>989400</v>
      </c>
      <c r="I487" s="122">
        <v>1107814.7999999998</v>
      </c>
      <c r="J487" s="122">
        <v>1145000</v>
      </c>
      <c r="K487" s="122">
        <v>989400</v>
      </c>
      <c r="L487" s="123"/>
      <c r="M487" s="123"/>
      <c r="N487" s="123"/>
      <c r="O487" s="226">
        <v>1034459.63</v>
      </c>
      <c r="P487" s="122">
        <v>1035000</v>
      </c>
      <c r="Q487" s="122">
        <v>10</v>
      </c>
      <c r="R487" s="122">
        <v>12</v>
      </c>
      <c r="S487" s="441">
        <f t="shared" si="108"/>
        <v>862500</v>
      </c>
      <c r="T487" s="432">
        <f t="shared" si="110"/>
        <v>45600</v>
      </c>
      <c r="U487" s="62">
        <f t="shared" si="111"/>
        <v>-126900</v>
      </c>
      <c r="V487" s="62">
        <f t="shared" si="112"/>
        <v>-172500</v>
      </c>
      <c r="W487" s="338" t="s">
        <v>895</v>
      </c>
    </row>
    <row r="488" spans="1:24" s="497" customFormat="1" ht="50.15" customHeight="1" x14ac:dyDescent="0.6">
      <c r="A488" s="440">
        <v>1813200780</v>
      </c>
      <c r="B488" s="120">
        <v>81</v>
      </c>
      <c r="C488" s="121" t="s">
        <v>22</v>
      </c>
      <c r="D488" s="121" t="s">
        <v>33</v>
      </c>
      <c r="E488" s="121"/>
      <c r="F488" s="121" t="s">
        <v>433</v>
      </c>
      <c r="G488" s="122">
        <v>0</v>
      </c>
      <c r="H488" s="122">
        <v>29232</v>
      </c>
      <c r="I488" s="122"/>
      <c r="J488" s="122"/>
      <c r="K488" s="122">
        <v>29232</v>
      </c>
      <c r="L488" s="123"/>
      <c r="M488" s="123"/>
      <c r="N488" s="123"/>
      <c r="O488" s="122">
        <v>30000</v>
      </c>
      <c r="P488" s="122">
        <v>30000</v>
      </c>
      <c r="Q488" s="122">
        <v>12</v>
      </c>
      <c r="R488" s="122">
        <v>12</v>
      </c>
      <c r="S488" s="441">
        <f t="shared" si="108"/>
        <v>30000</v>
      </c>
      <c r="T488" s="495">
        <f t="shared" si="110"/>
        <v>768</v>
      </c>
      <c r="U488" s="122">
        <f t="shared" si="111"/>
        <v>768</v>
      </c>
      <c r="V488" s="122">
        <f t="shared" si="112"/>
        <v>0</v>
      </c>
      <c r="W488" s="156"/>
      <c r="X488" s="243"/>
    </row>
    <row r="489" spans="1:24" ht="50.15" customHeight="1" x14ac:dyDescent="0.6">
      <c r="A489" s="440">
        <v>1813210110</v>
      </c>
      <c r="B489" s="120">
        <v>81</v>
      </c>
      <c r="C489" s="121" t="s">
        <v>21</v>
      </c>
      <c r="D489" s="121" t="s">
        <v>33</v>
      </c>
      <c r="E489" s="121" t="s">
        <v>583</v>
      </c>
      <c r="F489" s="121" t="s">
        <v>434</v>
      </c>
      <c r="G489" s="122">
        <v>736260.08</v>
      </c>
      <c r="H489" s="122">
        <v>714582.5</v>
      </c>
      <c r="I489" s="122">
        <v>811000</v>
      </c>
      <c r="J489" s="122">
        <v>768990.23774999985</v>
      </c>
      <c r="K489" s="122">
        <v>687441.29274083441</v>
      </c>
      <c r="L489" s="123">
        <v>6.3819999999999988</v>
      </c>
      <c r="M489" s="123">
        <v>6.3819999999999988</v>
      </c>
      <c r="N489" s="123">
        <f>ריכוז!K39</f>
        <v>5.503333333333333</v>
      </c>
      <c r="O489" s="226">
        <v>818081.47</v>
      </c>
      <c r="P489" s="122">
        <f>ריכוז!M39</f>
        <v>683310.38000000012</v>
      </c>
      <c r="Q489" s="122">
        <v>12</v>
      </c>
      <c r="R489" s="122">
        <v>12</v>
      </c>
      <c r="S489" s="441">
        <f t="shared" si="108"/>
        <v>683310.38000000012</v>
      </c>
      <c r="T489" s="432">
        <f t="shared" si="110"/>
        <v>-4130.9127408342902</v>
      </c>
      <c r="U489" s="62">
        <f t="shared" si="111"/>
        <v>-4130.9127408342902</v>
      </c>
      <c r="V489" s="62">
        <f t="shared" si="112"/>
        <v>0</v>
      </c>
      <c r="W489" s="153" t="s">
        <v>1030</v>
      </c>
    </row>
    <row r="490" spans="1:24" ht="50.15" customHeight="1" x14ac:dyDescent="0.6">
      <c r="A490" s="440">
        <v>1813210432</v>
      </c>
      <c r="B490" s="120">
        <v>81</v>
      </c>
      <c r="C490" s="121" t="s">
        <v>22</v>
      </c>
      <c r="D490" s="121" t="s">
        <v>33</v>
      </c>
      <c r="E490" s="121"/>
      <c r="F490" s="121" t="s">
        <v>436</v>
      </c>
      <c r="G490" s="122">
        <v>5185.4399999999996</v>
      </c>
      <c r="H490" s="122"/>
      <c r="I490" s="122">
        <v>0</v>
      </c>
      <c r="J490" s="122">
        <v>0</v>
      </c>
      <c r="K490" s="122">
        <v>0</v>
      </c>
      <c r="L490" s="123"/>
      <c r="M490" s="123"/>
      <c r="N490" s="123"/>
      <c r="O490" s="122">
        <v>0</v>
      </c>
      <c r="P490" s="122">
        <v>0</v>
      </c>
      <c r="Q490" s="122">
        <v>12</v>
      </c>
      <c r="R490" s="122">
        <v>12</v>
      </c>
      <c r="S490" s="441">
        <f t="shared" si="108"/>
        <v>0</v>
      </c>
      <c r="T490" s="432">
        <f t="shared" si="110"/>
        <v>0</v>
      </c>
      <c r="U490" s="62">
        <f t="shared" si="111"/>
        <v>0</v>
      </c>
      <c r="V490" s="62">
        <f t="shared" si="112"/>
        <v>0</v>
      </c>
    </row>
    <row r="491" spans="1:24" ht="50.15" customHeight="1" x14ac:dyDescent="0.6">
      <c r="A491" s="440">
        <v>1813210780</v>
      </c>
      <c r="B491" s="120">
        <v>81</v>
      </c>
      <c r="C491" s="121" t="s">
        <v>22</v>
      </c>
      <c r="D491" s="121" t="s">
        <v>33</v>
      </c>
      <c r="E491" s="121"/>
      <c r="F491" s="121" t="s">
        <v>437</v>
      </c>
      <c r="G491" s="122">
        <v>89298</v>
      </c>
      <c r="H491" s="122">
        <f>90970+3400</f>
        <v>94370</v>
      </c>
      <c r="I491" s="122">
        <v>111476.40000000001</v>
      </c>
      <c r="J491" s="122">
        <v>166630.29999999999</v>
      </c>
      <c r="K491" s="122">
        <v>90970</v>
      </c>
      <c r="L491" s="123"/>
      <c r="M491" s="123"/>
      <c r="N491" s="123"/>
      <c r="O491" s="226">
        <v>92897</v>
      </c>
      <c r="P491" s="122">
        <f>93000-25000</f>
        <v>68000</v>
      </c>
      <c r="Q491" s="122">
        <v>10</v>
      </c>
      <c r="R491" s="122">
        <v>12</v>
      </c>
      <c r="S491" s="441">
        <f t="shared" si="108"/>
        <v>56666.666666666664</v>
      </c>
      <c r="T491" s="432">
        <f t="shared" si="110"/>
        <v>-22970</v>
      </c>
      <c r="U491" s="62">
        <f t="shared" si="111"/>
        <v>-34303.333333333336</v>
      </c>
      <c r="V491" s="62">
        <f t="shared" si="112"/>
        <v>-11333.333333333336</v>
      </c>
      <c r="W491" s="153" t="s">
        <v>1031</v>
      </c>
    </row>
    <row r="492" spans="1:24" ht="50.15" customHeight="1" x14ac:dyDescent="0.6">
      <c r="A492" s="440">
        <v>1813220110</v>
      </c>
      <c r="B492" s="120">
        <v>81</v>
      </c>
      <c r="C492" s="121" t="s">
        <v>21</v>
      </c>
      <c r="D492" s="121" t="s">
        <v>33</v>
      </c>
      <c r="E492" s="121" t="s">
        <v>583</v>
      </c>
      <c r="F492" s="121" t="s">
        <v>438</v>
      </c>
      <c r="G492" s="122">
        <v>992258.17</v>
      </c>
      <c r="H492" s="122">
        <v>853375.05</v>
      </c>
      <c r="I492" s="122">
        <v>1154000</v>
      </c>
      <c r="J492" s="122">
        <v>1093760.0008999996</v>
      </c>
      <c r="K492" s="122">
        <v>533877.57958838262</v>
      </c>
      <c r="L492" s="123">
        <v>9.1740000000000013</v>
      </c>
      <c r="M492" s="123">
        <v>9.1740000000000013</v>
      </c>
      <c r="N492" s="123">
        <f>ריכוז!K40</f>
        <v>10.06</v>
      </c>
      <c r="O492" s="226">
        <v>1159138.8700000001</v>
      </c>
      <c r="P492" s="122">
        <f>ריכוז!M40</f>
        <v>1161754.0399999998</v>
      </c>
      <c r="Q492" s="122">
        <v>12</v>
      </c>
      <c r="R492" s="122">
        <v>12</v>
      </c>
      <c r="S492" s="441">
        <f t="shared" si="108"/>
        <v>1161754.0399999998</v>
      </c>
      <c r="T492" s="432">
        <f t="shared" si="110"/>
        <v>627876.46041161718</v>
      </c>
      <c r="U492" s="62">
        <f t="shared" si="111"/>
        <v>627876.46041161718</v>
      </c>
      <c r="V492" s="62">
        <f t="shared" si="112"/>
        <v>0</v>
      </c>
    </row>
    <row r="493" spans="1:24" ht="50.15" customHeight="1" x14ac:dyDescent="0.6">
      <c r="A493" s="440">
        <v>1813220780</v>
      </c>
      <c r="B493" s="120">
        <v>81</v>
      </c>
      <c r="C493" s="121" t="s">
        <v>22</v>
      </c>
      <c r="D493" s="121" t="s">
        <v>33</v>
      </c>
      <c r="E493" s="121"/>
      <c r="F493" s="121" t="s">
        <v>440</v>
      </c>
      <c r="G493" s="122">
        <v>226423</v>
      </c>
      <c r="H493" s="122">
        <v>234041</v>
      </c>
      <c r="I493" s="122">
        <v>274653.59999999998</v>
      </c>
      <c r="J493" s="122">
        <v>208126.8</v>
      </c>
      <c r="K493" s="122">
        <v>234041</v>
      </c>
      <c r="L493" s="123"/>
      <c r="M493" s="123"/>
      <c r="N493" s="123"/>
      <c r="O493" s="226">
        <v>228878</v>
      </c>
      <c r="P493" s="122">
        <v>229000</v>
      </c>
      <c r="Q493" s="122">
        <v>10</v>
      </c>
      <c r="R493" s="122">
        <v>12</v>
      </c>
      <c r="S493" s="441">
        <f t="shared" si="108"/>
        <v>190833.33333333334</v>
      </c>
      <c r="T493" s="432">
        <f t="shared" si="110"/>
        <v>-5041</v>
      </c>
      <c r="U493" s="62">
        <f t="shared" si="111"/>
        <v>-43207.666666666657</v>
      </c>
      <c r="V493" s="62">
        <f t="shared" si="112"/>
        <v>-38166.666666666657</v>
      </c>
    </row>
    <row r="494" spans="1:24" ht="50.15" customHeight="1" x14ac:dyDescent="0.6">
      <c r="A494" s="440">
        <v>1813230110</v>
      </c>
      <c r="B494" s="120">
        <v>81</v>
      </c>
      <c r="C494" s="121" t="s">
        <v>21</v>
      </c>
      <c r="D494" s="121" t="s">
        <v>33</v>
      </c>
      <c r="E494" s="121" t="s">
        <v>583</v>
      </c>
      <c r="F494" s="121" t="s">
        <v>441</v>
      </c>
      <c r="G494" s="122">
        <v>605522.46</v>
      </c>
      <c r="H494" s="122">
        <v>535522.37</v>
      </c>
      <c r="I494" s="122">
        <v>662000</v>
      </c>
      <c r="J494" s="122">
        <v>672345.28724999982</v>
      </c>
      <c r="K494" s="122">
        <v>295449.11412800587</v>
      </c>
      <c r="L494" s="123">
        <v>5.0533999999999999</v>
      </c>
      <c r="M494" s="123">
        <v>5.0533999999999999</v>
      </c>
      <c r="N494" s="123">
        <f>ריכוז!K41</f>
        <v>4.6803333333333335</v>
      </c>
      <c r="O494" s="226">
        <v>649920.37</v>
      </c>
      <c r="P494" s="122">
        <f>ריכוז!M41</f>
        <v>674477</v>
      </c>
      <c r="Q494" s="122">
        <v>12</v>
      </c>
      <c r="R494" s="122">
        <v>12</v>
      </c>
      <c r="S494" s="441">
        <f t="shared" si="108"/>
        <v>674477</v>
      </c>
      <c r="T494" s="432">
        <f t="shared" si="110"/>
        <v>379027.88587199413</v>
      </c>
      <c r="U494" s="62">
        <f t="shared" si="111"/>
        <v>379027.88587199413</v>
      </c>
      <c r="V494" s="62">
        <f t="shared" si="112"/>
        <v>0</v>
      </c>
      <c r="W494" s="338" t="s">
        <v>920</v>
      </c>
    </row>
    <row r="495" spans="1:24" ht="50.15" customHeight="1" x14ac:dyDescent="0.6">
      <c r="A495" s="440">
        <v>1813230431</v>
      </c>
      <c r="B495" s="120">
        <v>81</v>
      </c>
      <c r="C495" s="121" t="s">
        <v>22</v>
      </c>
      <c r="D495" s="121" t="s">
        <v>33</v>
      </c>
      <c r="E495" s="121"/>
      <c r="F495" s="121" t="s">
        <v>442</v>
      </c>
      <c r="G495" s="122">
        <v>195.98</v>
      </c>
      <c r="H495" s="122"/>
      <c r="I495" s="122"/>
      <c r="J495" s="122"/>
      <c r="K495" s="122"/>
      <c r="L495" s="123"/>
      <c r="M495" s="123"/>
      <c r="N495" s="123"/>
      <c r="O495" s="122">
        <v>0</v>
      </c>
      <c r="P495" s="122">
        <v>0</v>
      </c>
      <c r="Q495" s="122">
        <v>12</v>
      </c>
      <c r="R495" s="122">
        <v>12</v>
      </c>
      <c r="S495" s="441">
        <f t="shared" si="108"/>
        <v>0</v>
      </c>
      <c r="T495" s="432">
        <f t="shared" si="110"/>
        <v>0</v>
      </c>
      <c r="U495" s="62">
        <f t="shared" si="111"/>
        <v>0</v>
      </c>
      <c r="V495" s="62">
        <f t="shared" si="112"/>
        <v>0</v>
      </c>
    </row>
    <row r="496" spans="1:24" ht="50.15" customHeight="1" x14ac:dyDescent="0.6">
      <c r="A496" s="440">
        <v>1813230780</v>
      </c>
      <c r="B496" s="120">
        <v>81</v>
      </c>
      <c r="C496" s="121" t="s">
        <v>22</v>
      </c>
      <c r="D496" s="121" t="s">
        <v>33</v>
      </c>
      <c r="E496" s="121"/>
      <c r="F496" s="121" t="s">
        <v>443</v>
      </c>
      <c r="G496" s="122">
        <v>265623.5</v>
      </c>
      <c r="H496" s="122">
        <f>277095+152</f>
        <v>277247</v>
      </c>
      <c r="I496" s="122">
        <v>355823.4</v>
      </c>
      <c r="J496" s="122">
        <v>274789.02</v>
      </c>
      <c r="K496" s="122">
        <f>277095+152</f>
        <v>277247</v>
      </c>
      <c r="L496" s="123"/>
      <c r="M496" s="123"/>
      <c r="N496" s="123"/>
      <c r="O496" s="226">
        <v>288767.71999999997</v>
      </c>
      <c r="P496" s="122">
        <v>288000</v>
      </c>
      <c r="Q496" s="122">
        <v>10</v>
      </c>
      <c r="R496" s="122">
        <v>12</v>
      </c>
      <c r="S496" s="441">
        <f t="shared" si="108"/>
        <v>240000</v>
      </c>
      <c r="T496" s="432">
        <f t="shared" si="110"/>
        <v>10753</v>
      </c>
      <c r="U496" s="62">
        <f t="shared" si="111"/>
        <v>-37247</v>
      </c>
      <c r="V496" s="62">
        <f t="shared" si="112"/>
        <v>-48000</v>
      </c>
    </row>
    <row r="497" spans="1:23" ht="57" customHeight="1" x14ac:dyDescent="0.6">
      <c r="A497" s="440">
        <v>1813240110</v>
      </c>
      <c r="B497" s="120">
        <v>81</v>
      </c>
      <c r="C497" s="121" t="s">
        <v>21</v>
      </c>
      <c r="D497" s="121" t="s">
        <v>33</v>
      </c>
      <c r="E497" s="121" t="s">
        <v>583</v>
      </c>
      <c r="F497" s="121" t="s">
        <v>444</v>
      </c>
      <c r="G497" s="122">
        <v>1011861.34</v>
      </c>
      <c r="H497" s="122">
        <v>958898.79</v>
      </c>
      <c r="I497" s="122">
        <v>1053000</v>
      </c>
      <c r="J497" s="122">
        <v>1011297.7875000001</v>
      </c>
      <c r="K497" s="122">
        <v>844751.73057467258</v>
      </c>
      <c r="L497" s="123">
        <v>9.141</v>
      </c>
      <c r="M497" s="123">
        <v>9.141</v>
      </c>
      <c r="N497" s="123">
        <f>ריכוז!K42</f>
        <v>7.0266666666666664</v>
      </c>
      <c r="O497" s="226">
        <v>1056635.02</v>
      </c>
      <c r="P497" s="122">
        <f>ריכוז!M42</f>
        <v>886102.76</v>
      </c>
      <c r="Q497" s="122">
        <v>12</v>
      </c>
      <c r="R497" s="122">
        <v>12</v>
      </c>
      <c r="S497" s="441">
        <f t="shared" si="108"/>
        <v>886102.76000000013</v>
      </c>
      <c r="T497" s="432">
        <f t="shared" si="110"/>
        <v>41351.029425327433</v>
      </c>
      <c r="U497" s="62">
        <f t="shared" si="111"/>
        <v>41351.02942532755</v>
      </c>
      <c r="V497" s="62">
        <f t="shared" si="112"/>
        <v>0</v>
      </c>
      <c r="W497" s="338" t="s">
        <v>920</v>
      </c>
    </row>
    <row r="498" spans="1:23" ht="50.15" customHeight="1" x14ac:dyDescent="0.6">
      <c r="A498" s="440">
        <v>1813240431</v>
      </c>
      <c r="B498" s="120">
        <v>81</v>
      </c>
      <c r="C498" s="121" t="s">
        <v>8</v>
      </c>
      <c r="D498" s="121" t="s">
        <v>8</v>
      </c>
      <c r="E498" s="121"/>
      <c r="F498" s="121" t="s">
        <v>445</v>
      </c>
      <c r="G498" s="122">
        <v>0</v>
      </c>
      <c r="H498" s="122" t="s">
        <v>8</v>
      </c>
      <c r="I498" s="122">
        <v>0</v>
      </c>
      <c r="J498" s="122">
        <v>0</v>
      </c>
      <c r="K498" s="122">
        <v>0</v>
      </c>
      <c r="L498" s="123"/>
      <c r="M498" s="123"/>
      <c r="N498" s="123"/>
      <c r="O498" s="122">
        <v>0</v>
      </c>
      <c r="P498" s="122">
        <v>0</v>
      </c>
      <c r="Q498" s="122">
        <v>12</v>
      </c>
      <c r="R498" s="122">
        <v>12</v>
      </c>
      <c r="S498" s="441">
        <f t="shared" si="108"/>
        <v>0</v>
      </c>
      <c r="T498" s="432">
        <f t="shared" si="110"/>
        <v>0</v>
      </c>
      <c r="U498" s="62">
        <f t="shared" si="111"/>
        <v>0</v>
      </c>
      <c r="V498" s="62">
        <f t="shared" si="112"/>
        <v>0</v>
      </c>
    </row>
    <row r="499" spans="1:23" ht="50.15" customHeight="1" x14ac:dyDescent="0.6">
      <c r="A499" s="440">
        <v>1813240432</v>
      </c>
      <c r="B499" s="120">
        <v>81</v>
      </c>
      <c r="C499" s="121" t="s">
        <v>22</v>
      </c>
      <c r="D499" s="121" t="s">
        <v>33</v>
      </c>
      <c r="E499" s="121"/>
      <c r="F499" s="121" t="s">
        <v>446</v>
      </c>
      <c r="G499" s="122">
        <v>36.4</v>
      </c>
      <c r="H499" s="122" t="s">
        <v>8</v>
      </c>
      <c r="I499" s="122">
        <v>0</v>
      </c>
      <c r="J499" s="122">
        <v>0</v>
      </c>
      <c r="K499" s="122">
        <v>0</v>
      </c>
      <c r="L499" s="123"/>
      <c r="M499" s="123"/>
      <c r="N499" s="123"/>
      <c r="O499" s="122">
        <v>0</v>
      </c>
      <c r="P499" s="122">
        <v>0</v>
      </c>
      <c r="Q499" s="122">
        <v>12</v>
      </c>
      <c r="R499" s="122">
        <v>12</v>
      </c>
      <c r="S499" s="441">
        <f t="shared" si="108"/>
        <v>0</v>
      </c>
      <c r="T499" s="432">
        <f t="shared" si="110"/>
        <v>0</v>
      </c>
      <c r="U499" s="62">
        <f t="shared" si="111"/>
        <v>0</v>
      </c>
      <c r="V499" s="62">
        <f t="shared" si="112"/>
        <v>0</v>
      </c>
    </row>
    <row r="500" spans="1:23" ht="50.15" customHeight="1" x14ac:dyDescent="0.6">
      <c r="A500" s="440">
        <v>1813240780</v>
      </c>
      <c r="B500" s="120">
        <v>81</v>
      </c>
      <c r="C500" s="121" t="s">
        <v>22</v>
      </c>
      <c r="D500" s="121" t="s">
        <v>33</v>
      </c>
      <c r="E500" s="121"/>
      <c r="F500" s="121" t="s">
        <v>447</v>
      </c>
      <c r="G500" s="122">
        <v>228390</v>
      </c>
      <c r="H500" s="122">
        <v>230733</v>
      </c>
      <c r="I500" s="122">
        <v>280071.59999999998</v>
      </c>
      <c r="J500" s="122">
        <v>238685.1</v>
      </c>
      <c r="K500" s="122">
        <v>230733</v>
      </c>
      <c r="L500" s="123"/>
      <c r="M500" s="123"/>
      <c r="N500" s="123"/>
      <c r="O500" s="226">
        <v>233393</v>
      </c>
      <c r="P500" s="122">
        <v>235000</v>
      </c>
      <c r="Q500" s="122">
        <v>10</v>
      </c>
      <c r="R500" s="122">
        <v>12</v>
      </c>
      <c r="S500" s="441">
        <f t="shared" si="108"/>
        <v>195833.33333333334</v>
      </c>
      <c r="T500" s="432">
        <f t="shared" si="110"/>
        <v>4267</v>
      </c>
      <c r="U500" s="62">
        <f t="shared" si="111"/>
        <v>-34899.666666666657</v>
      </c>
      <c r="V500" s="62">
        <f t="shared" si="112"/>
        <v>-39166.666666666657</v>
      </c>
    </row>
    <row r="501" spans="1:23" ht="50.15" customHeight="1" x14ac:dyDescent="0.6">
      <c r="A501" s="440">
        <v>1813250110</v>
      </c>
      <c r="B501" s="120">
        <v>81</v>
      </c>
      <c r="C501" s="121" t="s">
        <v>21</v>
      </c>
      <c r="D501" s="121" t="s">
        <v>33</v>
      </c>
      <c r="E501" s="121" t="s">
        <v>583</v>
      </c>
      <c r="F501" s="121" t="s">
        <v>448</v>
      </c>
      <c r="G501" s="122">
        <v>965144.82</v>
      </c>
      <c r="H501" s="122">
        <v>934376.36</v>
      </c>
      <c r="I501" s="122">
        <v>886000</v>
      </c>
      <c r="J501" s="122">
        <v>799630.93594999984</v>
      </c>
      <c r="K501" s="122">
        <v>640827.08565357642</v>
      </c>
      <c r="L501" s="123">
        <v>6.6835000000000004</v>
      </c>
      <c r="M501" s="123">
        <v>5.9335000000000004</v>
      </c>
      <c r="N501" s="123">
        <f>ריכוז!K43</f>
        <v>5.7</v>
      </c>
      <c r="O501" s="226">
        <v>869585.53</v>
      </c>
      <c r="P501" s="122">
        <f>ריכוז!M43</f>
        <v>754003.15999999992</v>
      </c>
      <c r="Q501" s="122">
        <v>12</v>
      </c>
      <c r="R501" s="122">
        <v>12</v>
      </c>
      <c r="S501" s="441">
        <f t="shared" si="108"/>
        <v>754003.1599999998</v>
      </c>
      <c r="T501" s="432">
        <f t="shared" si="110"/>
        <v>113176.0743464235</v>
      </c>
      <c r="U501" s="62">
        <f t="shared" si="111"/>
        <v>113176.07434642338</v>
      </c>
      <c r="V501" s="62">
        <f t="shared" si="112"/>
        <v>0</v>
      </c>
    </row>
    <row r="502" spans="1:23" ht="50.15" customHeight="1" x14ac:dyDescent="0.6">
      <c r="A502" s="440">
        <v>1813250431</v>
      </c>
      <c r="B502" s="120">
        <v>81</v>
      </c>
      <c r="C502" s="121" t="s">
        <v>8</v>
      </c>
      <c r="D502" s="121" t="s">
        <v>8</v>
      </c>
      <c r="E502" s="121"/>
      <c r="F502" s="121" t="s">
        <v>449</v>
      </c>
      <c r="G502" s="122">
        <v>0</v>
      </c>
      <c r="H502" s="122" t="s">
        <v>8</v>
      </c>
      <c r="I502" s="122">
        <v>0</v>
      </c>
      <c r="J502" s="122">
        <v>0</v>
      </c>
      <c r="K502" s="122">
        <v>0</v>
      </c>
      <c r="L502" s="123"/>
      <c r="M502" s="123"/>
      <c r="N502" s="123"/>
      <c r="O502" s="122">
        <v>0</v>
      </c>
      <c r="P502" s="122">
        <v>0</v>
      </c>
      <c r="Q502" s="122">
        <v>12</v>
      </c>
      <c r="R502" s="122">
        <v>12</v>
      </c>
      <c r="S502" s="441">
        <f t="shared" si="108"/>
        <v>0</v>
      </c>
      <c r="T502" s="432">
        <f t="shared" si="110"/>
        <v>0</v>
      </c>
      <c r="U502" s="62">
        <f t="shared" si="111"/>
        <v>0</v>
      </c>
      <c r="V502" s="62">
        <f t="shared" si="112"/>
        <v>0</v>
      </c>
    </row>
    <row r="503" spans="1:23" ht="50.15" customHeight="1" x14ac:dyDescent="0.6">
      <c r="A503" s="440">
        <v>1813250432</v>
      </c>
      <c r="B503" s="120">
        <v>81</v>
      </c>
      <c r="C503" s="121" t="s">
        <v>8</v>
      </c>
      <c r="D503" s="121" t="s">
        <v>8</v>
      </c>
      <c r="E503" s="121"/>
      <c r="F503" s="121" t="s">
        <v>450</v>
      </c>
      <c r="G503" s="122">
        <v>0</v>
      </c>
      <c r="H503" s="122" t="s">
        <v>8</v>
      </c>
      <c r="I503" s="122">
        <v>0</v>
      </c>
      <c r="J503" s="122">
        <v>0</v>
      </c>
      <c r="K503" s="122">
        <v>0</v>
      </c>
      <c r="L503" s="123"/>
      <c r="M503" s="123"/>
      <c r="N503" s="123"/>
      <c r="O503" s="122">
        <v>0</v>
      </c>
      <c r="P503" s="122">
        <v>0</v>
      </c>
      <c r="Q503" s="122">
        <v>12</v>
      </c>
      <c r="R503" s="122">
        <v>12</v>
      </c>
      <c r="S503" s="441">
        <f t="shared" si="108"/>
        <v>0</v>
      </c>
      <c r="T503" s="432">
        <f t="shared" si="110"/>
        <v>0</v>
      </c>
      <c r="U503" s="62">
        <f t="shared" si="111"/>
        <v>0</v>
      </c>
      <c r="V503" s="62">
        <f t="shared" si="112"/>
        <v>0</v>
      </c>
    </row>
    <row r="504" spans="1:23" ht="50.15" customHeight="1" x14ac:dyDescent="0.6">
      <c r="A504" s="440">
        <v>1813250780</v>
      </c>
      <c r="B504" s="120">
        <v>81</v>
      </c>
      <c r="C504" s="121" t="s">
        <v>22</v>
      </c>
      <c r="D504" s="121" t="s">
        <v>33</v>
      </c>
      <c r="E504" s="121"/>
      <c r="F504" s="121" t="s">
        <v>451</v>
      </c>
      <c r="G504" s="122">
        <v>198642</v>
      </c>
      <c r="H504" s="122">
        <v>215020</v>
      </c>
      <c r="I504" s="122">
        <v>260152.80000000002</v>
      </c>
      <c r="J504" s="122">
        <v>209778.6</v>
      </c>
      <c r="K504" s="122">
        <v>215020</v>
      </c>
      <c r="L504" s="123"/>
      <c r="M504" s="123"/>
      <c r="N504" s="123"/>
      <c r="O504" s="226">
        <v>216794</v>
      </c>
      <c r="P504" s="122">
        <v>217000</v>
      </c>
      <c r="Q504" s="122">
        <v>10</v>
      </c>
      <c r="R504" s="122">
        <v>12</v>
      </c>
      <c r="S504" s="441">
        <f t="shared" si="108"/>
        <v>180833.33333333334</v>
      </c>
      <c r="T504" s="432">
        <f t="shared" si="110"/>
        <v>1980</v>
      </c>
      <c r="U504" s="62">
        <f t="shared" si="111"/>
        <v>-34186.666666666657</v>
      </c>
      <c r="V504" s="62">
        <f t="shared" si="112"/>
        <v>-36166.666666666657</v>
      </c>
    </row>
    <row r="505" spans="1:23" ht="50.15" customHeight="1" x14ac:dyDescent="0.6">
      <c r="A505" s="440">
        <v>1813260110</v>
      </c>
      <c r="B505" s="120">
        <v>81</v>
      </c>
      <c r="C505" s="121" t="s">
        <v>21</v>
      </c>
      <c r="D505" s="121" t="s">
        <v>33</v>
      </c>
      <c r="E505" s="121" t="s">
        <v>583</v>
      </c>
      <c r="F505" s="121" t="s">
        <v>452</v>
      </c>
      <c r="G505" s="122">
        <v>471899.01</v>
      </c>
      <c r="H505" s="122">
        <v>435075.15</v>
      </c>
      <c r="I505" s="122">
        <v>397000</v>
      </c>
      <c r="J505" s="122">
        <v>338931.87544999993</v>
      </c>
      <c r="K505" s="122">
        <v>378051.38281402248</v>
      </c>
      <c r="L505" s="123">
        <v>3.16</v>
      </c>
      <c r="M505" s="123">
        <v>3.16</v>
      </c>
      <c r="N505" s="123">
        <f>ריכוז!K44</f>
        <v>2.3666666666666667</v>
      </c>
      <c r="O505" s="226">
        <v>395526.31</v>
      </c>
      <c r="P505" s="122">
        <f>ריכוז!M44</f>
        <v>328745.08</v>
      </c>
      <c r="Q505" s="122">
        <v>12</v>
      </c>
      <c r="R505" s="122">
        <v>12</v>
      </c>
      <c r="S505" s="441">
        <f t="shared" si="108"/>
        <v>328745.08</v>
      </c>
      <c r="T505" s="432">
        <f t="shared" si="110"/>
        <v>-49306.302814022463</v>
      </c>
      <c r="U505" s="62">
        <f t="shared" si="111"/>
        <v>-49306.302814022463</v>
      </c>
      <c r="V505" s="62">
        <f t="shared" si="112"/>
        <v>0</v>
      </c>
    </row>
    <row r="506" spans="1:23" ht="61.5" customHeight="1" x14ac:dyDescent="0.6">
      <c r="A506" s="440">
        <v>1813260431</v>
      </c>
      <c r="B506" s="120">
        <v>81</v>
      </c>
      <c r="C506" s="121" t="s">
        <v>8</v>
      </c>
      <c r="D506" s="121" t="s">
        <v>8</v>
      </c>
      <c r="E506" s="121"/>
      <c r="F506" s="121" t="s">
        <v>453</v>
      </c>
      <c r="G506" s="122">
        <v>0</v>
      </c>
      <c r="H506" s="122" t="s">
        <v>8</v>
      </c>
      <c r="I506" s="122">
        <v>0</v>
      </c>
      <c r="J506" s="122">
        <v>0</v>
      </c>
      <c r="K506" s="122">
        <v>0</v>
      </c>
      <c r="L506" s="123"/>
      <c r="M506" s="123"/>
      <c r="N506" s="123"/>
      <c r="O506" s="122">
        <v>0</v>
      </c>
      <c r="P506" s="122">
        <v>0</v>
      </c>
      <c r="Q506" s="122">
        <v>12</v>
      </c>
      <c r="R506" s="122">
        <v>12</v>
      </c>
      <c r="S506" s="441">
        <f t="shared" si="108"/>
        <v>0</v>
      </c>
      <c r="T506" s="432">
        <f t="shared" si="110"/>
        <v>0</v>
      </c>
      <c r="U506" s="62">
        <f t="shared" si="111"/>
        <v>0</v>
      </c>
      <c r="V506" s="62">
        <f t="shared" si="112"/>
        <v>0</v>
      </c>
    </row>
    <row r="507" spans="1:23" ht="50.15" customHeight="1" x14ac:dyDescent="0.6">
      <c r="A507" s="440">
        <v>1813260432</v>
      </c>
      <c r="B507" s="120">
        <v>81</v>
      </c>
      <c r="C507" s="121" t="s">
        <v>8</v>
      </c>
      <c r="D507" s="121" t="s">
        <v>8</v>
      </c>
      <c r="E507" s="121"/>
      <c r="F507" s="121" t="s">
        <v>454</v>
      </c>
      <c r="G507" s="122">
        <v>0</v>
      </c>
      <c r="H507" s="122" t="s">
        <v>8</v>
      </c>
      <c r="I507" s="122">
        <v>0</v>
      </c>
      <c r="J507" s="122">
        <v>0</v>
      </c>
      <c r="K507" s="122">
        <v>0</v>
      </c>
      <c r="L507" s="123"/>
      <c r="M507" s="123"/>
      <c r="N507" s="123"/>
      <c r="O507" s="122">
        <v>0</v>
      </c>
      <c r="P507" s="122">
        <v>0</v>
      </c>
      <c r="Q507" s="122">
        <v>12</v>
      </c>
      <c r="R507" s="122">
        <v>12</v>
      </c>
      <c r="S507" s="441">
        <f t="shared" si="108"/>
        <v>0</v>
      </c>
      <c r="T507" s="432">
        <f t="shared" si="110"/>
        <v>0</v>
      </c>
      <c r="U507" s="62">
        <f t="shared" si="111"/>
        <v>0</v>
      </c>
      <c r="V507" s="62">
        <f t="shared" si="112"/>
        <v>0</v>
      </c>
    </row>
    <row r="508" spans="1:23" ht="50.15" customHeight="1" x14ac:dyDescent="0.6">
      <c r="A508" s="440">
        <v>1813260780</v>
      </c>
      <c r="B508" s="120">
        <v>81</v>
      </c>
      <c r="C508" s="121" t="s">
        <v>22</v>
      </c>
      <c r="D508" s="121" t="s">
        <v>33</v>
      </c>
      <c r="E508" s="121"/>
      <c r="F508" s="121" t="s">
        <v>455</v>
      </c>
      <c r="G508" s="122">
        <v>103167</v>
      </c>
      <c r="H508" s="122">
        <v>92624</v>
      </c>
      <c r="I508" s="122">
        <v>110002.79999999999</v>
      </c>
      <c r="J508" s="122">
        <v>86719.5</v>
      </c>
      <c r="K508" s="122">
        <v>92624</v>
      </c>
      <c r="L508" s="123"/>
      <c r="M508" s="123"/>
      <c r="N508" s="123"/>
      <c r="O508" s="226">
        <v>91669</v>
      </c>
      <c r="P508" s="122">
        <v>92000</v>
      </c>
      <c r="Q508" s="122">
        <v>10</v>
      </c>
      <c r="R508" s="122">
        <v>12</v>
      </c>
      <c r="S508" s="441">
        <f t="shared" si="108"/>
        <v>76666.666666666672</v>
      </c>
      <c r="T508" s="432">
        <f t="shared" si="110"/>
        <v>-624</v>
      </c>
      <c r="U508" s="62">
        <f t="shared" si="111"/>
        <v>-15957.333333333328</v>
      </c>
      <c r="V508" s="62">
        <f t="shared" si="112"/>
        <v>-15333.333333333328</v>
      </c>
    </row>
    <row r="509" spans="1:23" ht="50.15" customHeight="1" x14ac:dyDescent="0.6">
      <c r="A509" s="440">
        <v>1813260785</v>
      </c>
      <c r="B509" s="120">
        <v>81</v>
      </c>
      <c r="C509" s="121" t="s">
        <v>8</v>
      </c>
      <c r="D509" s="121" t="s">
        <v>8</v>
      </c>
      <c r="E509" s="121"/>
      <c r="F509" s="121" t="s">
        <v>456</v>
      </c>
      <c r="G509" s="122">
        <v>0</v>
      </c>
      <c r="H509" s="122" t="s">
        <v>8</v>
      </c>
      <c r="I509" s="122">
        <v>0</v>
      </c>
      <c r="J509" s="122">
        <v>0</v>
      </c>
      <c r="K509" s="122">
        <v>0</v>
      </c>
      <c r="L509" s="123"/>
      <c r="M509" s="123"/>
      <c r="N509" s="123"/>
      <c r="O509" s="122">
        <v>0</v>
      </c>
      <c r="P509" s="122">
        <v>0</v>
      </c>
      <c r="Q509" s="122">
        <v>12</v>
      </c>
      <c r="R509" s="122">
        <v>12</v>
      </c>
      <c r="S509" s="441">
        <f t="shared" si="108"/>
        <v>0</v>
      </c>
      <c r="T509" s="432">
        <f t="shared" si="110"/>
        <v>0</v>
      </c>
      <c r="U509" s="62">
        <f t="shared" si="111"/>
        <v>0</v>
      </c>
      <c r="V509" s="62">
        <f t="shared" si="112"/>
        <v>0</v>
      </c>
    </row>
    <row r="510" spans="1:23" ht="50.15" customHeight="1" x14ac:dyDescent="0.6">
      <c r="A510" s="440">
        <v>1813270110</v>
      </c>
      <c r="B510" s="120">
        <v>81</v>
      </c>
      <c r="C510" s="121" t="s">
        <v>21</v>
      </c>
      <c r="D510" s="121" t="s">
        <v>33</v>
      </c>
      <c r="E510" s="121" t="s">
        <v>583</v>
      </c>
      <c r="F510" s="121" t="s">
        <v>457</v>
      </c>
      <c r="G510" s="122">
        <v>930789.56</v>
      </c>
      <c r="H510" s="122">
        <v>875770.48</v>
      </c>
      <c r="I510" s="122">
        <v>957000</v>
      </c>
      <c r="J510" s="122">
        <v>886507.23717500002</v>
      </c>
      <c r="K510" s="122">
        <v>145178.55971604702</v>
      </c>
      <c r="L510" s="123">
        <v>7.3800000000000008</v>
      </c>
      <c r="M510" s="123">
        <v>7.3800000000000008</v>
      </c>
      <c r="N510" s="123">
        <f>ריכוז!K45</f>
        <v>6.5500000000000007</v>
      </c>
      <c r="O510" s="226">
        <v>957456.49</v>
      </c>
      <c r="P510" s="122">
        <f>ריכוז!M45</f>
        <v>880945.89999999991</v>
      </c>
      <c r="Q510" s="122">
        <v>12</v>
      </c>
      <c r="R510" s="122">
        <v>12</v>
      </c>
      <c r="S510" s="441">
        <f t="shared" si="108"/>
        <v>880945.89999999991</v>
      </c>
      <c r="T510" s="432">
        <f t="shared" si="110"/>
        <v>735767.34028395289</v>
      </c>
      <c r="U510" s="62">
        <f t="shared" si="111"/>
        <v>735767.34028395289</v>
      </c>
      <c r="V510" s="62">
        <f t="shared" si="112"/>
        <v>0</v>
      </c>
    </row>
    <row r="511" spans="1:23" ht="50.15" customHeight="1" x14ac:dyDescent="0.6">
      <c r="A511" s="440">
        <v>1813270431</v>
      </c>
      <c r="B511" s="120">
        <v>81</v>
      </c>
      <c r="C511" s="121" t="s">
        <v>8</v>
      </c>
      <c r="D511" s="121" t="s">
        <v>8</v>
      </c>
      <c r="E511" s="121"/>
      <c r="F511" s="121" t="s">
        <v>458</v>
      </c>
      <c r="G511" s="122">
        <v>0</v>
      </c>
      <c r="H511" s="122" t="s">
        <v>8</v>
      </c>
      <c r="I511" s="122">
        <v>0</v>
      </c>
      <c r="J511" s="122">
        <v>0</v>
      </c>
      <c r="K511" s="122">
        <v>0</v>
      </c>
      <c r="L511" s="123"/>
      <c r="M511" s="123"/>
      <c r="N511" s="123"/>
      <c r="O511" s="122">
        <v>0</v>
      </c>
      <c r="P511" s="122">
        <v>0</v>
      </c>
      <c r="Q511" s="122">
        <v>12</v>
      </c>
      <c r="R511" s="122">
        <v>12</v>
      </c>
      <c r="S511" s="441">
        <f t="shared" ref="S511:S549" si="113">P511*Q511/R511</f>
        <v>0</v>
      </c>
      <c r="T511" s="432">
        <f t="shared" si="110"/>
        <v>0</v>
      </c>
      <c r="U511" s="62">
        <f t="shared" si="111"/>
        <v>0</v>
      </c>
      <c r="V511" s="62">
        <f t="shared" ref="V511:V542" si="114">S511-P511</f>
        <v>0</v>
      </c>
    </row>
    <row r="512" spans="1:23" ht="50.15" customHeight="1" x14ac:dyDescent="0.6">
      <c r="A512" s="440">
        <v>1813270432</v>
      </c>
      <c r="B512" s="120">
        <v>81</v>
      </c>
      <c r="C512" s="121" t="s">
        <v>8</v>
      </c>
      <c r="D512" s="121" t="s">
        <v>8</v>
      </c>
      <c r="E512" s="121"/>
      <c r="F512" s="121" t="s">
        <v>459</v>
      </c>
      <c r="G512" s="122">
        <v>0</v>
      </c>
      <c r="H512" s="122" t="s">
        <v>8</v>
      </c>
      <c r="I512" s="122">
        <v>0</v>
      </c>
      <c r="J512" s="122">
        <v>0</v>
      </c>
      <c r="K512" s="122">
        <v>0</v>
      </c>
      <c r="L512" s="123"/>
      <c r="M512" s="123"/>
      <c r="N512" s="123"/>
      <c r="O512" s="122">
        <v>0</v>
      </c>
      <c r="P512" s="122">
        <v>0</v>
      </c>
      <c r="Q512" s="122">
        <v>12</v>
      </c>
      <c r="R512" s="122">
        <v>12</v>
      </c>
      <c r="S512" s="441">
        <f t="shared" si="113"/>
        <v>0</v>
      </c>
      <c r="T512" s="432">
        <f t="shared" ref="T512:T573" si="115">P512-K512</f>
        <v>0</v>
      </c>
      <c r="U512" s="62">
        <f t="shared" ref="U512:U573" si="116">S512-K512</f>
        <v>0</v>
      </c>
      <c r="V512" s="62">
        <f t="shared" si="114"/>
        <v>0</v>
      </c>
    </row>
    <row r="513" spans="1:24" ht="50.15" customHeight="1" x14ac:dyDescent="0.6">
      <c r="A513" s="440">
        <v>1813270780</v>
      </c>
      <c r="B513" s="120">
        <v>81</v>
      </c>
      <c r="C513" s="121" t="s">
        <v>22</v>
      </c>
      <c r="D513" s="121" t="s">
        <v>33</v>
      </c>
      <c r="E513" s="121"/>
      <c r="F513" s="121" t="s">
        <v>460</v>
      </c>
      <c r="G513" s="122">
        <v>222018</v>
      </c>
      <c r="H513" s="122">
        <v>230790</v>
      </c>
      <c r="I513" s="122">
        <v>277696.80000000005</v>
      </c>
      <c r="J513" s="122">
        <v>332031.57</v>
      </c>
      <c r="K513" s="122">
        <v>230790</v>
      </c>
      <c r="L513" s="123"/>
      <c r="M513" s="123"/>
      <c r="N513" s="123"/>
      <c r="O513" s="226">
        <v>231414</v>
      </c>
      <c r="P513" s="122">
        <v>232000</v>
      </c>
      <c r="Q513" s="122">
        <v>10</v>
      </c>
      <c r="R513" s="122">
        <v>12</v>
      </c>
      <c r="S513" s="441">
        <f t="shared" si="113"/>
        <v>193333.33333333334</v>
      </c>
      <c r="T513" s="432">
        <f t="shared" si="115"/>
        <v>1210</v>
      </c>
      <c r="U513" s="62">
        <f t="shared" si="116"/>
        <v>-37456.666666666657</v>
      </c>
      <c r="V513" s="62">
        <f t="shared" si="114"/>
        <v>-38666.666666666657</v>
      </c>
    </row>
    <row r="514" spans="1:24" ht="50.15" customHeight="1" x14ac:dyDescent="0.6">
      <c r="A514" s="440">
        <v>1813280110</v>
      </c>
      <c r="B514" s="120">
        <v>81</v>
      </c>
      <c r="C514" s="121" t="s">
        <v>21</v>
      </c>
      <c r="D514" s="121" t="s">
        <v>33</v>
      </c>
      <c r="E514" s="121" t="s">
        <v>583</v>
      </c>
      <c r="F514" s="121" t="s">
        <v>461</v>
      </c>
      <c r="G514" s="122">
        <v>1002456.7</v>
      </c>
      <c r="H514" s="122">
        <v>1011187.22</v>
      </c>
      <c r="I514" s="122">
        <v>1181000</v>
      </c>
      <c r="J514" s="122">
        <v>1199523.2445</v>
      </c>
      <c r="K514" s="122">
        <v>911092.5865079778</v>
      </c>
      <c r="L514" s="123">
        <v>9.3544999999999998</v>
      </c>
      <c r="M514" s="123">
        <v>9.3544999999999998</v>
      </c>
      <c r="N514" s="123">
        <f>ריכוז!K46</f>
        <v>9.2199999999999989</v>
      </c>
      <c r="O514" s="226">
        <v>1194230.68</v>
      </c>
      <c r="P514" s="122">
        <f>ריכוז!M46</f>
        <v>1205332.8</v>
      </c>
      <c r="Q514" s="122">
        <v>12</v>
      </c>
      <c r="R514" s="122">
        <v>12</v>
      </c>
      <c r="S514" s="441">
        <f t="shared" si="113"/>
        <v>1205332.8</v>
      </c>
      <c r="T514" s="432">
        <f t="shared" si="115"/>
        <v>294240.21349202225</v>
      </c>
      <c r="U514" s="62">
        <f t="shared" si="116"/>
        <v>294240.21349202225</v>
      </c>
      <c r="V514" s="62">
        <f t="shared" si="114"/>
        <v>0</v>
      </c>
    </row>
    <row r="515" spans="1:24" ht="50.15" customHeight="1" x14ac:dyDescent="0.6">
      <c r="A515" s="440">
        <v>1813280780</v>
      </c>
      <c r="B515" s="120">
        <v>81</v>
      </c>
      <c r="C515" s="121" t="s">
        <v>22</v>
      </c>
      <c r="D515" s="121" t="s">
        <v>33</v>
      </c>
      <c r="E515" s="121"/>
      <c r="F515" s="121" t="s">
        <v>462</v>
      </c>
      <c r="G515" s="122">
        <v>179999.99</v>
      </c>
      <c r="H515" s="122">
        <v>180000</v>
      </c>
      <c r="I515" s="122">
        <v>180000</v>
      </c>
      <c r="J515" s="122">
        <v>220000</v>
      </c>
      <c r="K515" s="122">
        <v>180000</v>
      </c>
      <c r="L515" s="123"/>
      <c r="M515" s="123"/>
      <c r="N515" s="123"/>
      <c r="O515" s="226">
        <v>180518</v>
      </c>
      <c r="P515" s="122">
        <f>25000+185000</f>
        <v>210000</v>
      </c>
      <c r="Q515" s="122">
        <v>12</v>
      </c>
      <c r="R515" s="122">
        <v>12</v>
      </c>
      <c r="S515" s="441">
        <f t="shared" si="113"/>
        <v>210000</v>
      </c>
      <c r="T515" s="432">
        <f t="shared" si="115"/>
        <v>30000</v>
      </c>
      <c r="U515" s="62">
        <f t="shared" si="116"/>
        <v>30000</v>
      </c>
      <c r="V515" s="62">
        <f t="shared" si="114"/>
        <v>0</v>
      </c>
      <c r="X515" s="239" t="s">
        <v>3562</v>
      </c>
    </row>
    <row r="516" spans="1:24" ht="50.15" customHeight="1" x14ac:dyDescent="0.6">
      <c r="A516" s="440">
        <v>1813280785</v>
      </c>
      <c r="B516" s="120">
        <v>81</v>
      </c>
      <c r="C516" s="121" t="s">
        <v>22</v>
      </c>
      <c r="D516" s="121" t="s">
        <v>33</v>
      </c>
      <c r="E516" s="121"/>
      <c r="F516" s="121" t="s">
        <v>463</v>
      </c>
      <c r="G516" s="122">
        <v>211520.12</v>
      </c>
      <c r="H516" s="122">
        <v>180000</v>
      </c>
      <c r="I516" s="122">
        <v>234312.74399999998</v>
      </c>
      <c r="J516" s="122">
        <v>235000</v>
      </c>
      <c r="K516" s="122">
        <v>180000</v>
      </c>
      <c r="L516" s="123"/>
      <c r="M516" s="123"/>
      <c r="N516" s="123"/>
      <c r="O516" s="226">
        <v>208523.42</v>
      </c>
      <c r="P516" s="122">
        <v>210000</v>
      </c>
      <c r="Q516" s="122">
        <v>12</v>
      </c>
      <c r="R516" s="122">
        <v>12</v>
      </c>
      <c r="S516" s="441">
        <f t="shared" si="113"/>
        <v>210000</v>
      </c>
      <c r="T516" s="432">
        <f t="shared" si="115"/>
        <v>30000</v>
      </c>
      <c r="U516" s="62">
        <f t="shared" si="116"/>
        <v>30000</v>
      </c>
      <c r="V516" s="62">
        <f t="shared" si="114"/>
        <v>0</v>
      </c>
    </row>
    <row r="517" spans="1:24" ht="50.15" customHeight="1" x14ac:dyDescent="0.6">
      <c r="A517" s="440">
        <v>1813280786</v>
      </c>
      <c r="B517" s="120">
        <v>81</v>
      </c>
      <c r="C517" s="121" t="s">
        <v>22</v>
      </c>
      <c r="D517" s="121" t="s">
        <v>33</v>
      </c>
      <c r="E517" s="121"/>
      <c r="F517" s="121" t="s">
        <v>464</v>
      </c>
      <c r="G517" s="122">
        <v>7780.84</v>
      </c>
      <c r="H517" s="122">
        <v>50000</v>
      </c>
      <c r="I517" s="122">
        <v>25000</v>
      </c>
      <c r="J517" s="122">
        <v>30000</v>
      </c>
      <c r="K517" s="122">
        <v>50000</v>
      </c>
      <c r="L517" s="123"/>
      <c r="M517" s="123"/>
      <c r="N517" s="123"/>
      <c r="O517" s="226">
        <v>22359.19</v>
      </c>
      <c r="P517" s="122">
        <v>23000</v>
      </c>
      <c r="Q517" s="122">
        <v>10</v>
      </c>
      <c r="R517" s="122">
        <v>12</v>
      </c>
      <c r="S517" s="441">
        <f t="shared" si="113"/>
        <v>19166.666666666668</v>
      </c>
      <c r="T517" s="432">
        <f t="shared" si="115"/>
        <v>-27000</v>
      </c>
      <c r="U517" s="62">
        <f t="shared" si="116"/>
        <v>-30833.333333333332</v>
      </c>
      <c r="V517" s="62">
        <f t="shared" si="114"/>
        <v>-3833.3333333333321</v>
      </c>
    </row>
    <row r="518" spans="1:24" ht="50.15" customHeight="1" x14ac:dyDescent="0.6">
      <c r="A518" s="440">
        <v>1813300110</v>
      </c>
      <c r="B518" s="120">
        <v>81</v>
      </c>
      <c r="C518" s="121" t="s">
        <v>21</v>
      </c>
      <c r="D518" s="121" t="s">
        <v>33</v>
      </c>
      <c r="E518" s="121" t="s">
        <v>583</v>
      </c>
      <c r="F518" s="121" t="s">
        <v>465</v>
      </c>
      <c r="G518" s="122">
        <v>3212056.53</v>
      </c>
      <c r="H518" s="122">
        <v>3197516.02</v>
      </c>
      <c r="I518" s="122">
        <v>3676000</v>
      </c>
      <c r="J518" s="122">
        <v>3381435.2664166666</v>
      </c>
      <c r="K518" s="122">
        <v>3223321.0808768976</v>
      </c>
      <c r="L518" s="123">
        <v>26.585000000000001</v>
      </c>
      <c r="M518" s="123">
        <v>26.785</v>
      </c>
      <c r="N518" s="123">
        <f>ריכוז!K47</f>
        <v>21.585000000000001</v>
      </c>
      <c r="O518" s="226">
        <v>3712805.2</v>
      </c>
      <c r="P518" s="122">
        <f>ריכוז!M47</f>
        <v>3159267.2000000007</v>
      </c>
      <c r="Q518" s="122">
        <v>12</v>
      </c>
      <c r="R518" s="122">
        <v>12</v>
      </c>
      <c r="S518" s="441">
        <f t="shared" si="113"/>
        <v>3159267.2000000007</v>
      </c>
      <c r="T518" s="432">
        <f t="shared" si="115"/>
        <v>-64053.880876896903</v>
      </c>
      <c r="U518" s="62">
        <f t="shared" si="116"/>
        <v>-64053.880876896903</v>
      </c>
      <c r="V518" s="62">
        <f t="shared" si="114"/>
        <v>0</v>
      </c>
    </row>
    <row r="519" spans="1:24" ht="50.15" customHeight="1" x14ac:dyDescent="0.6">
      <c r="A519" s="440">
        <v>1813300431</v>
      </c>
      <c r="B519" s="120">
        <v>81</v>
      </c>
      <c r="C519" s="121" t="s">
        <v>22</v>
      </c>
      <c r="D519" s="121" t="s">
        <v>33</v>
      </c>
      <c r="E519" s="121"/>
      <c r="F519" s="121" t="s">
        <v>466</v>
      </c>
      <c r="G519" s="122">
        <v>83223.7</v>
      </c>
      <c r="H519" s="122">
        <v>84282.05</v>
      </c>
      <c r="I519" s="122">
        <v>85000</v>
      </c>
      <c r="J519" s="122">
        <v>85000</v>
      </c>
      <c r="K519" s="122">
        <v>84282.047999999981</v>
      </c>
      <c r="L519" s="123"/>
      <c r="M519" s="123"/>
      <c r="N519" s="123"/>
      <c r="O519" s="226">
        <v>90385.62</v>
      </c>
      <c r="P519" s="122">
        <v>91000</v>
      </c>
      <c r="Q519" s="122">
        <v>12</v>
      </c>
      <c r="R519" s="122">
        <v>12</v>
      </c>
      <c r="S519" s="441">
        <f t="shared" si="113"/>
        <v>91000</v>
      </c>
      <c r="T519" s="432">
        <f t="shared" si="115"/>
        <v>6717.9520000000193</v>
      </c>
      <c r="U519" s="62">
        <f t="shared" si="116"/>
        <v>6717.9520000000193</v>
      </c>
      <c r="V519" s="62">
        <f t="shared" si="114"/>
        <v>0</v>
      </c>
    </row>
    <row r="520" spans="1:24" ht="50.15" customHeight="1" x14ac:dyDescent="0.6">
      <c r="A520" s="440">
        <v>1813300432</v>
      </c>
      <c r="B520" s="120">
        <v>81</v>
      </c>
      <c r="C520" s="121" t="s">
        <v>22</v>
      </c>
      <c r="D520" s="121" t="s">
        <v>33</v>
      </c>
      <c r="E520" s="121"/>
      <c r="F520" s="121" t="s">
        <v>467</v>
      </c>
      <c r="G520" s="122">
        <v>23824.37</v>
      </c>
      <c r="H520" s="122">
        <v>35000</v>
      </c>
      <c r="I520" s="122">
        <v>30000</v>
      </c>
      <c r="J520" s="122">
        <v>30000</v>
      </c>
      <c r="K520" s="122">
        <v>35000</v>
      </c>
      <c r="L520" s="123"/>
      <c r="M520" s="123"/>
      <c r="N520" s="123"/>
      <c r="O520" s="226">
        <v>88608.78</v>
      </c>
      <c r="P520" s="122">
        <v>90000</v>
      </c>
      <c r="Q520" s="122">
        <v>12</v>
      </c>
      <c r="R520" s="122">
        <v>12</v>
      </c>
      <c r="S520" s="441">
        <f t="shared" si="113"/>
        <v>90000</v>
      </c>
      <c r="T520" s="432">
        <f t="shared" si="115"/>
        <v>55000</v>
      </c>
      <c r="U520" s="62">
        <f t="shared" si="116"/>
        <v>55000</v>
      </c>
      <c r="V520" s="62">
        <f t="shared" si="114"/>
        <v>0</v>
      </c>
    </row>
    <row r="521" spans="1:24" ht="50.15" customHeight="1" x14ac:dyDescent="0.6">
      <c r="A521" s="440">
        <v>1813300780</v>
      </c>
      <c r="B521" s="120">
        <v>81</v>
      </c>
      <c r="C521" s="121" t="s">
        <v>22</v>
      </c>
      <c r="D521" s="121" t="s">
        <v>33</v>
      </c>
      <c r="E521" s="121"/>
      <c r="F521" s="121" t="s">
        <v>468</v>
      </c>
      <c r="G521" s="122">
        <v>33513.269999999997</v>
      </c>
      <c r="H521" s="122">
        <v>20000</v>
      </c>
      <c r="I521" s="122">
        <v>50000</v>
      </c>
      <c r="J521" s="122">
        <v>120000</v>
      </c>
      <c r="K521" s="122">
        <v>20000</v>
      </c>
      <c r="L521" s="123"/>
      <c r="M521" s="123"/>
      <c r="N521" s="123"/>
      <c r="O521" s="226">
        <v>48988.65</v>
      </c>
      <c r="P521" s="122">
        <v>50000</v>
      </c>
      <c r="Q521" s="122">
        <v>12</v>
      </c>
      <c r="R521" s="122">
        <v>12</v>
      </c>
      <c r="S521" s="441">
        <f t="shared" si="113"/>
        <v>50000</v>
      </c>
      <c r="T521" s="432">
        <f t="shared" si="115"/>
        <v>30000</v>
      </c>
      <c r="U521" s="62">
        <f t="shared" si="116"/>
        <v>30000</v>
      </c>
      <c r="V521" s="62">
        <f t="shared" si="114"/>
        <v>0</v>
      </c>
    </row>
    <row r="522" spans="1:24" ht="50.15" customHeight="1" x14ac:dyDescent="0.6">
      <c r="A522" s="440">
        <v>1813300785</v>
      </c>
      <c r="B522" s="120">
        <v>81</v>
      </c>
      <c r="C522" s="121" t="s">
        <v>22</v>
      </c>
      <c r="D522" s="121" t="s">
        <v>33</v>
      </c>
      <c r="E522" s="121"/>
      <c r="F522" s="121" t="s">
        <v>110</v>
      </c>
      <c r="G522" s="122">
        <v>180880.69</v>
      </c>
      <c r="H522" s="122">
        <v>220000</v>
      </c>
      <c r="I522" s="122">
        <v>256858.82399999996</v>
      </c>
      <c r="J522" s="122">
        <v>270000</v>
      </c>
      <c r="K522" s="122">
        <v>220000</v>
      </c>
      <c r="L522" s="123"/>
      <c r="M522" s="123"/>
      <c r="N522" s="123"/>
      <c r="O522" s="226">
        <v>260411.92</v>
      </c>
      <c r="P522" s="122">
        <v>260000</v>
      </c>
      <c r="Q522" s="122">
        <v>12</v>
      </c>
      <c r="R522" s="122">
        <v>12</v>
      </c>
      <c r="S522" s="441">
        <f t="shared" si="113"/>
        <v>260000</v>
      </c>
      <c r="T522" s="432">
        <f t="shared" si="115"/>
        <v>40000</v>
      </c>
      <c r="U522" s="62">
        <f t="shared" si="116"/>
        <v>40000</v>
      </c>
      <c r="V522" s="62">
        <f t="shared" si="114"/>
        <v>0</v>
      </c>
    </row>
    <row r="523" spans="1:24" ht="50.15" customHeight="1" x14ac:dyDescent="0.6">
      <c r="A523" s="440">
        <v>1813600110</v>
      </c>
      <c r="B523" s="120">
        <v>81</v>
      </c>
      <c r="C523" s="121" t="s">
        <v>21</v>
      </c>
      <c r="D523" s="121" t="s">
        <v>33</v>
      </c>
      <c r="E523" s="121" t="s">
        <v>583</v>
      </c>
      <c r="F523" s="121" t="s">
        <v>469</v>
      </c>
      <c r="G523" s="122">
        <v>335944.64</v>
      </c>
      <c r="H523" s="122">
        <v>333497.51</v>
      </c>
      <c r="I523" s="122">
        <v>390605</v>
      </c>
      <c r="J523" s="122">
        <v>391252.75034999999</v>
      </c>
      <c r="K523" s="122">
        <v>329547.81218701613</v>
      </c>
      <c r="L523" s="123">
        <v>3.6940999999999997</v>
      </c>
      <c r="M523" s="123">
        <v>3.6940999999999997</v>
      </c>
      <c r="N523" s="123">
        <f>ריכוז!K48</f>
        <v>3.71</v>
      </c>
      <c r="O523" s="226">
        <v>387174.07</v>
      </c>
      <c r="P523" s="122">
        <f>ריכוז!M48</f>
        <v>394880.72</v>
      </c>
      <c r="Q523" s="122">
        <v>12</v>
      </c>
      <c r="R523" s="122">
        <v>12</v>
      </c>
      <c r="S523" s="441">
        <f t="shared" si="113"/>
        <v>394880.72</v>
      </c>
      <c r="T523" s="432">
        <f t="shared" si="115"/>
        <v>65332.907812983845</v>
      </c>
      <c r="U523" s="62">
        <f t="shared" si="116"/>
        <v>65332.907812983845</v>
      </c>
      <c r="V523" s="62">
        <f t="shared" si="114"/>
        <v>0</v>
      </c>
    </row>
    <row r="524" spans="1:24" ht="50.15" customHeight="1" x14ac:dyDescent="0.6">
      <c r="A524" s="440">
        <v>1813600431</v>
      </c>
      <c r="B524" s="120">
        <v>81</v>
      </c>
      <c r="C524" s="121" t="s">
        <v>22</v>
      </c>
      <c r="D524" s="121" t="s">
        <v>33</v>
      </c>
      <c r="E524" s="121"/>
      <c r="F524" s="121" t="s">
        <v>470</v>
      </c>
      <c r="G524" s="122">
        <v>8461.36</v>
      </c>
      <c r="H524" s="122">
        <v>8596.6200000000008</v>
      </c>
      <c r="I524" s="122">
        <v>12000</v>
      </c>
      <c r="J524" s="122">
        <v>12000</v>
      </c>
      <c r="K524" s="122">
        <v>8596.619999999999</v>
      </c>
      <c r="L524" s="123"/>
      <c r="M524" s="123"/>
      <c r="N524" s="123"/>
      <c r="O524" s="226">
        <v>12068.24</v>
      </c>
      <c r="P524" s="122">
        <v>12000</v>
      </c>
      <c r="Q524" s="122">
        <v>12</v>
      </c>
      <c r="R524" s="122">
        <v>12</v>
      </c>
      <c r="S524" s="441">
        <f t="shared" si="113"/>
        <v>12000</v>
      </c>
      <c r="T524" s="432">
        <f t="shared" si="115"/>
        <v>3403.380000000001</v>
      </c>
      <c r="U524" s="62">
        <f t="shared" si="116"/>
        <v>3403.380000000001</v>
      </c>
      <c r="V524" s="62">
        <f t="shared" si="114"/>
        <v>0</v>
      </c>
    </row>
    <row r="525" spans="1:24" ht="50.15" customHeight="1" x14ac:dyDescent="0.6">
      <c r="A525" s="440">
        <v>1813600432</v>
      </c>
      <c r="B525" s="120">
        <v>81</v>
      </c>
      <c r="C525" s="121" t="s">
        <v>22</v>
      </c>
      <c r="D525" s="121" t="s">
        <v>33</v>
      </c>
      <c r="E525" s="121"/>
      <c r="F525" s="121" t="s">
        <v>471</v>
      </c>
      <c r="G525" s="122">
        <v>5765.63</v>
      </c>
      <c r="H525" s="122">
        <v>8000</v>
      </c>
      <c r="I525" s="122">
        <v>7000</v>
      </c>
      <c r="J525" s="122">
        <v>7000</v>
      </c>
      <c r="K525" s="122">
        <v>8000</v>
      </c>
      <c r="L525" s="123"/>
      <c r="M525" s="123"/>
      <c r="N525" s="123"/>
      <c r="O525" s="226">
        <v>8980.92</v>
      </c>
      <c r="P525" s="122">
        <v>9000</v>
      </c>
      <c r="Q525" s="122">
        <v>12</v>
      </c>
      <c r="R525" s="122">
        <v>12</v>
      </c>
      <c r="S525" s="441">
        <f t="shared" si="113"/>
        <v>9000</v>
      </c>
      <c r="T525" s="432">
        <f t="shared" si="115"/>
        <v>1000</v>
      </c>
      <c r="U525" s="62">
        <f t="shared" si="116"/>
        <v>1000</v>
      </c>
      <c r="V525" s="62">
        <f t="shared" si="114"/>
        <v>0</v>
      </c>
    </row>
    <row r="526" spans="1:24" ht="50.15" customHeight="1" x14ac:dyDescent="0.6">
      <c r="A526" s="440">
        <v>1813600540</v>
      </c>
      <c r="B526" s="120">
        <v>81</v>
      </c>
      <c r="C526" s="121" t="s">
        <v>22</v>
      </c>
      <c r="D526" s="121" t="s">
        <v>33</v>
      </c>
      <c r="E526" s="121"/>
      <c r="F526" s="121" t="s">
        <v>472</v>
      </c>
      <c r="G526" s="122">
        <v>4573.84</v>
      </c>
      <c r="H526" s="122">
        <v>3000</v>
      </c>
      <c r="I526" s="122">
        <v>3000</v>
      </c>
      <c r="J526" s="122">
        <v>3000</v>
      </c>
      <c r="K526" s="122">
        <v>3000</v>
      </c>
      <c r="L526" s="123"/>
      <c r="M526" s="123"/>
      <c r="N526" s="123"/>
      <c r="O526" s="226">
        <v>3900</v>
      </c>
      <c r="P526" s="122">
        <v>3900</v>
      </c>
      <c r="Q526" s="122">
        <v>12</v>
      </c>
      <c r="R526" s="122">
        <v>12</v>
      </c>
      <c r="S526" s="441">
        <f t="shared" si="113"/>
        <v>3900</v>
      </c>
      <c r="T526" s="432">
        <f t="shared" si="115"/>
        <v>900</v>
      </c>
      <c r="U526" s="62">
        <f t="shared" si="116"/>
        <v>900</v>
      </c>
      <c r="V526" s="62">
        <f t="shared" si="114"/>
        <v>0</v>
      </c>
    </row>
    <row r="527" spans="1:24" ht="50.15" customHeight="1" x14ac:dyDescent="0.6">
      <c r="A527" s="440">
        <v>1813600780</v>
      </c>
      <c r="B527" s="120">
        <v>81</v>
      </c>
      <c r="C527" s="121" t="s">
        <v>22</v>
      </c>
      <c r="D527" s="121" t="s">
        <v>33</v>
      </c>
      <c r="E527" s="121"/>
      <c r="F527" s="121" t="s">
        <v>473</v>
      </c>
      <c r="G527" s="122">
        <v>212538.48</v>
      </c>
      <c r="H527" s="122">
        <v>180000</v>
      </c>
      <c r="I527" s="122">
        <v>145000</v>
      </c>
      <c r="J527" s="122">
        <v>180000</v>
      </c>
      <c r="K527" s="122">
        <v>180000</v>
      </c>
      <c r="L527" s="123"/>
      <c r="M527" s="123"/>
      <c r="N527" s="123"/>
      <c r="O527" s="226">
        <v>158892.49</v>
      </c>
      <c r="P527" s="122">
        <v>159000</v>
      </c>
      <c r="Q527" s="122">
        <v>12</v>
      </c>
      <c r="R527" s="122">
        <v>12</v>
      </c>
      <c r="S527" s="441">
        <f t="shared" si="113"/>
        <v>159000</v>
      </c>
      <c r="T527" s="432">
        <f t="shared" si="115"/>
        <v>-21000</v>
      </c>
      <c r="U527" s="62">
        <f t="shared" si="116"/>
        <v>-21000</v>
      </c>
      <c r="V527" s="62">
        <f t="shared" si="114"/>
        <v>0</v>
      </c>
    </row>
    <row r="528" spans="1:24" ht="50.15" customHeight="1" x14ac:dyDescent="0.6">
      <c r="A528" s="440">
        <v>1813700110</v>
      </c>
      <c r="B528" s="120">
        <v>81</v>
      </c>
      <c r="C528" s="121" t="s">
        <v>21</v>
      </c>
      <c r="D528" s="121" t="s">
        <v>33</v>
      </c>
      <c r="E528" s="121" t="s">
        <v>583</v>
      </c>
      <c r="F528" s="121" t="s">
        <v>474</v>
      </c>
      <c r="G528" s="122">
        <v>248944.29</v>
      </c>
      <c r="H528" s="122">
        <v>211074.88</v>
      </c>
      <c r="I528" s="122">
        <v>252000</v>
      </c>
      <c r="J528" s="122">
        <v>192792.27695</v>
      </c>
      <c r="K528" s="122">
        <v>215655.20369792232</v>
      </c>
      <c r="L528" s="123">
        <v>2.0803000000000003</v>
      </c>
      <c r="M528" s="123">
        <v>2.0803000000000003</v>
      </c>
      <c r="N528" s="123">
        <f>ריכוז!K49</f>
        <v>2</v>
      </c>
      <c r="O528" s="226">
        <v>254496.99</v>
      </c>
      <c r="P528" s="122">
        <f>ריכוז!M49</f>
        <v>232982</v>
      </c>
      <c r="Q528" s="122">
        <v>12</v>
      </c>
      <c r="R528" s="122">
        <v>12</v>
      </c>
      <c r="S528" s="441">
        <f t="shared" si="113"/>
        <v>232982</v>
      </c>
      <c r="T528" s="432">
        <f t="shared" si="115"/>
        <v>17326.796302077681</v>
      </c>
      <c r="U528" s="62">
        <f t="shared" si="116"/>
        <v>17326.796302077681</v>
      </c>
      <c r="V528" s="62">
        <f t="shared" si="114"/>
        <v>0</v>
      </c>
    </row>
    <row r="529" spans="1:23" ht="50.15" customHeight="1" x14ac:dyDescent="0.6">
      <c r="A529" s="440">
        <v>1813700780</v>
      </c>
      <c r="B529" s="120">
        <v>81</v>
      </c>
      <c r="C529" s="121" t="s">
        <v>22</v>
      </c>
      <c r="D529" s="121" t="s">
        <v>33</v>
      </c>
      <c r="E529" s="121"/>
      <c r="F529" s="121" t="s">
        <v>475</v>
      </c>
      <c r="G529" s="122">
        <v>30634.54</v>
      </c>
      <c r="H529" s="122">
        <v>75000</v>
      </c>
      <c r="I529" s="122">
        <v>50000</v>
      </c>
      <c r="J529" s="122">
        <v>65000</v>
      </c>
      <c r="K529" s="122">
        <v>75000</v>
      </c>
      <c r="L529" s="123"/>
      <c r="M529" s="123"/>
      <c r="N529" s="123"/>
      <c r="O529" s="226">
        <v>60097.4</v>
      </c>
      <c r="P529" s="122">
        <v>61000</v>
      </c>
      <c r="Q529" s="122">
        <v>12</v>
      </c>
      <c r="R529" s="122">
        <v>12</v>
      </c>
      <c r="S529" s="441">
        <f t="shared" si="113"/>
        <v>61000</v>
      </c>
      <c r="T529" s="432">
        <f t="shared" si="115"/>
        <v>-14000</v>
      </c>
      <c r="U529" s="62">
        <f t="shared" si="116"/>
        <v>-14000</v>
      </c>
      <c r="V529" s="62">
        <f t="shared" si="114"/>
        <v>0</v>
      </c>
    </row>
    <row r="530" spans="1:23" ht="50.15" customHeight="1" x14ac:dyDescent="0.6">
      <c r="A530" s="440">
        <v>1813800780</v>
      </c>
      <c r="B530" s="120">
        <v>81</v>
      </c>
      <c r="C530" s="121" t="s">
        <v>22</v>
      </c>
      <c r="D530" s="121" t="s">
        <v>33</v>
      </c>
      <c r="E530" s="121"/>
      <c r="F530" s="121" t="s">
        <v>476</v>
      </c>
      <c r="G530" s="122">
        <v>343729.74</v>
      </c>
      <c r="H530" s="122">
        <v>450000</v>
      </c>
      <c r="I530" s="122">
        <v>360390</v>
      </c>
      <c r="J530" s="122">
        <v>450000</v>
      </c>
      <c r="K530" s="122">
        <v>450000</v>
      </c>
      <c r="L530" s="123"/>
      <c r="M530" s="123"/>
      <c r="N530" s="123"/>
      <c r="O530" s="226">
        <v>330068.43</v>
      </c>
      <c r="P530" s="122">
        <v>450000</v>
      </c>
      <c r="Q530" s="122">
        <v>12</v>
      </c>
      <c r="R530" s="122">
        <v>12</v>
      </c>
      <c r="S530" s="441">
        <f t="shared" si="113"/>
        <v>450000</v>
      </c>
      <c r="T530" s="432">
        <f t="shared" si="115"/>
        <v>0</v>
      </c>
      <c r="U530" s="62">
        <f t="shared" si="116"/>
        <v>0</v>
      </c>
      <c r="V530" s="62">
        <f t="shared" si="114"/>
        <v>0</v>
      </c>
      <c r="W530" s="153" t="s">
        <v>896</v>
      </c>
    </row>
    <row r="531" spans="1:23" ht="50.15" customHeight="1" x14ac:dyDescent="0.6">
      <c r="A531" s="440">
        <v>1813810110</v>
      </c>
      <c r="B531" s="120">
        <v>81</v>
      </c>
      <c r="C531" s="121" t="s">
        <v>21</v>
      </c>
      <c r="D531" s="121" t="s">
        <v>33</v>
      </c>
      <c r="E531" s="121" t="s">
        <v>583</v>
      </c>
      <c r="F531" s="121" t="s">
        <v>477</v>
      </c>
      <c r="G531" s="122">
        <v>354390.76</v>
      </c>
      <c r="H531" s="122">
        <v>330158.88</v>
      </c>
      <c r="I531" s="122">
        <v>394294</v>
      </c>
      <c r="J531" s="122">
        <v>397527.55139999994</v>
      </c>
      <c r="K531" s="122">
        <v>48768.680023510577</v>
      </c>
      <c r="L531" s="123">
        <v>0</v>
      </c>
      <c r="M531" s="123">
        <v>0</v>
      </c>
      <c r="N531" s="123"/>
      <c r="O531" s="226">
        <v>333006.74</v>
      </c>
      <c r="P531" s="122">
        <f>ריכוז!S50</f>
        <v>170000</v>
      </c>
      <c r="Q531" s="122">
        <v>12</v>
      </c>
      <c r="R531" s="122">
        <v>12</v>
      </c>
      <c r="S531" s="441">
        <f t="shared" si="113"/>
        <v>170000</v>
      </c>
      <c r="T531" s="432">
        <f t="shared" si="115"/>
        <v>121231.31997648942</v>
      </c>
      <c r="U531" s="62">
        <f t="shared" si="116"/>
        <v>121231.31997648942</v>
      </c>
      <c r="V531" s="62">
        <f t="shared" si="114"/>
        <v>0</v>
      </c>
      <c r="W531" s="153" t="s">
        <v>921</v>
      </c>
    </row>
    <row r="532" spans="1:23" ht="50.15" customHeight="1" x14ac:dyDescent="0.6">
      <c r="A532" s="440">
        <v>1813810780</v>
      </c>
      <c r="B532" s="120">
        <v>81</v>
      </c>
      <c r="C532" s="121" t="s">
        <v>22</v>
      </c>
      <c r="D532" s="121" t="s">
        <v>33</v>
      </c>
      <c r="E532" s="121"/>
      <c r="F532" s="121" t="s">
        <v>478</v>
      </c>
      <c r="G532" s="122">
        <v>145573</v>
      </c>
      <c r="H532" s="122">
        <v>100000</v>
      </c>
      <c r="I532" s="122">
        <v>180000</v>
      </c>
      <c r="J532" s="122">
        <v>180000</v>
      </c>
      <c r="K532" s="122">
        <v>100000</v>
      </c>
      <c r="L532" s="123"/>
      <c r="M532" s="123"/>
      <c r="N532" s="123"/>
      <c r="O532" s="226">
        <v>164758.70000000001</v>
      </c>
      <c r="P532" s="122">
        <v>180000</v>
      </c>
      <c r="Q532" s="122">
        <v>0</v>
      </c>
      <c r="R532" s="122">
        <v>12</v>
      </c>
      <c r="S532" s="441">
        <f t="shared" si="113"/>
        <v>0</v>
      </c>
      <c r="T532" s="432">
        <f t="shared" si="115"/>
        <v>80000</v>
      </c>
      <c r="U532" s="62">
        <f t="shared" si="116"/>
        <v>-100000</v>
      </c>
      <c r="V532" s="62">
        <f t="shared" si="114"/>
        <v>-180000</v>
      </c>
      <c r="W532" s="153" t="s">
        <v>896</v>
      </c>
    </row>
    <row r="533" spans="1:23" ht="50.15" customHeight="1" x14ac:dyDescent="0.6">
      <c r="A533" s="440">
        <v>1813810781</v>
      </c>
      <c r="B533" s="120">
        <v>81</v>
      </c>
      <c r="C533" s="121" t="s">
        <v>22</v>
      </c>
      <c r="D533" s="121" t="s">
        <v>33</v>
      </c>
      <c r="E533" s="121"/>
      <c r="F533" s="121" t="s">
        <v>479</v>
      </c>
      <c r="G533" s="122">
        <v>0</v>
      </c>
      <c r="H533" s="122">
        <v>200000</v>
      </c>
      <c r="I533" s="122">
        <v>200000</v>
      </c>
      <c r="J533" s="122"/>
      <c r="K533" s="122">
        <v>200000</v>
      </c>
      <c r="L533" s="123"/>
      <c r="M533" s="123"/>
      <c r="N533" s="123"/>
      <c r="O533" s="226">
        <v>0</v>
      </c>
      <c r="P533" s="122"/>
      <c r="Q533" s="122">
        <v>12</v>
      </c>
      <c r="R533" s="122">
        <v>12</v>
      </c>
      <c r="S533" s="441">
        <f t="shared" si="113"/>
        <v>0</v>
      </c>
      <c r="T533" s="432">
        <f t="shared" si="115"/>
        <v>-200000</v>
      </c>
      <c r="U533" s="62">
        <f t="shared" si="116"/>
        <v>-200000</v>
      </c>
      <c r="V533" s="62">
        <f t="shared" si="114"/>
        <v>0</v>
      </c>
    </row>
    <row r="534" spans="1:23" ht="50.15" customHeight="1" x14ac:dyDescent="0.6">
      <c r="A534" s="440">
        <v>1814000110</v>
      </c>
      <c r="B534" s="120">
        <v>81</v>
      </c>
      <c r="C534" s="121" t="s">
        <v>8</v>
      </c>
      <c r="D534" s="121" t="s">
        <v>8</v>
      </c>
      <c r="E534" s="121"/>
      <c r="F534" s="121" t="s">
        <v>480</v>
      </c>
      <c r="G534" s="122">
        <v>0</v>
      </c>
      <c r="H534" s="122" t="s">
        <v>8</v>
      </c>
      <c r="I534" s="122">
        <v>0</v>
      </c>
      <c r="J534" s="122">
        <v>0</v>
      </c>
      <c r="K534" s="122">
        <v>0</v>
      </c>
      <c r="L534" s="123">
        <v>0</v>
      </c>
      <c r="M534" s="123">
        <v>0</v>
      </c>
      <c r="N534" s="123"/>
      <c r="O534" s="122">
        <v>0</v>
      </c>
      <c r="P534" s="122">
        <v>0</v>
      </c>
      <c r="Q534" s="122">
        <v>12</v>
      </c>
      <c r="R534" s="122">
        <v>12</v>
      </c>
      <c r="S534" s="441">
        <f t="shared" si="113"/>
        <v>0</v>
      </c>
      <c r="T534" s="432">
        <f t="shared" si="115"/>
        <v>0</v>
      </c>
      <c r="U534" s="62">
        <f t="shared" si="116"/>
        <v>0</v>
      </c>
      <c r="V534" s="62">
        <f t="shared" si="114"/>
        <v>0</v>
      </c>
    </row>
    <row r="535" spans="1:23" ht="50.15" customHeight="1" x14ac:dyDescent="0.6">
      <c r="A535" s="440">
        <v>1814100110</v>
      </c>
      <c r="B535" s="120">
        <v>81</v>
      </c>
      <c r="C535" s="121" t="s">
        <v>21</v>
      </c>
      <c r="D535" s="121" t="s">
        <v>33</v>
      </c>
      <c r="E535" s="121" t="s">
        <v>583</v>
      </c>
      <c r="F535" s="121" t="s">
        <v>481</v>
      </c>
      <c r="G535" s="122">
        <v>238681.45</v>
      </c>
      <c r="H535" s="122">
        <v>219808.41</v>
      </c>
      <c r="I535" s="122">
        <v>10749.957120000003</v>
      </c>
      <c r="J535" s="122">
        <v>0</v>
      </c>
      <c r="K535" s="122">
        <v>114224.76206336777</v>
      </c>
      <c r="L535" s="123">
        <v>0</v>
      </c>
      <c r="M535" s="123">
        <v>0</v>
      </c>
      <c r="N535" s="123"/>
      <c r="O535" s="122">
        <v>10749.957120000003</v>
      </c>
      <c r="P535" s="122">
        <v>0</v>
      </c>
      <c r="Q535" s="122">
        <v>12</v>
      </c>
      <c r="R535" s="122">
        <v>12</v>
      </c>
      <c r="S535" s="441">
        <f t="shared" si="113"/>
        <v>0</v>
      </c>
      <c r="T535" s="432">
        <f t="shared" si="115"/>
        <v>-114224.76206336777</v>
      </c>
      <c r="U535" s="62">
        <f t="shared" si="116"/>
        <v>-114224.76206336777</v>
      </c>
      <c r="V535" s="62">
        <f t="shared" si="114"/>
        <v>0</v>
      </c>
    </row>
    <row r="536" spans="1:23" ht="50.15" customHeight="1" x14ac:dyDescent="0.6">
      <c r="A536" s="440">
        <v>1814200110</v>
      </c>
      <c r="B536" s="120">
        <v>81</v>
      </c>
      <c r="C536" s="121" t="s">
        <v>21</v>
      </c>
      <c r="D536" s="121" t="s">
        <v>33</v>
      </c>
      <c r="E536" s="121" t="s">
        <v>583</v>
      </c>
      <c r="F536" s="121" t="s">
        <v>482</v>
      </c>
      <c r="G536" s="122">
        <v>292.99</v>
      </c>
      <c r="H536" s="122" t="s">
        <v>8</v>
      </c>
      <c r="I536" s="122">
        <v>0</v>
      </c>
      <c r="J536" s="122">
        <v>0</v>
      </c>
      <c r="K536" s="122">
        <v>0</v>
      </c>
      <c r="L536" s="123">
        <v>0</v>
      </c>
      <c r="M536" s="123">
        <v>0</v>
      </c>
      <c r="N536" s="123"/>
      <c r="O536" s="122">
        <v>0</v>
      </c>
      <c r="P536" s="122">
        <v>0</v>
      </c>
      <c r="Q536" s="122">
        <v>12</v>
      </c>
      <c r="R536" s="122">
        <v>12</v>
      </c>
      <c r="S536" s="441">
        <f t="shared" si="113"/>
        <v>0</v>
      </c>
      <c r="T536" s="432">
        <f t="shared" si="115"/>
        <v>0</v>
      </c>
      <c r="U536" s="62">
        <f t="shared" si="116"/>
        <v>0</v>
      </c>
      <c r="V536" s="62">
        <f t="shared" si="114"/>
        <v>0</v>
      </c>
    </row>
    <row r="537" spans="1:23" ht="50.15" customHeight="1" x14ac:dyDescent="0.6">
      <c r="A537" s="440">
        <v>1815000780</v>
      </c>
      <c r="B537" s="120">
        <v>81</v>
      </c>
      <c r="C537" s="121" t="s">
        <v>22</v>
      </c>
      <c r="D537" s="121" t="s">
        <v>33</v>
      </c>
      <c r="E537" s="121"/>
      <c r="F537" s="121" t="s">
        <v>116</v>
      </c>
      <c r="G537" s="122">
        <v>1394400</v>
      </c>
      <c r="H537" s="122">
        <v>1379700</v>
      </c>
      <c r="I537" s="122">
        <v>1388160</v>
      </c>
      <c r="J537" s="122">
        <v>1400000</v>
      </c>
      <c r="K537" s="122">
        <v>1379700</v>
      </c>
      <c r="L537" s="123"/>
      <c r="M537" s="123"/>
      <c r="N537" s="123"/>
      <c r="O537" s="226">
        <v>1390800</v>
      </c>
      <c r="P537" s="122">
        <v>1400000</v>
      </c>
      <c r="Q537" s="122">
        <v>12</v>
      </c>
      <c r="R537" s="122">
        <v>12</v>
      </c>
      <c r="S537" s="441">
        <f t="shared" si="113"/>
        <v>1400000</v>
      </c>
      <c r="T537" s="432">
        <f t="shared" si="115"/>
        <v>20300</v>
      </c>
      <c r="U537" s="62">
        <f t="shared" si="116"/>
        <v>20300</v>
      </c>
      <c r="V537" s="62">
        <f t="shared" si="114"/>
        <v>0</v>
      </c>
    </row>
    <row r="538" spans="1:23" ht="50.15" customHeight="1" x14ac:dyDescent="0.6">
      <c r="A538" s="440">
        <v>1815700110</v>
      </c>
      <c r="B538" s="120">
        <v>81</v>
      </c>
      <c r="C538" s="121" t="s">
        <v>21</v>
      </c>
      <c r="D538" s="121" t="s">
        <v>33</v>
      </c>
      <c r="E538" s="121" t="s">
        <v>583</v>
      </c>
      <c r="F538" s="121" t="s">
        <v>483</v>
      </c>
      <c r="G538" s="122">
        <v>10625.33</v>
      </c>
      <c r="H538" s="122">
        <v>107185.36</v>
      </c>
      <c r="I538" s="122">
        <v>309000</v>
      </c>
      <c r="J538" s="122">
        <v>313744.81284999999</v>
      </c>
      <c r="K538" s="122">
        <v>109511.28551588989</v>
      </c>
      <c r="L538" s="123">
        <v>2.363</v>
      </c>
      <c r="M538" s="123">
        <v>2.363</v>
      </c>
      <c r="N538" s="123">
        <f>ריכוז!K53</f>
        <v>3.8635999999999999</v>
      </c>
      <c r="O538" s="226">
        <v>328444.58</v>
      </c>
      <c r="P538" s="122">
        <f>ריכוז!M53</f>
        <v>592700</v>
      </c>
      <c r="Q538" s="122">
        <v>12</v>
      </c>
      <c r="R538" s="122">
        <v>12</v>
      </c>
      <c r="S538" s="441">
        <f t="shared" si="113"/>
        <v>592700</v>
      </c>
      <c r="T538" s="432">
        <f t="shared" si="115"/>
        <v>483188.71448411013</v>
      </c>
      <c r="U538" s="62">
        <f t="shared" si="116"/>
        <v>483188.71448411013</v>
      </c>
      <c r="V538" s="62">
        <f t="shared" si="114"/>
        <v>0</v>
      </c>
      <c r="W538" s="153" t="s">
        <v>922</v>
      </c>
    </row>
    <row r="539" spans="1:23" ht="50.15" customHeight="1" x14ac:dyDescent="0.6">
      <c r="A539" s="440">
        <v>1815710110</v>
      </c>
      <c r="B539" s="120">
        <v>81</v>
      </c>
      <c r="C539" s="121" t="s">
        <v>21</v>
      </c>
      <c r="D539" s="121" t="s">
        <v>33</v>
      </c>
      <c r="E539" s="121" t="s">
        <v>583</v>
      </c>
      <c r="F539" s="121" t="s">
        <v>484</v>
      </c>
      <c r="G539" s="122">
        <v>558803.99</v>
      </c>
      <c r="H539" s="122">
        <v>563788.18000000005</v>
      </c>
      <c r="I539" s="122">
        <v>579000</v>
      </c>
      <c r="J539" s="122">
        <v>588015.27084999986</v>
      </c>
      <c r="K539" s="122">
        <v>447524.37893937744</v>
      </c>
      <c r="L539" s="123">
        <v>4</v>
      </c>
      <c r="M539" s="123">
        <v>4</v>
      </c>
      <c r="N539" s="123">
        <f>ריכוז!K54</f>
        <v>1</v>
      </c>
      <c r="O539" s="226">
        <v>556735.5</v>
      </c>
      <c r="P539" s="122">
        <f>ריכוז!M54</f>
        <v>158400</v>
      </c>
      <c r="Q539" s="122">
        <v>12</v>
      </c>
      <c r="R539" s="122">
        <v>12</v>
      </c>
      <c r="S539" s="441">
        <f t="shared" si="113"/>
        <v>158400</v>
      </c>
      <c r="T539" s="432">
        <f t="shared" si="115"/>
        <v>-289124.37893937744</v>
      </c>
      <c r="U539" s="62">
        <f t="shared" si="116"/>
        <v>-289124.37893937744</v>
      </c>
      <c r="V539" s="62">
        <f t="shared" si="114"/>
        <v>0</v>
      </c>
      <c r="W539" s="153" t="s">
        <v>923</v>
      </c>
    </row>
    <row r="540" spans="1:23" ht="50.15" customHeight="1" x14ac:dyDescent="0.6">
      <c r="A540" s="440">
        <v>1815730110</v>
      </c>
      <c r="B540" s="120">
        <v>81</v>
      </c>
      <c r="C540" s="121" t="s">
        <v>21</v>
      </c>
      <c r="D540" s="121" t="s">
        <v>33</v>
      </c>
      <c r="E540" s="121" t="s">
        <v>583</v>
      </c>
      <c r="F540" s="121" t="s">
        <v>485</v>
      </c>
      <c r="G540" s="122">
        <v>145139.28</v>
      </c>
      <c r="H540" s="122">
        <v>147637.34</v>
      </c>
      <c r="I540" s="122">
        <v>142431.25175999998</v>
      </c>
      <c r="J540" s="122">
        <v>144562.46104999998</v>
      </c>
      <c r="K540" s="122">
        <v>150000</v>
      </c>
      <c r="L540" s="123">
        <v>1</v>
      </c>
      <c r="M540" s="123">
        <v>1</v>
      </c>
      <c r="N540" s="123">
        <f>ריכוז!K55</f>
        <v>1</v>
      </c>
      <c r="O540" s="226">
        <v>142223.04999999999</v>
      </c>
      <c r="P540" s="122">
        <f>ריכוז!M55</f>
        <v>135376.88</v>
      </c>
      <c r="Q540" s="122">
        <v>12</v>
      </c>
      <c r="R540" s="122">
        <v>12</v>
      </c>
      <c r="S540" s="441">
        <f t="shared" si="113"/>
        <v>135376.88</v>
      </c>
      <c r="T540" s="432">
        <f t="shared" si="115"/>
        <v>-14623.119999999995</v>
      </c>
      <c r="U540" s="62">
        <f t="shared" si="116"/>
        <v>-14623.119999999995</v>
      </c>
      <c r="V540" s="62">
        <f t="shared" si="114"/>
        <v>0</v>
      </c>
    </row>
    <row r="541" spans="1:23" ht="50.15" customHeight="1" x14ac:dyDescent="0.6">
      <c r="A541" s="440">
        <v>1817100110</v>
      </c>
      <c r="B541" s="120">
        <v>81</v>
      </c>
      <c r="C541" s="121" t="s">
        <v>21</v>
      </c>
      <c r="D541" s="121" t="s">
        <v>33</v>
      </c>
      <c r="E541" s="121" t="s">
        <v>583</v>
      </c>
      <c r="F541" s="121" t="s">
        <v>486</v>
      </c>
      <c r="G541" s="122">
        <v>159384.67000000001</v>
      </c>
      <c r="H541" s="122">
        <v>162191.85</v>
      </c>
      <c r="I541" s="122">
        <v>190268.35632000002</v>
      </c>
      <c r="J541" s="122">
        <v>193700.79329999999</v>
      </c>
      <c r="K541" s="122">
        <v>165711.41526588789</v>
      </c>
      <c r="L541" s="123">
        <v>1</v>
      </c>
      <c r="M541" s="123">
        <v>1</v>
      </c>
      <c r="N541" s="123">
        <f>ריכוז!K56</f>
        <v>1</v>
      </c>
      <c r="O541" s="122">
        <v>190268.35632000002</v>
      </c>
      <c r="P541" s="122">
        <f>ריכוז!M56</f>
        <v>192949.63999999998</v>
      </c>
      <c r="Q541" s="122">
        <v>12</v>
      </c>
      <c r="R541" s="122">
        <v>12</v>
      </c>
      <c r="S541" s="441">
        <f t="shared" si="113"/>
        <v>192949.63999999998</v>
      </c>
      <c r="T541" s="432">
        <f t="shared" si="115"/>
        <v>27238.224734112096</v>
      </c>
      <c r="U541" s="62">
        <f t="shared" si="116"/>
        <v>27238.224734112096</v>
      </c>
      <c r="V541" s="62">
        <f t="shared" si="114"/>
        <v>0</v>
      </c>
    </row>
    <row r="542" spans="1:23" ht="50.15" customHeight="1" x14ac:dyDescent="0.6">
      <c r="A542" s="440">
        <v>1817200110</v>
      </c>
      <c r="B542" s="120">
        <v>81</v>
      </c>
      <c r="C542" s="121" t="s">
        <v>21</v>
      </c>
      <c r="D542" s="121" t="s">
        <v>33</v>
      </c>
      <c r="E542" s="121" t="s">
        <v>583</v>
      </c>
      <c r="F542" s="121" t="s">
        <v>487</v>
      </c>
      <c r="G542" s="122">
        <v>261967.13</v>
      </c>
      <c r="H542" s="122">
        <v>262583.71000000002</v>
      </c>
      <c r="I542" s="122">
        <v>317000</v>
      </c>
      <c r="J542" s="122">
        <v>275856.24325</v>
      </c>
      <c r="K542" s="122">
        <v>173084.90802600243</v>
      </c>
      <c r="L542" s="123">
        <v>2.5799999999999996</v>
      </c>
      <c r="M542" s="123">
        <v>2.1799999999999997</v>
      </c>
      <c r="N542" s="123">
        <f>ריכוז!K57</f>
        <v>2.1800000000000002</v>
      </c>
      <c r="O542" s="226">
        <v>314885.99</v>
      </c>
      <c r="P542" s="122">
        <f>ריכוז!M57</f>
        <v>277498.56</v>
      </c>
      <c r="Q542" s="122">
        <v>12</v>
      </c>
      <c r="R542" s="122">
        <v>12</v>
      </c>
      <c r="S542" s="441">
        <f t="shared" si="113"/>
        <v>277498.56</v>
      </c>
      <c r="T542" s="432">
        <f t="shared" si="115"/>
        <v>104413.65197399756</v>
      </c>
      <c r="U542" s="62">
        <f t="shared" si="116"/>
        <v>104413.65197399756</v>
      </c>
      <c r="V542" s="62">
        <f t="shared" si="114"/>
        <v>0</v>
      </c>
    </row>
    <row r="543" spans="1:23" ht="50.15" customHeight="1" x14ac:dyDescent="0.6">
      <c r="A543" s="440">
        <v>1817200431</v>
      </c>
      <c r="B543" s="120">
        <v>81</v>
      </c>
      <c r="C543" s="121" t="s">
        <v>22</v>
      </c>
      <c r="D543" s="121" t="s">
        <v>33</v>
      </c>
      <c r="E543" s="121"/>
      <c r="F543" s="121" t="s">
        <v>488</v>
      </c>
      <c r="G543" s="122">
        <v>23765.32</v>
      </c>
      <c r="H543" s="122">
        <v>25206</v>
      </c>
      <c r="I543" s="122">
        <v>25000</v>
      </c>
      <c r="J543" s="122">
        <v>25206</v>
      </c>
      <c r="K543" s="122">
        <v>25206</v>
      </c>
      <c r="L543" s="123"/>
      <c r="M543" s="123"/>
      <c r="N543" s="123"/>
      <c r="O543" s="226">
        <v>26121.07</v>
      </c>
      <c r="P543" s="122">
        <v>26000</v>
      </c>
      <c r="Q543" s="122">
        <v>12</v>
      </c>
      <c r="R543" s="122">
        <v>12</v>
      </c>
      <c r="S543" s="441">
        <f t="shared" si="113"/>
        <v>26000</v>
      </c>
      <c r="T543" s="432">
        <f t="shared" si="115"/>
        <v>794</v>
      </c>
      <c r="U543" s="62">
        <f t="shared" si="116"/>
        <v>794</v>
      </c>
      <c r="V543" s="62">
        <f t="shared" ref="V543:V572" si="117">S543-P543</f>
        <v>0</v>
      </c>
    </row>
    <row r="544" spans="1:23" ht="50.15" customHeight="1" x14ac:dyDescent="0.6">
      <c r="A544" s="440">
        <v>1817200432</v>
      </c>
      <c r="B544" s="120">
        <v>81</v>
      </c>
      <c r="C544" s="121" t="s">
        <v>22</v>
      </c>
      <c r="D544" s="121" t="s">
        <v>33</v>
      </c>
      <c r="E544" s="121"/>
      <c r="F544" s="121" t="s">
        <v>489</v>
      </c>
      <c r="G544" s="122">
        <v>2032.14</v>
      </c>
      <c r="H544" s="122">
        <v>2500</v>
      </c>
      <c r="I544" s="122">
        <v>2500</v>
      </c>
      <c r="J544" s="122">
        <v>2500</v>
      </c>
      <c r="K544" s="122">
        <v>2500</v>
      </c>
      <c r="L544" s="123"/>
      <c r="M544" s="123"/>
      <c r="N544" s="123"/>
      <c r="O544" s="122">
        <v>0</v>
      </c>
      <c r="P544" s="122">
        <v>0</v>
      </c>
      <c r="Q544" s="122">
        <v>12</v>
      </c>
      <c r="R544" s="122">
        <v>12</v>
      </c>
      <c r="S544" s="441">
        <f t="shared" si="113"/>
        <v>0</v>
      </c>
      <c r="T544" s="432">
        <f t="shared" si="115"/>
        <v>-2500</v>
      </c>
      <c r="U544" s="62">
        <f t="shared" si="116"/>
        <v>-2500</v>
      </c>
      <c r="V544" s="62">
        <f t="shared" si="117"/>
        <v>0</v>
      </c>
    </row>
    <row r="545" spans="1:24" ht="50.15" customHeight="1" x14ac:dyDescent="0.6">
      <c r="A545" s="440">
        <v>1817300110</v>
      </c>
      <c r="B545" s="120">
        <v>81</v>
      </c>
      <c r="C545" s="121" t="s">
        <v>21</v>
      </c>
      <c r="D545" s="121" t="s">
        <v>33</v>
      </c>
      <c r="E545" s="121" t="s">
        <v>583</v>
      </c>
      <c r="F545" s="121" t="s">
        <v>490</v>
      </c>
      <c r="G545" s="122">
        <v>1164542.0900000001</v>
      </c>
      <c r="H545" s="122">
        <v>1183377.05</v>
      </c>
      <c r="I545" s="122">
        <v>1335624.5481599998</v>
      </c>
      <c r="J545" s="122">
        <v>1373584.4170999997</v>
      </c>
      <c r="K545" s="122">
        <v>1209056.3364862339</v>
      </c>
      <c r="L545" s="123">
        <v>7.65</v>
      </c>
      <c r="M545" s="123">
        <v>7.65</v>
      </c>
      <c r="N545" s="123">
        <f>ריכוז!K58</f>
        <v>8</v>
      </c>
      <c r="O545" s="226">
        <v>1350447.68</v>
      </c>
      <c r="P545" s="122">
        <f>ריכוז!M58</f>
        <v>1427923.0000000002</v>
      </c>
      <c r="Q545" s="122">
        <v>12</v>
      </c>
      <c r="R545" s="122">
        <v>12</v>
      </c>
      <c r="S545" s="441">
        <f t="shared" si="113"/>
        <v>1427923.0000000002</v>
      </c>
      <c r="T545" s="432">
        <f t="shared" si="115"/>
        <v>218866.66351376637</v>
      </c>
      <c r="U545" s="62">
        <f t="shared" si="116"/>
        <v>218866.66351376637</v>
      </c>
      <c r="V545" s="62">
        <f t="shared" si="117"/>
        <v>0</v>
      </c>
    </row>
    <row r="546" spans="1:24" ht="50.15" customHeight="1" x14ac:dyDescent="0.6">
      <c r="A546" s="440">
        <v>1817300431</v>
      </c>
      <c r="B546" s="120">
        <v>81</v>
      </c>
      <c r="C546" s="121" t="s">
        <v>22</v>
      </c>
      <c r="D546" s="121" t="s">
        <v>33</v>
      </c>
      <c r="E546" s="121"/>
      <c r="F546" s="121" t="s">
        <v>491</v>
      </c>
      <c r="G546" s="122">
        <v>8864.26</v>
      </c>
      <c r="H546" s="122">
        <v>9662.3799999999992</v>
      </c>
      <c r="I546" s="122">
        <v>9662</v>
      </c>
      <c r="J546" s="122">
        <v>9662.3760000000002</v>
      </c>
      <c r="K546" s="122">
        <v>9662.3760000000002</v>
      </c>
      <c r="L546" s="123"/>
      <c r="M546" s="123"/>
      <c r="N546" s="123"/>
      <c r="O546" s="226">
        <v>10490.84</v>
      </c>
      <c r="P546" s="122">
        <v>11000</v>
      </c>
      <c r="Q546" s="122">
        <v>12</v>
      </c>
      <c r="R546" s="122">
        <v>12</v>
      </c>
      <c r="S546" s="441">
        <f t="shared" si="113"/>
        <v>11000</v>
      </c>
      <c r="T546" s="432">
        <f t="shared" si="115"/>
        <v>1337.6239999999998</v>
      </c>
      <c r="U546" s="62">
        <f t="shared" si="116"/>
        <v>1337.6239999999998</v>
      </c>
      <c r="V546" s="62">
        <f t="shared" si="117"/>
        <v>0</v>
      </c>
    </row>
    <row r="547" spans="1:24" ht="50.15" customHeight="1" x14ac:dyDescent="0.6">
      <c r="A547" s="440">
        <v>1817300432</v>
      </c>
      <c r="B547" s="120">
        <v>81</v>
      </c>
      <c r="C547" s="121" t="s">
        <v>22</v>
      </c>
      <c r="D547" s="121" t="s">
        <v>33</v>
      </c>
      <c r="E547" s="121"/>
      <c r="F547" s="121" t="s">
        <v>492</v>
      </c>
      <c r="G547" s="122">
        <v>547.14</v>
      </c>
      <c r="H547" s="122" t="s">
        <v>8</v>
      </c>
      <c r="I547" s="122">
        <v>0</v>
      </c>
      <c r="J547" s="122">
        <v>0</v>
      </c>
      <c r="K547" s="122">
        <v>0</v>
      </c>
      <c r="L547" s="123"/>
      <c r="M547" s="123"/>
      <c r="N547" s="123"/>
      <c r="O547" s="122">
        <v>0</v>
      </c>
      <c r="P547" s="122">
        <v>0</v>
      </c>
      <c r="Q547" s="122">
        <v>12</v>
      </c>
      <c r="R547" s="122">
        <v>12</v>
      </c>
      <c r="S547" s="441">
        <f t="shared" si="113"/>
        <v>0</v>
      </c>
      <c r="T547" s="432">
        <f t="shared" si="115"/>
        <v>0</v>
      </c>
      <c r="U547" s="62">
        <f t="shared" si="116"/>
        <v>0</v>
      </c>
      <c r="V547" s="62">
        <f t="shared" si="117"/>
        <v>0</v>
      </c>
    </row>
    <row r="548" spans="1:24" ht="50.15" customHeight="1" x14ac:dyDescent="0.6">
      <c r="A548" s="440">
        <v>1817300540</v>
      </c>
      <c r="B548" s="120">
        <v>81</v>
      </c>
      <c r="C548" s="121" t="s">
        <v>22</v>
      </c>
      <c r="D548" s="121" t="s">
        <v>33</v>
      </c>
      <c r="E548" s="121"/>
      <c r="F548" s="121" t="s">
        <v>493</v>
      </c>
      <c r="G548" s="122">
        <v>10302.290000000001</v>
      </c>
      <c r="H548" s="122">
        <v>7000</v>
      </c>
      <c r="I548" s="122">
        <v>447.86400000000003</v>
      </c>
      <c r="J548" s="122">
        <v>10000</v>
      </c>
      <c r="K548" s="122">
        <v>7000</v>
      </c>
      <c r="L548" s="123"/>
      <c r="M548" s="123"/>
      <c r="N548" s="123"/>
      <c r="O548" s="122">
        <v>7900</v>
      </c>
      <c r="P548" s="122">
        <v>7900</v>
      </c>
      <c r="Q548" s="122">
        <v>12</v>
      </c>
      <c r="R548" s="122">
        <v>12</v>
      </c>
      <c r="S548" s="441">
        <f t="shared" si="113"/>
        <v>7900</v>
      </c>
      <c r="T548" s="432">
        <f t="shared" si="115"/>
        <v>900</v>
      </c>
      <c r="U548" s="62">
        <f t="shared" si="116"/>
        <v>900</v>
      </c>
      <c r="V548" s="62">
        <f t="shared" si="117"/>
        <v>0</v>
      </c>
    </row>
    <row r="549" spans="1:24" ht="50.15" customHeight="1" x14ac:dyDescent="0.6">
      <c r="A549" s="440">
        <v>1817300780</v>
      </c>
      <c r="B549" s="120">
        <v>81</v>
      </c>
      <c r="C549" s="121" t="s">
        <v>22</v>
      </c>
      <c r="D549" s="121" t="s">
        <v>33</v>
      </c>
      <c r="E549" s="121"/>
      <c r="F549" s="121" t="s">
        <v>494</v>
      </c>
      <c r="G549" s="122">
        <v>44264.79</v>
      </c>
      <c r="H549" s="122">
        <v>40000</v>
      </c>
      <c r="I549" s="122">
        <v>40000</v>
      </c>
      <c r="J549" s="122">
        <v>40000</v>
      </c>
      <c r="K549" s="122">
        <v>40000</v>
      </c>
      <c r="L549" s="123"/>
      <c r="M549" s="123"/>
      <c r="N549" s="123"/>
      <c r="O549" s="226">
        <v>44780.27</v>
      </c>
      <c r="P549" s="122">
        <v>45000</v>
      </c>
      <c r="Q549" s="122">
        <v>12</v>
      </c>
      <c r="R549" s="122">
        <v>12</v>
      </c>
      <c r="S549" s="441">
        <f t="shared" si="113"/>
        <v>45000</v>
      </c>
      <c r="T549" s="432">
        <f t="shared" si="115"/>
        <v>5000</v>
      </c>
      <c r="U549" s="62">
        <f t="shared" si="116"/>
        <v>5000</v>
      </c>
      <c r="V549" s="62">
        <f t="shared" si="117"/>
        <v>0</v>
      </c>
    </row>
    <row r="550" spans="1:24" ht="50.15" customHeight="1" x14ac:dyDescent="0.6">
      <c r="A550" s="440">
        <v>1817310110</v>
      </c>
      <c r="B550" s="120">
        <v>81</v>
      </c>
      <c r="C550" s="121" t="s">
        <v>21</v>
      </c>
      <c r="D550" s="121" t="s">
        <v>33</v>
      </c>
      <c r="E550" s="121" t="s">
        <v>583</v>
      </c>
      <c r="F550" s="121" t="s">
        <v>495</v>
      </c>
      <c r="G550" s="122">
        <v>196544.46</v>
      </c>
      <c r="H550" s="122">
        <v>199506.54</v>
      </c>
      <c r="I550" s="122">
        <v>204000</v>
      </c>
      <c r="J550" s="122">
        <v>207330.06104999999</v>
      </c>
      <c r="K550" s="122">
        <v>31450.836266032555</v>
      </c>
      <c r="L550" s="123">
        <v>1.25</v>
      </c>
      <c r="M550" s="123">
        <v>1.25</v>
      </c>
      <c r="N550" s="123">
        <f>ריכוז!K59</f>
        <v>1.25</v>
      </c>
      <c r="O550" s="226">
        <v>204146.72</v>
      </c>
      <c r="P550" s="122">
        <f>ריכוז!M59</f>
        <v>208565.32</v>
      </c>
      <c r="Q550" s="122">
        <v>12</v>
      </c>
      <c r="R550" s="122">
        <v>12</v>
      </c>
      <c r="S550" s="441">
        <f>P550*Q550/R550</f>
        <v>208565.31999999998</v>
      </c>
      <c r="T550" s="432">
        <f t="shared" si="115"/>
        <v>177114.48373396744</v>
      </c>
      <c r="U550" s="62">
        <f t="shared" si="116"/>
        <v>177114.48373396741</v>
      </c>
      <c r="V550" s="62">
        <f t="shared" si="117"/>
        <v>0</v>
      </c>
    </row>
    <row r="551" spans="1:24" ht="50.15" customHeight="1" x14ac:dyDescent="0.6">
      <c r="A551" s="440">
        <v>1817400110</v>
      </c>
      <c r="B551" s="120">
        <v>81</v>
      </c>
      <c r="C551" s="121" t="s">
        <v>21</v>
      </c>
      <c r="D551" s="121" t="s">
        <v>33</v>
      </c>
      <c r="E551" s="121" t="s">
        <v>583</v>
      </c>
      <c r="F551" s="121" t="s">
        <v>120</v>
      </c>
      <c r="G551" s="122">
        <v>120782.17</v>
      </c>
      <c r="H551" s="122">
        <v>122751.67999999999</v>
      </c>
      <c r="I551" s="122">
        <v>123590.81448</v>
      </c>
      <c r="J551" s="122">
        <v>125443.49474999998</v>
      </c>
      <c r="K551" s="122">
        <v>125415.38923466289</v>
      </c>
      <c r="L551" s="123">
        <v>1</v>
      </c>
      <c r="M551" s="123">
        <v>1</v>
      </c>
      <c r="N551" s="123">
        <f>ריכוז!K60</f>
        <v>1</v>
      </c>
      <c r="O551" s="122">
        <v>123590.81448</v>
      </c>
      <c r="P551" s="122">
        <f>ריכוז!M60</f>
        <v>121602.88</v>
      </c>
      <c r="Q551" s="122">
        <v>12</v>
      </c>
      <c r="R551" s="122">
        <v>12</v>
      </c>
      <c r="S551" s="441">
        <f t="shared" ref="S551:S614" si="118">P551*Q551/R551</f>
        <v>121602.88</v>
      </c>
      <c r="T551" s="432">
        <f t="shared" si="115"/>
        <v>-3812.5092346628808</v>
      </c>
      <c r="U551" s="62">
        <f t="shared" si="116"/>
        <v>-3812.5092346628808</v>
      </c>
      <c r="V551" s="62">
        <f t="shared" si="117"/>
        <v>0</v>
      </c>
    </row>
    <row r="552" spans="1:24" ht="50.15" customHeight="1" x14ac:dyDescent="0.6">
      <c r="A552" s="440">
        <v>1817400785</v>
      </c>
      <c r="B552" s="120">
        <v>81</v>
      </c>
      <c r="C552" s="121" t="s">
        <v>22</v>
      </c>
      <c r="D552" s="121" t="s">
        <v>33</v>
      </c>
      <c r="E552" s="121"/>
      <c r="F552" s="121" t="s">
        <v>121</v>
      </c>
      <c r="G552" s="122">
        <v>12892.51</v>
      </c>
      <c r="H552" s="122">
        <v>35000</v>
      </c>
      <c r="I552" s="122">
        <v>35000</v>
      </c>
      <c r="J552" s="122">
        <v>35000</v>
      </c>
      <c r="K552" s="122">
        <v>35000</v>
      </c>
      <c r="L552" s="123"/>
      <c r="M552" s="123"/>
      <c r="N552" s="123"/>
      <c r="O552" s="226">
        <v>38305.85</v>
      </c>
      <c r="P552" s="122">
        <v>39000</v>
      </c>
      <c r="Q552" s="122">
        <v>12</v>
      </c>
      <c r="R552" s="122">
        <v>12</v>
      </c>
      <c r="S552" s="441">
        <f t="shared" si="118"/>
        <v>39000</v>
      </c>
      <c r="T552" s="432">
        <f t="shared" si="115"/>
        <v>4000</v>
      </c>
      <c r="U552" s="62">
        <f t="shared" si="116"/>
        <v>4000</v>
      </c>
      <c r="V552" s="62">
        <f t="shared" si="117"/>
        <v>0</v>
      </c>
    </row>
    <row r="553" spans="1:24" ht="50.15" customHeight="1" x14ac:dyDescent="0.6">
      <c r="A553" s="440">
        <v>1817600110</v>
      </c>
      <c r="B553" s="120">
        <v>81</v>
      </c>
      <c r="C553" s="121" t="s">
        <v>21</v>
      </c>
      <c r="D553" s="121" t="s">
        <v>33</v>
      </c>
      <c r="E553" s="121" t="s">
        <v>583</v>
      </c>
      <c r="F553" s="121" t="s">
        <v>497</v>
      </c>
      <c r="G553" s="122">
        <v>245041.15</v>
      </c>
      <c r="H553" s="122">
        <v>247752.91</v>
      </c>
      <c r="I553" s="122">
        <v>340781</v>
      </c>
      <c r="J553" s="122">
        <v>385892.47139999992</v>
      </c>
      <c r="K553" s="122">
        <v>214661.12454517081</v>
      </c>
      <c r="L553" s="123">
        <v>0</v>
      </c>
      <c r="M553" s="123">
        <v>0</v>
      </c>
      <c r="N553" s="123">
        <f>ריכוז!K61</f>
        <v>0</v>
      </c>
      <c r="O553" s="226">
        <v>384391.81</v>
      </c>
      <c r="P553" s="122">
        <f>ריכוז!M61</f>
        <v>412395.85000000003</v>
      </c>
      <c r="Q553" s="122">
        <v>12</v>
      </c>
      <c r="R553" s="122">
        <v>12</v>
      </c>
      <c r="S553" s="441">
        <f t="shared" si="118"/>
        <v>412395.85000000003</v>
      </c>
      <c r="T553" s="432">
        <f t="shared" si="115"/>
        <v>197734.72545482923</v>
      </c>
      <c r="U553" s="62">
        <f t="shared" si="116"/>
        <v>197734.72545482923</v>
      </c>
      <c r="V553" s="62">
        <f t="shared" si="117"/>
        <v>0</v>
      </c>
    </row>
    <row r="554" spans="1:24" ht="50.15" customHeight="1" x14ac:dyDescent="0.6">
      <c r="A554" s="440">
        <v>1817600780</v>
      </c>
      <c r="B554" s="120">
        <v>81</v>
      </c>
      <c r="C554" s="121" t="s">
        <v>22</v>
      </c>
      <c r="D554" s="121" t="s">
        <v>33</v>
      </c>
      <c r="E554" s="121"/>
      <c r="F554" s="121" t="s">
        <v>498</v>
      </c>
      <c r="G554" s="122">
        <v>262413.98</v>
      </c>
      <c r="H554" s="122">
        <v>360850</v>
      </c>
      <c r="I554" s="122">
        <v>328741.19999999995</v>
      </c>
      <c r="J554" s="122">
        <v>272358.72860000015</v>
      </c>
      <c r="K554" s="122">
        <v>360850</v>
      </c>
      <c r="L554" s="123"/>
      <c r="M554" s="123"/>
      <c r="N554" s="123"/>
      <c r="O554" s="226">
        <v>399433</v>
      </c>
      <c r="P554" s="122">
        <v>272359</v>
      </c>
      <c r="Q554" s="122">
        <v>12</v>
      </c>
      <c r="R554" s="122">
        <v>12</v>
      </c>
      <c r="S554" s="441">
        <f t="shared" si="118"/>
        <v>272359</v>
      </c>
      <c r="T554" s="432">
        <f t="shared" si="115"/>
        <v>-88491</v>
      </c>
      <c r="U554" s="62">
        <f t="shared" si="116"/>
        <v>-88491</v>
      </c>
      <c r="V554" s="62">
        <f t="shared" si="117"/>
        <v>0</v>
      </c>
    </row>
    <row r="555" spans="1:24" ht="50.15" customHeight="1" x14ac:dyDescent="0.6">
      <c r="A555" s="440">
        <v>1817600781</v>
      </c>
      <c r="B555" s="120">
        <v>81</v>
      </c>
      <c r="C555" s="121" t="s">
        <v>30</v>
      </c>
      <c r="D555" s="121" t="s">
        <v>33</v>
      </c>
      <c r="E555" s="121"/>
      <c r="F555" s="121" t="s">
        <v>499</v>
      </c>
      <c r="G555" s="122">
        <v>0</v>
      </c>
      <c r="H555" s="122" t="s">
        <v>8</v>
      </c>
      <c r="I555" s="122">
        <v>0</v>
      </c>
      <c r="J555" s="122"/>
      <c r="K555" s="122">
        <v>300000</v>
      </c>
      <c r="L555" s="123"/>
      <c r="M555" s="123"/>
      <c r="N555" s="123"/>
      <c r="O555" s="122">
        <v>0</v>
      </c>
      <c r="P555" s="122"/>
      <c r="Q555" s="122">
        <v>12</v>
      </c>
      <c r="R555" s="122">
        <v>12</v>
      </c>
      <c r="S555" s="441">
        <f t="shared" si="118"/>
        <v>0</v>
      </c>
      <c r="T555" s="432">
        <f t="shared" si="115"/>
        <v>-300000</v>
      </c>
      <c r="U555" s="62">
        <f t="shared" si="116"/>
        <v>-300000</v>
      </c>
      <c r="V555" s="62">
        <f t="shared" si="117"/>
        <v>0</v>
      </c>
    </row>
    <row r="556" spans="1:24" ht="50.15" customHeight="1" x14ac:dyDescent="0.6">
      <c r="A556" s="440">
        <v>1817700110</v>
      </c>
      <c r="B556" s="120">
        <v>81</v>
      </c>
      <c r="C556" s="121" t="s">
        <v>21</v>
      </c>
      <c r="D556" s="121" t="s">
        <v>33</v>
      </c>
      <c r="E556" s="121" t="s">
        <v>583</v>
      </c>
      <c r="F556" s="121" t="s">
        <v>500</v>
      </c>
      <c r="G556" s="122">
        <v>351680.05</v>
      </c>
      <c r="H556" s="122">
        <v>346816.58</v>
      </c>
      <c r="I556" s="122">
        <v>361000</v>
      </c>
      <c r="J556" s="122">
        <v>366706.69069999992</v>
      </c>
      <c r="K556" s="122">
        <v>354342.49627000763</v>
      </c>
      <c r="L556" s="123">
        <v>2</v>
      </c>
      <c r="M556" s="123">
        <v>2</v>
      </c>
      <c r="N556" s="123">
        <f>ריכוז!K62</f>
        <v>2</v>
      </c>
      <c r="O556" s="122">
        <v>361000</v>
      </c>
      <c r="P556" s="122">
        <f>ריכוז!M62</f>
        <v>367960.76</v>
      </c>
      <c r="Q556" s="122">
        <v>12</v>
      </c>
      <c r="R556" s="122">
        <v>12</v>
      </c>
      <c r="S556" s="441">
        <f t="shared" si="118"/>
        <v>367960.76</v>
      </c>
      <c r="T556" s="432">
        <f t="shared" si="115"/>
        <v>13618.263729992381</v>
      </c>
      <c r="U556" s="62">
        <f t="shared" si="116"/>
        <v>13618.263729992381</v>
      </c>
      <c r="V556" s="62">
        <f t="shared" si="117"/>
        <v>0</v>
      </c>
    </row>
    <row r="557" spans="1:24" ht="50.15" customHeight="1" x14ac:dyDescent="0.6">
      <c r="A557" s="440">
        <v>1817800110</v>
      </c>
      <c r="B557" s="120">
        <v>81</v>
      </c>
      <c r="C557" s="121" t="s">
        <v>21</v>
      </c>
      <c r="D557" s="121" t="s">
        <v>33</v>
      </c>
      <c r="E557" s="121" t="s">
        <v>583</v>
      </c>
      <c r="F557" s="121" t="s">
        <v>501</v>
      </c>
      <c r="G557" s="122">
        <v>1129501.31</v>
      </c>
      <c r="H557" s="122">
        <v>1134807.77</v>
      </c>
      <c r="I557" s="122">
        <v>1163000</v>
      </c>
      <c r="J557" s="122">
        <v>1180355.5886499998</v>
      </c>
      <c r="K557" s="122">
        <v>1109267.6327760841</v>
      </c>
      <c r="L557" s="123">
        <v>9.5969999999999995</v>
      </c>
      <c r="M557" s="123">
        <v>9.5969999999999995</v>
      </c>
      <c r="N557" s="123">
        <f>ריכוז!K63</f>
        <v>8.6660000000000004</v>
      </c>
      <c r="O557" s="226">
        <v>1123000</v>
      </c>
      <c r="P557" s="122">
        <f>ריכוז!M63</f>
        <v>1083002</v>
      </c>
      <c r="Q557" s="122">
        <v>12</v>
      </c>
      <c r="R557" s="122">
        <v>12</v>
      </c>
      <c r="S557" s="441">
        <f t="shared" si="118"/>
        <v>1083002</v>
      </c>
      <c r="T557" s="432">
        <f t="shared" si="115"/>
        <v>-26265.632776084123</v>
      </c>
      <c r="U557" s="62">
        <f t="shared" si="116"/>
        <v>-26265.632776084123</v>
      </c>
      <c r="V557" s="62">
        <f t="shared" si="117"/>
        <v>0</v>
      </c>
    </row>
    <row r="558" spans="1:24" ht="50.15" customHeight="1" x14ac:dyDescent="0.6">
      <c r="A558" s="440">
        <v>1817800710</v>
      </c>
      <c r="B558" s="120">
        <v>81</v>
      </c>
      <c r="C558" s="121" t="s">
        <v>22</v>
      </c>
      <c r="D558" s="121" t="s">
        <v>33</v>
      </c>
      <c r="E558" s="121"/>
      <c r="F558" s="121" t="s">
        <v>502</v>
      </c>
      <c r="G558" s="122">
        <v>544642.47</v>
      </c>
      <c r="H558" s="122">
        <v>540000</v>
      </c>
      <c r="I558" s="122">
        <v>321379.63199999998</v>
      </c>
      <c r="J558" s="122">
        <v>450000</v>
      </c>
      <c r="K558" s="122">
        <v>650000</v>
      </c>
      <c r="L558" s="123"/>
      <c r="M558" s="123"/>
      <c r="N558" s="123"/>
      <c r="O558" s="226">
        <v>384073.29</v>
      </c>
      <c r="P558" s="122">
        <v>385000</v>
      </c>
      <c r="Q558" s="122">
        <v>10</v>
      </c>
      <c r="R558" s="122">
        <v>12</v>
      </c>
      <c r="S558" s="441">
        <f t="shared" si="118"/>
        <v>320833.33333333331</v>
      </c>
      <c r="T558" s="432">
        <f t="shared" si="115"/>
        <v>-265000</v>
      </c>
      <c r="U558" s="62">
        <f t="shared" si="116"/>
        <v>-329166.66666666669</v>
      </c>
      <c r="V558" s="62">
        <f t="shared" si="117"/>
        <v>-64166.666666666686</v>
      </c>
      <c r="X558" s="239" t="s">
        <v>897</v>
      </c>
    </row>
    <row r="559" spans="1:24" ht="50.15" customHeight="1" x14ac:dyDescent="0.6">
      <c r="A559" s="440">
        <v>1817800712</v>
      </c>
      <c r="B559" s="120">
        <v>81</v>
      </c>
      <c r="C559" s="121" t="s">
        <v>22</v>
      </c>
      <c r="D559" s="121" t="s">
        <v>33</v>
      </c>
      <c r="E559" s="121"/>
      <c r="F559" s="121" t="s">
        <v>126</v>
      </c>
      <c r="G559" s="122">
        <v>3518282.17</v>
      </c>
      <c r="H559" s="122">
        <v>3700000</v>
      </c>
      <c r="I559" s="122">
        <v>3300000</v>
      </c>
      <c r="J559" s="122">
        <v>3015923.0660000001</v>
      </c>
      <c r="K559" s="122">
        <v>3700000</v>
      </c>
      <c r="L559" s="123"/>
      <c r="M559" s="123"/>
      <c r="N559" s="123"/>
      <c r="O559" s="226">
        <v>3466893.9</v>
      </c>
      <c r="P559" s="122">
        <v>3500000</v>
      </c>
      <c r="Q559" s="122">
        <v>10</v>
      </c>
      <c r="R559" s="122">
        <v>12</v>
      </c>
      <c r="S559" s="441">
        <f t="shared" si="118"/>
        <v>2916666.6666666665</v>
      </c>
      <c r="T559" s="432">
        <f t="shared" si="115"/>
        <v>-200000</v>
      </c>
      <c r="U559" s="62">
        <f t="shared" si="116"/>
        <v>-783333.33333333349</v>
      </c>
      <c r="V559" s="62">
        <f t="shared" si="117"/>
        <v>-583333.33333333349</v>
      </c>
    </row>
    <row r="560" spans="1:24" ht="50.15" customHeight="1" x14ac:dyDescent="0.6">
      <c r="A560" s="440">
        <v>1817800713</v>
      </c>
      <c r="B560" s="120">
        <v>81</v>
      </c>
      <c r="C560" s="121" t="s">
        <v>22</v>
      </c>
      <c r="D560" s="121" t="s">
        <v>33</v>
      </c>
      <c r="E560" s="121"/>
      <c r="F560" s="121" t="s">
        <v>503</v>
      </c>
      <c r="G560" s="122">
        <v>98986</v>
      </c>
      <c r="H560" s="122">
        <v>110000</v>
      </c>
      <c r="I560" s="122">
        <v>99748.799999999988</v>
      </c>
      <c r="J560" s="122">
        <v>110000</v>
      </c>
      <c r="K560" s="122">
        <v>110000</v>
      </c>
      <c r="L560" s="123"/>
      <c r="M560" s="123"/>
      <c r="N560" s="123"/>
      <c r="O560" s="226">
        <v>59740.91</v>
      </c>
      <c r="P560" s="122">
        <v>60000</v>
      </c>
      <c r="Q560" s="122">
        <v>12</v>
      </c>
      <c r="R560" s="122">
        <v>12</v>
      </c>
      <c r="S560" s="441">
        <f t="shared" si="118"/>
        <v>60000</v>
      </c>
      <c r="T560" s="432">
        <f t="shared" si="115"/>
        <v>-50000</v>
      </c>
      <c r="U560" s="62">
        <f t="shared" si="116"/>
        <v>-50000</v>
      </c>
      <c r="V560" s="62">
        <f t="shared" si="117"/>
        <v>0</v>
      </c>
    </row>
    <row r="561" spans="1:23" s="243" customFormat="1" ht="50.15" customHeight="1" x14ac:dyDescent="0.6">
      <c r="A561" s="440">
        <v>1817810110</v>
      </c>
      <c r="B561" s="120">
        <v>81</v>
      </c>
      <c r="C561" s="121" t="s">
        <v>21</v>
      </c>
      <c r="D561" s="121" t="s">
        <v>33</v>
      </c>
      <c r="E561" s="121" t="s">
        <v>583</v>
      </c>
      <c r="F561" s="121" t="s">
        <v>504</v>
      </c>
      <c r="G561" s="122">
        <v>2459085.83</v>
      </c>
      <c r="H561" s="122">
        <v>2349100.88</v>
      </c>
      <c r="I561" s="122">
        <v>1910000</v>
      </c>
      <c r="J561" s="122">
        <v>1848641.0991999998</v>
      </c>
      <c r="K561" s="122">
        <v>2356998.435215645</v>
      </c>
      <c r="L561" s="123">
        <v>17.924200000000006</v>
      </c>
      <c r="M561" s="123">
        <v>17.924200000000006</v>
      </c>
      <c r="N561" s="123">
        <f>ריכוז!K64</f>
        <v>12.412233333333333</v>
      </c>
      <c r="O561" s="226">
        <f>1890179.88-700000+3331</f>
        <v>1193510.8799999999</v>
      </c>
      <c r="P561" s="122">
        <f>ריכוז!M64</f>
        <v>1298542.2400000002</v>
      </c>
      <c r="Q561" s="122">
        <v>12</v>
      </c>
      <c r="R561" s="122">
        <v>12</v>
      </c>
      <c r="S561" s="441">
        <f t="shared" si="118"/>
        <v>1298542.2400000002</v>
      </c>
      <c r="T561" s="432">
        <f t="shared" si="115"/>
        <v>-1058456.1952156448</v>
      </c>
      <c r="U561" s="62">
        <f t="shared" si="116"/>
        <v>-1058456.1952156448</v>
      </c>
      <c r="V561" s="62">
        <f t="shared" si="117"/>
        <v>0</v>
      </c>
      <c r="W561" s="156" t="s">
        <v>924</v>
      </c>
    </row>
    <row r="562" spans="1:23" s="243" customFormat="1" ht="50.15" customHeight="1" x14ac:dyDescent="0.6">
      <c r="A562" s="440">
        <v>1817910110</v>
      </c>
      <c r="B562" s="120">
        <v>81</v>
      </c>
      <c r="C562" s="121" t="s">
        <v>21</v>
      </c>
      <c r="D562" s="121" t="s">
        <v>33</v>
      </c>
      <c r="E562" s="121" t="s">
        <v>583</v>
      </c>
      <c r="F562" s="121" t="s">
        <v>507</v>
      </c>
      <c r="G562" s="122">
        <v>282588.84999999998</v>
      </c>
      <c r="H562" s="122">
        <v>280903.71000000002</v>
      </c>
      <c r="I562" s="122">
        <v>240000</v>
      </c>
      <c r="J562" s="122">
        <v>244197.88574999996</v>
      </c>
      <c r="K562" s="122">
        <v>277389.20554394217</v>
      </c>
      <c r="L562" s="123">
        <v>0.23400000000000001</v>
      </c>
      <c r="M562" s="123">
        <v>0.23400000000000001</v>
      </c>
      <c r="N562" s="123"/>
      <c r="O562" s="122">
        <v>0</v>
      </c>
      <c r="P562" s="122">
        <v>0</v>
      </c>
      <c r="Q562" s="122">
        <v>12</v>
      </c>
      <c r="R562" s="122">
        <v>12</v>
      </c>
      <c r="S562" s="441">
        <f t="shared" si="118"/>
        <v>0</v>
      </c>
      <c r="T562" s="432">
        <f t="shared" si="115"/>
        <v>-277389.20554394217</v>
      </c>
      <c r="U562" s="62">
        <f t="shared" si="116"/>
        <v>-277389.20554394217</v>
      </c>
      <c r="V562" s="62">
        <f t="shared" si="117"/>
        <v>0</v>
      </c>
      <c r="W562" s="156" t="s">
        <v>926</v>
      </c>
    </row>
    <row r="563" spans="1:23" ht="50.15" customHeight="1" x14ac:dyDescent="0.6">
      <c r="A563" s="440">
        <v>1818000780</v>
      </c>
      <c r="B563" s="120">
        <v>81</v>
      </c>
      <c r="C563" s="121" t="s">
        <v>18</v>
      </c>
      <c r="D563" s="121" t="s">
        <v>33</v>
      </c>
      <c r="E563" s="121"/>
      <c r="F563" s="121" t="s">
        <v>508</v>
      </c>
      <c r="G563" s="122">
        <v>427932</v>
      </c>
      <c r="H563" s="122">
        <v>171961</v>
      </c>
      <c r="I563" s="122">
        <v>46235.436000000002</v>
      </c>
      <c r="J563" s="122">
        <v>59000</v>
      </c>
      <c r="K563" s="122">
        <v>171961</v>
      </c>
      <c r="L563" s="123"/>
      <c r="M563" s="123"/>
      <c r="N563" s="123"/>
      <c r="O563" s="226">
        <v>159925.82999999999</v>
      </c>
      <c r="P563" s="122">
        <v>59000</v>
      </c>
      <c r="Q563" s="122">
        <v>12</v>
      </c>
      <c r="R563" s="122">
        <v>12</v>
      </c>
      <c r="S563" s="441">
        <f t="shared" si="118"/>
        <v>59000</v>
      </c>
      <c r="T563" s="432">
        <f t="shared" si="115"/>
        <v>-112961</v>
      </c>
      <c r="U563" s="62">
        <f t="shared" si="116"/>
        <v>-112961</v>
      </c>
      <c r="V563" s="62">
        <f t="shared" si="117"/>
        <v>0</v>
      </c>
    </row>
    <row r="564" spans="1:23" ht="50.15" customHeight="1" x14ac:dyDescent="0.6">
      <c r="A564" s="440">
        <v>1818100780</v>
      </c>
      <c r="B564" s="120">
        <v>81</v>
      </c>
      <c r="C564" s="121" t="s">
        <v>18</v>
      </c>
      <c r="D564" s="121" t="s">
        <v>33</v>
      </c>
      <c r="E564" s="121"/>
      <c r="F564" s="121" t="s">
        <v>131</v>
      </c>
      <c r="G564" s="122">
        <v>118008</v>
      </c>
      <c r="H564" s="122">
        <v>120000</v>
      </c>
      <c r="I564" s="122">
        <v>88166.399999999994</v>
      </c>
      <c r="J564" s="122">
        <v>120000</v>
      </c>
      <c r="K564" s="122">
        <v>120000</v>
      </c>
      <c r="L564" s="123"/>
      <c r="M564" s="123"/>
      <c r="N564" s="123"/>
      <c r="O564" s="226">
        <v>88008</v>
      </c>
      <c r="P564" s="122">
        <v>90000</v>
      </c>
      <c r="Q564" s="122">
        <v>12</v>
      </c>
      <c r="R564" s="122">
        <v>12</v>
      </c>
      <c r="S564" s="441">
        <f t="shared" si="118"/>
        <v>90000</v>
      </c>
      <c r="T564" s="432">
        <f t="shared" si="115"/>
        <v>-30000</v>
      </c>
      <c r="U564" s="62">
        <f t="shared" si="116"/>
        <v>-30000</v>
      </c>
      <c r="V564" s="62">
        <f t="shared" si="117"/>
        <v>0</v>
      </c>
    </row>
    <row r="565" spans="1:23" ht="50.15" customHeight="1" x14ac:dyDescent="0.6">
      <c r="A565" s="440">
        <v>1819000750</v>
      </c>
      <c r="B565" s="120">
        <v>81</v>
      </c>
      <c r="C565" s="121" t="s">
        <v>22</v>
      </c>
      <c r="D565" s="121" t="s">
        <v>33</v>
      </c>
      <c r="E565" s="121"/>
      <c r="F565" s="121" t="s">
        <v>2160</v>
      </c>
      <c r="G565" s="122"/>
      <c r="H565" s="122">
        <v>0</v>
      </c>
      <c r="I565" s="122"/>
      <c r="J565" s="122"/>
      <c r="K565" s="122">
        <v>0</v>
      </c>
      <c r="L565" s="123"/>
      <c r="M565" s="123"/>
      <c r="N565" s="123"/>
      <c r="O565" s="282">
        <f>11115*12/2</f>
        <v>66690</v>
      </c>
      <c r="P565" s="282">
        <f>11115*12/2</f>
        <v>66690</v>
      </c>
      <c r="Q565" s="122">
        <v>12</v>
      </c>
      <c r="R565" s="122">
        <v>12</v>
      </c>
      <c r="S565" s="441">
        <f t="shared" si="118"/>
        <v>66690</v>
      </c>
      <c r="T565" s="432">
        <f t="shared" si="115"/>
        <v>66690</v>
      </c>
      <c r="U565" s="62">
        <f t="shared" si="116"/>
        <v>66690</v>
      </c>
      <c r="V565" s="62">
        <f t="shared" si="117"/>
        <v>0</v>
      </c>
      <c r="W565" s="153" t="s">
        <v>2158</v>
      </c>
    </row>
    <row r="566" spans="1:23" ht="50.15" customHeight="1" x14ac:dyDescent="0.6">
      <c r="A566" s="440" t="s">
        <v>1</v>
      </c>
      <c r="B566" s="159">
        <v>81</v>
      </c>
      <c r="C566" s="121" t="s">
        <v>21</v>
      </c>
      <c r="D566" s="121" t="s">
        <v>33</v>
      </c>
      <c r="E566" s="121" t="s">
        <v>583</v>
      </c>
      <c r="F566" s="121" t="s">
        <v>583</v>
      </c>
      <c r="G566" s="122" t="s">
        <v>8</v>
      </c>
      <c r="H566" s="122" t="s">
        <v>8</v>
      </c>
      <c r="I566" s="122">
        <v>0</v>
      </c>
      <c r="J566" s="122"/>
      <c r="K566" s="122">
        <f>1006235-150000</f>
        <v>856235</v>
      </c>
      <c r="L566" s="123"/>
      <c r="M566" s="123"/>
      <c r="N566" s="123"/>
      <c r="O566" s="122">
        <v>0</v>
      </c>
      <c r="P566" s="122"/>
      <c r="Q566" s="122">
        <v>12</v>
      </c>
      <c r="R566" s="122">
        <v>12</v>
      </c>
      <c r="S566" s="441">
        <f t="shared" si="118"/>
        <v>0</v>
      </c>
      <c r="T566" s="432">
        <f t="shared" si="115"/>
        <v>-856235</v>
      </c>
      <c r="U566" s="62">
        <f t="shared" si="116"/>
        <v>-856235</v>
      </c>
      <c r="V566" s="62">
        <f t="shared" si="117"/>
        <v>0</v>
      </c>
    </row>
    <row r="567" spans="1:23" ht="50.15" customHeight="1" x14ac:dyDescent="0.6">
      <c r="A567" s="440" t="s">
        <v>1</v>
      </c>
      <c r="B567" s="159">
        <v>81</v>
      </c>
      <c r="C567" s="121" t="s">
        <v>21</v>
      </c>
      <c r="D567" s="121" t="s">
        <v>33</v>
      </c>
      <c r="E567" s="121" t="s">
        <v>583</v>
      </c>
      <c r="F567" s="121" t="s">
        <v>583</v>
      </c>
      <c r="G567" s="122" t="s">
        <v>8</v>
      </c>
      <c r="H567" s="122" t="s">
        <v>8</v>
      </c>
      <c r="I567" s="122">
        <v>0</v>
      </c>
      <c r="J567" s="122"/>
      <c r="K567" s="122"/>
      <c r="L567" s="123"/>
      <c r="M567" s="123"/>
      <c r="N567" s="123"/>
      <c r="O567" s="122">
        <v>0</v>
      </c>
      <c r="P567" s="122"/>
      <c r="Q567" s="122">
        <v>12</v>
      </c>
      <c r="R567" s="122">
        <v>12</v>
      </c>
      <c r="S567" s="441">
        <f t="shared" si="118"/>
        <v>0</v>
      </c>
      <c r="T567" s="432">
        <f t="shared" si="115"/>
        <v>0</v>
      </c>
      <c r="U567" s="62">
        <f t="shared" si="116"/>
        <v>0</v>
      </c>
      <c r="V567" s="62">
        <f t="shared" si="117"/>
        <v>0</v>
      </c>
    </row>
    <row r="568" spans="1:23" ht="50.15" customHeight="1" x14ac:dyDescent="0.6">
      <c r="A568" s="440" t="s">
        <v>1</v>
      </c>
      <c r="B568" s="159">
        <v>81</v>
      </c>
      <c r="C568" s="121" t="s">
        <v>21</v>
      </c>
      <c r="D568" s="121" t="s">
        <v>33</v>
      </c>
      <c r="E568" s="121" t="s">
        <v>583</v>
      </c>
      <c r="F568" s="121" t="s">
        <v>585</v>
      </c>
      <c r="G568" s="122" t="s">
        <v>8</v>
      </c>
      <c r="H568" s="122" t="s">
        <v>8</v>
      </c>
      <c r="I568" s="122">
        <v>0</v>
      </c>
      <c r="J568" s="122"/>
      <c r="K568" s="122"/>
      <c r="L568" s="123"/>
      <c r="M568" s="123"/>
      <c r="N568" s="123"/>
      <c r="O568" s="122">
        <v>0</v>
      </c>
      <c r="P568" s="122"/>
      <c r="Q568" s="122">
        <v>12</v>
      </c>
      <c r="R568" s="122">
        <v>12</v>
      </c>
      <c r="S568" s="441">
        <f t="shared" si="118"/>
        <v>0</v>
      </c>
      <c r="T568" s="432">
        <f t="shared" si="115"/>
        <v>0</v>
      </c>
      <c r="U568" s="62">
        <f t="shared" si="116"/>
        <v>0</v>
      </c>
      <c r="V568" s="62">
        <f t="shared" si="117"/>
        <v>0</v>
      </c>
    </row>
    <row r="569" spans="1:23" ht="50.15" customHeight="1" x14ac:dyDescent="0.6">
      <c r="A569" s="440" t="s">
        <v>1</v>
      </c>
      <c r="B569" s="159">
        <v>81</v>
      </c>
      <c r="C569" s="121" t="s">
        <v>21</v>
      </c>
      <c r="D569" s="121" t="s">
        <v>33</v>
      </c>
      <c r="E569" s="121" t="s">
        <v>583</v>
      </c>
      <c r="F569" s="121" t="s">
        <v>586</v>
      </c>
      <c r="G569" s="122" t="s">
        <v>8</v>
      </c>
      <c r="H569" s="122" t="s">
        <v>8</v>
      </c>
      <c r="I569" s="122">
        <v>0</v>
      </c>
      <c r="J569" s="122"/>
      <c r="K569" s="122"/>
      <c r="L569" s="123"/>
      <c r="M569" s="123"/>
      <c r="N569" s="123"/>
      <c r="O569" s="122">
        <v>0</v>
      </c>
      <c r="P569" s="122"/>
      <c r="Q569" s="122">
        <v>12</v>
      </c>
      <c r="R569" s="122">
        <v>12</v>
      </c>
      <c r="S569" s="441">
        <f t="shared" si="118"/>
        <v>0</v>
      </c>
      <c r="T569" s="432">
        <f t="shared" si="115"/>
        <v>0</v>
      </c>
      <c r="U569" s="62">
        <f t="shared" si="116"/>
        <v>0</v>
      </c>
      <c r="V569" s="62">
        <f t="shared" si="117"/>
        <v>0</v>
      </c>
    </row>
    <row r="570" spans="1:23" ht="50.15" customHeight="1" x14ac:dyDescent="0.6">
      <c r="A570" s="440" t="s">
        <v>1</v>
      </c>
      <c r="B570" s="159">
        <v>81</v>
      </c>
      <c r="C570" s="121" t="s">
        <v>21</v>
      </c>
      <c r="D570" s="121" t="s">
        <v>33</v>
      </c>
      <c r="E570" s="121" t="s">
        <v>583</v>
      </c>
      <c r="F570" s="121" t="s">
        <v>587</v>
      </c>
      <c r="G570" s="122" t="s">
        <v>8</v>
      </c>
      <c r="H570" s="122" t="s">
        <v>8</v>
      </c>
      <c r="I570" s="122">
        <v>0</v>
      </c>
      <c r="J570" s="122"/>
      <c r="K570" s="122"/>
      <c r="L570" s="123"/>
      <c r="M570" s="123"/>
      <c r="N570" s="123"/>
      <c r="O570" s="122">
        <v>0</v>
      </c>
      <c r="P570" s="122"/>
      <c r="Q570" s="122">
        <v>12</v>
      </c>
      <c r="R570" s="122">
        <v>12</v>
      </c>
      <c r="S570" s="441">
        <f t="shared" si="118"/>
        <v>0</v>
      </c>
      <c r="T570" s="432">
        <f t="shared" si="115"/>
        <v>0</v>
      </c>
      <c r="U570" s="62">
        <f t="shared" si="116"/>
        <v>0</v>
      </c>
      <c r="V570" s="62">
        <f t="shared" si="117"/>
        <v>0</v>
      </c>
    </row>
    <row r="571" spans="1:23" ht="50.15" customHeight="1" x14ac:dyDescent="0.6">
      <c r="A571" s="440" t="s">
        <v>1</v>
      </c>
      <c r="B571" s="159">
        <v>81</v>
      </c>
      <c r="C571" s="121" t="s">
        <v>21</v>
      </c>
      <c r="D571" s="121" t="s">
        <v>33</v>
      </c>
      <c r="E571" s="121" t="s">
        <v>583</v>
      </c>
      <c r="F571" s="121" t="s">
        <v>588</v>
      </c>
      <c r="G571" s="122" t="s">
        <v>8</v>
      </c>
      <c r="H571" s="122" t="s">
        <v>8</v>
      </c>
      <c r="I571" s="122">
        <v>0</v>
      </c>
      <c r="J571" s="122"/>
      <c r="K571" s="122"/>
      <c r="L571" s="123"/>
      <c r="M571" s="123"/>
      <c r="N571" s="123"/>
      <c r="O571" s="122">
        <v>0</v>
      </c>
      <c r="P571" s="122"/>
      <c r="Q571" s="122">
        <v>12</v>
      </c>
      <c r="R571" s="122">
        <v>12</v>
      </c>
      <c r="S571" s="441">
        <f t="shared" si="118"/>
        <v>0</v>
      </c>
      <c r="T571" s="432">
        <f t="shared" si="115"/>
        <v>0</v>
      </c>
      <c r="U571" s="62">
        <f t="shared" si="116"/>
        <v>0</v>
      </c>
      <c r="V571" s="62">
        <f t="shared" si="117"/>
        <v>0</v>
      </c>
    </row>
    <row r="572" spans="1:23" ht="50.15" customHeight="1" x14ac:dyDescent="0.6">
      <c r="A572" s="440" t="s">
        <v>1</v>
      </c>
      <c r="B572" s="159">
        <v>81</v>
      </c>
      <c r="C572" s="121" t="s">
        <v>21</v>
      </c>
      <c r="D572" s="121" t="s">
        <v>33</v>
      </c>
      <c r="E572" s="121" t="s">
        <v>583</v>
      </c>
      <c r="F572" s="121" t="s">
        <v>589</v>
      </c>
      <c r="G572" s="122" t="s">
        <v>8</v>
      </c>
      <c r="H572" s="122" t="s">
        <v>8</v>
      </c>
      <c r="I572" s="122">
        <v>0</v>
      </c>
      <c r="J572" s="122"/>
      <c r="K572" s="122"/>
      <c r="L572" s="123"/>
      <c r="M572" s="123"/>
      <c r="N572" s="123"/>
      <c r="O572" s="122">
        <v>0</v>
      </c>
      <c r="P572" s="122"/>
      <c r="Q572" s="122">
        <v>12</v>
      </c>
      <c r="R572" s="122">
        <v>12</v>
      </c>
      <c r="S572" s="441">
        <f t="shared" si="118"/>
        <v>0</v>
      </c>
      <c r="T572" s="432">
        <f t="shared" si="115"/>
        <v>0</v>
      </c>
      <c r="U572" s="62">
        <f t="shared" si="116"/>
        <v>0</v>
      </c>
      <c r="V572" s="62">
        <f t="shared" si="117"/>
        <v>0</v>
      </c>
    </row>
    <row r="573" spans="1:23" ht="50.15" customHeight="1" x14ac:dyDescent="0.6">
      <c r="A573" s="440" t="s">
        <v>1</v>
      </c>
      <c r="B573" s="159">
        <v>81</v>
      </c>
      <c r="C573" s="121" t="s">
        <v>21</v>
      </c>
      <c r="D573" s="121" t="s">
        <v>33</v>
      </c>
      <c r="E573" s="121" t="s">
        <v>583</v>
      </c>
      <c r="F573" s="121" t="s">
        <v>590</v>
      </c>
      <c r="G573" s="122" t="s">
        <v>8</v>
      </c>
      <c r="H573" s="122" t="s">
        <v>8</v>
      </c>
      <c r="I573" s="122">
        <v>0</v>
      </c>
      <c r="J573" s="122"/>
      <c r="K573" s="122"/>
      <c r="L573" s="123"/>
      <c r="M573" s="123"/>
      <c r="N573" s="123"/>
      <c r="O573" s="122">
        <v>0</v>
      </c>
      <c r="P573" s="122"/>
      <c r="Q573" s="122">
        <v>12</v>
      </c>
      <c r="R573" s="122">
        <v>12</v>
      </c>
      <c r="S573" s="441">
        <f t="shared" si="118"/>
        <v>0</v>
      </c>
      <c r="T573" s="432">
        <f t="shared" si="115"/>
        <v>0</v>
      </c>
      <c r="U573" s="62">
        <f t="shared" si="116"/>
        <v>0</v>
      </c>
      <c r="V573" s="62">
        <f t="shared" ref="V573:V586" si="119">S573-P573</f>
        <v>0</v>
      </c>
    </row>
    <row r="574" spans="1:23" ht="50.15" customHeight="1" x14ac:dyDescent="0.6">
      <c r="A574" s="440" t="s">
        <v>1</v>
      </c>
      <c r="B574" s="159">
        <v>81</v>
      </c>
      <c r="C574" s="121" t="s">
        <v>21</v>
      </c>
      <c r="D574" s="121" t="s">
        <v>33</v>
      </c>
      <c r="E574" s="121" t="s">
        <v>583</v>
      </c>
      <c r="F574" s="121" t="s">
        <v>591</v>
      </c>
      <c r="G574" s="122" t="s">
        <v>8</v>
      </c>
      <c r="H574" s="122" t="s">
        <v>8</v>
      </c>
      <c r="I574" s="122">
        <v>0</v>
      </c>
      <c r="J574" s="122"/>
      <c r="K574" s="122"/>
      <c r="L574" s="123"/>
      <c r="M574" s="123"/>
      <c r="N574" s="123"/>
      <c r="O574" s="122">
        <v>0</v>
      </c>
      <c r="P574" s="122"/>
      <c r="Q574" s="122">
        <v>12</v>
      </c>
      <c r="R574" s="122">
        <v>12</v>
      </c>
      <c r="S574" s="441">
        <f t="shared" si="118"/>
        <v>0</v>
      </c>
      <c r="T574" s="432">
        <f t="shared" ref="T574:T586" si="120">P574-K574</f>
        <v>0</v>
      </c>
      <c r="U574" s="62">
        <f t="shared" ref="U574:U586" si="121">S574-K574</f>
        <v>0</v>
      </c>
      <c r="V574" s="62">
        <f t="shared" si="119"/>
        <v>0</v>
      </c>
    </row>
    <row r="575" spans="1:23" ht="50.15" customHeight="1" x14ac:dyDescent="0.6">
      <c r="A575" s="440" t="s">
        <v>1</v>
      </c>
      <c r="B575" s="159">
        <v>81</v>
      </c>
      <c r="C575" s="121" t="s">
        <v>21</v>
      </c>
      <c r="D575" s="121" t="s">
        <v>33</v>
      </c>
      <c r="E575" s="121" t="s">
        <v>583</v>
      </c>
      <c r="F575" s="121" t="s">
        <v>592</v>
      </c>
      <c r="G575" s="122" t="s">
        <v>8</v>
      </c>
      <c r="H575" s="122" t="s">
        <v>8</v>
      </c>
      <c r="I575" s="122">
        <v>0</v>
      </c>
      <c r="J575" s="122"/>
      <c r="K575" s="122"/>
      <c r="L575" s="123"/>
      <c r="M575" s="123"/>
      <c r="N575" s="123"/>
      <c r="O575" s="122">
        <v>0</v>
      </c>
      <c r="P575" s="122"/>
      <c r="Q575" s="122">
        <v>12</v>
      </c>
      <c r="R575" s="122">
        <v>12</v>
      </c>
      <c r="S575" s="441">
        <f t="shared" si="118"/>
        <v>0</v>
      </c>
      <c r="T575" s="432">
        <f t="shared" si="120"/>
        <v>0</v>
      </c>
      <c r="U575" s="62">
        <f t="shared" si="121"/>
        <v>0</v>
      </c>
      <c r="V575" s="62">
        <f t="shared" si="119"/>
        <v>0</v>
      </c>
    </row>
    <row r="576" spans="1:23" ht="50.15" customHeight="1" x14ac:dyDescent="0.6">
      <c r="A576" s="440" t="s">
        <v>1</v>
      </c>
      <c r="B576" s="159">
        <v>81</v>
      </c>
      <c r="C576" s="121" t="s">
        <v>21</v>
      </c>
      <c r="D576" s="121" t="s">
        <v>33</v>
      </c>
      <c r="E576" s="121" t="s">
        <v>583</v>
      </c>
      <c r="F576" s="121" t="s">
        <v>593</v>
      </c>
      <c r="G576" s="122" t="s">
        <v>8</v>
      </c>
      <c r="H576" s="122" t="s">
        <v>8</v>
      </c>
      <c r="I576" s="122">
        <v>0</v>
      </c>
      <c r="J576" s="122"/>
      <c r="K576" s="122"/>
      <c r="L576" s="123"/>
      <c r="M576" s="123"/>
      <c r="N576" s="123"/>
      <c r="O576" s="122">
        <v>0</v>
      </c>
      <c r="P576" s="122"/>
      <c r="Q576" s="122">
        <v>12</v>
      </c>
      <c r="R576" s="122">
        <v>12</v>
      </c>
      <c r="S576" s="441">
        <f t="shared" si="118"/>
        <v>0</v>
      </c>
      <c r="T576" s="432">
        <f t="shared" si="120"/>
        <v>0</v>
      </c>
      <c r="U576" s="62">
        <f t="shared" si="121"/>
        <v>0</v>
      </c>
      <c r="V576" s="62">
        <f t="shared" si="119"/>
        <v>0</v>
      </c>
    </row>
    <row r="577" spans="1:23" ht="50.15" customHeight="1" x14ac:dyDescent="0.6">
      <c r="A577" s="440" t="s">
        <v>1</v>
      </c>
      <c r="B577" s="159">
        <v>81</v>
      </c>
      <c r="C577" s="121" t="s">
        <v>21</v>
      </c>
      <c r="D577" s="121" t="s">
        <v>33</v>
      </c>
      <c r="E577" s="121" t="s">
        <v>583</v>
      </c>
      <c r="F577" s="121" t="s">
        <v>594</v>
      </c>
      <c r="G577" s="122" t="s">
        <v>8</v>
      </c>
      <c r="H577" s="122" t="s">
        <v>8</v>
      </c>
      <c r="I577" s="122">
        <v>0</v>
      </c>
      <c r="J577" s="122"/>
      <c r="K577" s="122"/>
      <c r="L577" s="123"/>
      <c r="M577" s="123"/>
      <c r="N577" s="123"/>
      <c r="O577" s="122">
        <v>0</v>
      </c>
      <c r="P577" s="122"/>
      <c r="Q577" s="122">
        <v>12</v>
      </c>
      <c r="R577" s="122">
        <v>12</v>
      </c>
      <c r="S577" s="441">
        <f t="shared" si="118"/>
        <v>0</v>
      </c>
      <c r="T577" s="432">
        <f t="shared" si="120"/>
        <v>0</v>
      </c>
      <c r="U577" s="62">
        <f t="shared" si="121"/>
        <v>0</v>
      </c>
      <c r="V577" s="62">
        <f t="shared" si="119"/>
        <v>0</v>
      </c>
    </row>
    <row r="578" spans="1:23" ht="50.15" customHeight="1" x14ac:dyDescent="0.6">
      <c r="A578" s="440" t="s">
        <v>1</v>
      </c>
      <c r="B578" s="159">
        <v>81</v>
      </c>
      <c r="C578" s="121" t="s">
        <v>21</v>
      </c>
      <c r="D578" s="121" t="s">
        <v>33</v>
      </c>
      <c r="E578" s="121" t="s">
        <v>583</v>
      </c>
      <c r="F578" s="121" t="s">
        <v>595</v>
      </c>
      <c r="G578" s="122" t="s">
        <v>8</v>
      </c>
      <c r="H578" s="122" t="s">
        <v>8</v>
      </c>
      <c r="I578" s="122">
        <v>0</v>
      </c>
      <c r="J578" s="122"/>
      <c r="K578" s="122"/>
      <c r="L578" s="123"/>
      <c r="M578" s="123"/>
      <c r="N578" s="123"/>
      <c r="O578" s="122">
        <v>0</v>
      </c>
      <c r="P578" s="122"/>
      <c r="Q578" s="122">
        <v>12</v>
      </c>
      <c r="R578" s="122">
        <v>12</v>
      </c>
      <c r="S578" s="441">
        <f t="shared" si="118"/>
        <v>0</v>
      </c>
      <c r="T578" s="432">
        <f t="shared" si="120"/>
        <v>0</v>
      </c>
      <c r="U578" s="62">
        <f t="shared" si="121"/>
        <v>0</v>
      </c>
      <c r="V578" s="62">
        <f t="shared" si="119"/>
        <v>0</v>
      </c>
    </row>
    <row r="579" spans="1:23" ht="50.15" customHeight="1" x14ac:dyDescent="0.6">
      <c r="A579" s="440" t="s">
        <v>1</v>
      </c>
      <c r="B579" s="159">
        <v>81</v>
      </c>
      <c r="C579" s="121" t="s">
        <v>21</v>
      </c>
      <c r="D579" s="121" t="s">
        <v>33</v>
      </c>
      <c r="E579" s="121" t="s">
        <v>583</v>
      </c>
      <c r="F579" s="121" t="s">
        <v>596</v>
      </c>
      <c r="G579" s="122" t="s">
        <v>8</v>
      </c>
      <c r="H579" s="122" t="s">
        <v>8</v>
      </c>
      <c r="I579" s="122">
        <v>0</v>
      </c>
      <c r="J579" s="122"/>
      <c r="K579" s="122"/>
      <c r="L579" s="123"/>
      <c r="M579" s="123"/>
      <c r="N579" s="123"/>
      <c r="O579" s="122">
        <v>0</v>
      </c>
      <c r="P579" s="122"/>
      <c r="Q579" s="122">
        <v>12</v>
      </c>
      <c r="R579" s="122">
        <v>12</v>
      </c>
      <c r="S579" s="441">
        <f t="shared" si="118"/>
        <v>0</v>
      </c>
      <c r="T579" s="432">
        <f t="shared" si="120"/>
        <v>0</v>
      </c>
      <c r="U579" s="62">
        <f t="shared" si="121"/>
        <v>0</v>
      </c>
      <c r="V579" s="62">
        <f t="shared" si="119"/>
        <v>0</v>
      </c>
    </row>
    <row r="580" spans="1:23" ht="50.15" customHeight="1" x14ac:dyDescent="0.6">
      <c r="A580" s="440" t="s">
        <v>1</v>
      </c>
      <c r="B580" s="159">
        <v>81</v>
      </c>
      <c r="C580" s="121" t="s">
        <v>21</v>
      </c>
      <c r="D580" s="121" t="s">
        <v>33</v>
      </c>
      <c r="E580" s="121" t="s">
        <v>583</v>
      </c>
      <c r="F580" s="121" t="s">
        <v>597</v>
      </c>
      <c r="G580" s="122" t="s">
        <v>8</v>
      </c>
      <c r="H580" s="122" t="s">
        <v>8</v>
      </c>
      <c r="I580" s="122">
        <v>0</v>
      </c>
      <c r="J580" s="122"/>
      <c r="K580" s="122"/>
      <c r="L580" s="123"/>
      <c r="M580" s="123"/>
      <c r="N580" s="123"/>
      <c r="O580" s="122">
        <v>0</v>
      </c>
      <c r="P580" s="122"/>
      <c r="Q580" s="122">
        <v>12</v>
      </c>
      <c r="R580" s="122">
        <v>12</v>
      </c>
      <c r="S580" s="441">
        <f t="shared" si="118"/>
        <v>0</v>
      </c>
      <c r="T580" s="432">
        <f t="shared" si="120"/>
        <v>0</v>
      </c>
      <c r="U580" s="62">
        <f t="shared" si="121"/>
        <v>0</v>
      </c>
      <c r="V580" s="62">
        <f t="shared" si="119"/>
        <v>0</v>
      </c>
    </row>
    <row r="581" spans="1:23" ht="50.15" customHeight="1" x14ac:dyDescent="0.6">
      <c r="A581" s="440" t="s">
        <v>1</v>
      </c>
      <c r="B581" s="159">
        <v>81</v>
      </c>
      <c r="C581" s="121" t="s">
        <v>21</v>
      </c>
      <c r="D581" s="121" t="s">
        <v>33</v>
      </c>
      <c r="E581" s="121" t="s">
        <v>583</v>
      </c>
      <c r="F581" s="121" t="s">
        <v>598</v>
      </c>
      <c r="G581" s="122" t="s">
        <v>8</v>
      </c>
      <c r="H581" s="122" t="s">
        <v>8</v>
      </c>
      <c r="I581" s="122">
        <v>0</v>
      </c>
      <c r="J581" s="122"/>
      <c r="K581" s="122"/>
      <c r="L581" s="123"/>
      <c r="M581" s="123"/>
      <c r="N581" s="123"/>
      <c r="O581" s="122">
        <v>0</v>
      </c>
      <c r="P581" s="122"/>
      <c r="Q581" s="122">
        <v>12</v>
      </c>
      <c r="R581" s="122">
        <v>12</v>
      </c>
      <c r="S581" s="441">
        <f t="shared" si="118"/>
        <v>0</v>
      </c>
      <c r="T581" s="432">
        <f t="shared" si="120"/>
        <v>0</v>
      </c>
      <c r="U581" s="62">
        <f t="shared" si="121"/>
        <v>0</v>
      </c>
      <c r="V581" s="62">
        <f t="shared" si="119"/>
        <v>0</v>
      </c>
    </row>
    <row r="582" spans="1:23" ht="50.15" customHeight="1" x14ac:dyDescent="0.6">
      <c r="A582" s="440" t="s">
        <v>1</v>
      </c>
      <c r="B582" s="159">
        <v>81</v>
      </c>
      <c r="C582" s="121" t="s">
        <v>21</v>
      </c>
      <c r="D582" s="121" t="s">
        <v>33</v>
      </c>
      <c r="E582" s="121" t="s">
        <v>583</v>
      </c>
      <c r="F582" s="121" t="s">
        <v>498</v>
      </c>
      <c r="G582" s="122" t="s">
        <v>8</v>
      </c>
      <c r="H582" s="122" t="s">
        <v>8</v>
      </c>
      <c r="I582" s="122">
        <v>0</v>
      </c>
      <c r="J582" s="122"/>
      <c r="K582" s="122"/>
      <c r="L582" s="123"/>
      <c r="M582" s="123"/>
      <c r="N582" s="123"/>
      <c r="O582" s="122">
        <v>0</v>
      </c>
      <c r="P582" s="122"/>
      <c r="Q582" s="122">
        <v>12</v>
      </c>
      <c r="R582" s="122">
        <v>12</v>
      </c>
      <c r="S582" s="441">
        <f t="shared" si="118"/>
        <v>0</v>
      </c>
      <c r="T582" s="432">
        <f t="shared" si="120"/>
        <v>0</v>
      </c>
      <c r="U582" s="62">
        <f t="shared" si="121"/>
        <v>0</v>
      </c>
      <c r="V582" s="62">
        <f t="shared" si="119"/>
        <v>0</v>
      </c>
    </row>
    <row r="583" spans="1:23" ht="50.15" customHeight="1" x14ac:dyDescent="0.6">
      <c r="A583" s="440" t="s">
        <v>1</v>
      </c>
      <c r="B583" s="159">
        <v>81</v>
      </c>
      <c r="C583" s="121" t="s">
        <v>21</v>
      </c>
      <c r="D583" s="121" t="s">
        <v>33</v>
      </c>
      <c r="E583" s="121" t="s">
        <v>583</v>
      </c>
      <c r="F583" s="121" t="s">
        <v>599</v>
      </c>
      <c r="G583" s="122" t="s">
        <v>8</v>
      </c>
      <c r="H583" s="122" t="s">
        <v>8</v>
      </c>
      <c r="I583" s="122">
        <v>0</v>
      </c>
      <c r="J583" s="122"/>
      <c r="K583" s="122"/>
      <c r="L583" s="123"/>
      <c r="M583" s="123"/>
      <c r="N583" s="123"/>
      <c r="O583" s="122">
        <v>0</v>
      </c>
      <c r="P583" s="122"/>
      <c r="Q583" s="122">
        <v>12</v>
      </c>
      <c r="R583" s="122">
        <v>12</v>
      </c>
      <c r="S583" s="441">
        <f t="shared" si="118"/>
        <v>0</v>
      </c>
      <c r="T583" s="432">
        <f t="shared" si="120"/>
        <v>0</v>
      </c>
      <c r="U583" s="62">
        <f t="shared" si="121"/>
        <v>0</v>
      </c>
      <c r="V583" s="62">
        <f t="shared" si="119"/>
        <v>0</v>
      </c>
    </row>
    <row r="584" spans="1:23" ht="50.15" customHeight="1" x14ac:dyDescent="0.6">
      <c r="A584" s="440" t="s">
        <v>1</v>
      </c>
      <c r="B584" s="159">
        <v>81</v>
      </c>
      <c r="C584" s="121" t="s">
        <v>21</v>
      </c>
      <c r="D584" s="121" t="s">
        <v>33</v>
      </c>
      <c r="E584" s="121" t="s">
        <v>583</v>
      </c>
      <c r="F584" s="121" t="s">
        <v>600</v>
      </c>
      <c r="G584" s="122" t="s">
        <v>8</v>
      </c>
      <c r="H584" s="122" t="s">
        <v>8</v>
      </c>
      <c r="I584" s="122">
        <v>0</v>
      </c>
      <c r="J584" s="122"/>
      <c r="K584" s="122"/>
      <c r="L584" s="123"/>
      <c r="M584" s="123"/>
      <c r="N584" s="123"/>
      <c r="O584" s="122">
        <v>0</v>
      </c>
      <c r="P584" s="122"/>
      <c r="Q584" s="122">
        <v>12</v>
      </c>
      <c r="R584" s="122">
        <v>12</v>
      </c>
      <c r="S584" s="441">
        <f t="shared" si="118"/>
        <v>0</v>
      </c>
      <c r="T584" s="432">
        <f t="shared" si="120"/>
        <v>0</v>
      </c>
      <c r="U584" s="62">
        <f t="shared" si="121"/>
        <v>0</v>
      </c>
      <c r="V584" s="62">
        <f t="shared" si="119"/>
        <v>0</v>
      </c>
    </row>
    <row r="585" spans="1:23" ht="50.15" customHeight="1" x14ac:dyDescent="0.6">
      <c r="A585" s="440" t="s">
        <v>1</v>
      </c>
      <c r="B585" s="159">
        <v>81</v>
      </c>
      <c r="C585" s="121" t="s">
        <v>21</v>
      </c>
      <c r="D585" s="121" t="s">
        <v>33</v>
      </c>
      <c r="E585" s="121" t="s">
        <v>583</v>
      </c>
      <c r="F585" s="121" t="s">
        <v>601</v>
      </c>
      <c r="G585" s="122" t="s">
        <v>8</v>
      </c>
      <c r="H585" s="122" t="s">
        <v>8</v>
      </c>
      <c r="I585" s="122">
        <v>0</v>
      </c>
      <c r="J585" s="122"/>
      <c r="K585" s="122"/>
      <c r="L585" s="123"/>
      <c r="M585" s="123"/>
      <c r="N585" s="123"/>
      <c r="O585" s="122">
        <v>0</v>
      </c>
      <c r="P585" s="122"/>
      <c r="Q585" s="122">
        <v>12</v>
      </c>
      <c r="R585" s="122">
        <v>12</v>
      </c>
      <c r="S585" s="441">
        <f t="shared" si="118"/>
        <v>0</v>
      </c>
      <c r="T585" s="432">
        <f t="shared" si="120"/>
        <v>0</v>
      </c>
      <c r="U585" s="62">
        <f t="shared" si="121"/>
        <v>0</v>
      </c>
      <c r="V585" s="62">
        <f t="shared" si="119"/>
        <v>0</v>
      </c>
    </row>
    <row r="586" spans="1:23" s="243" customFormat="1" ht="50.15" customHeight="1" thickBot="1" x14ac:dyDescent="0.65">
      <c r="A586" s="472">
        <v>1817920110</v>
      </c>
      <c r="B586" s="406">
        <v>81</v>
      </c>
      <c r="C586" s="335" t="s">
        <v>21</v>
      </c>
      <c r="D586" s="335" t="s">
        <v>33</v>
      </c>
      <c r="E586" s="335" t="s">
        <v>583</v>
      </c>
      <c r="F586" s="335" t="s">
        <v>505</v>
      </c>
      <c r="G586" s="281"/>
      <c r="H586" s="281"/>
      <c r="I586" s="281">
        <v>542000</v>
      </c>
      <c r="J586" s="281">
        <v>550106.92904999992</v>
      </c>
      <c r="K586" s="281"/>
      <c r="L586" s="280">
        <v>3.0750000000000002</v>
      </c>
      <c r="M586" s="280">
        <v>3.0750000000000002</v>
      </c>
      <c r="N586" s="280">
        <f>ריכוז!K86</f>
        <v>15.779000000000002</v>
      </c>
      <c r="O586" s="281">
        <f>700000+547000</f>
        <v>1247000</v>
      </c>
      <c r="P586" s="281">
        <f>ריכוז!M86</f>
        <v>1680204.7999999998</v>
      </c>
      <c r="Q586" s="281">
        <v>12</v>
      </c>
      <c r="R586" s="281">
        <v>12</v>
      </c>
      <c r="S586" s="473">
        <f t="shared" si="118"/>
        <v>1680204.7999999998</v>
      </c>
      <c r="T586" s="432">
        <f t="shared" si="120"/>
        <v>1680204.7999999998</v>
      </c>
      <c r="U586" s="62">
        <f t="shared" si="121"/>
        <v>1680204.7999999998</v>
      </c>
      <c r="V586" s="399">
        <f t="shared" si="119"/>
        <v>0</v>
      </c>
      <c r="W586" s="338" t="s">
        <v>925</v>
      </c>
    </row>
    <row r="587" spans="1:23" ht="50.15" customHeight="1" thickBot="1" x14ac:dyDescent="0.65">
      <c r="A587" s="407"/>
      <c r="B587" s="64"/>
      <c r="C587" s="402"/>
      <c r="D587" s="65"/>
      <c r="E587" s="65"/>
      <c r="F587" s="403"/>
      <c r="G587" s="408">
        <f t="shared" ref="G587:V587" si="122">SUM(G454:G586)</f>
        <v>55735807.980000027</v>
      </c>
      <c r="H587" s="66">
        <f t="shared" si="122"/>
        <v>54520212.57</v>
      </c>
      <c r="I587" s="66">
        <f t="shared" si="122"/>
        <v>56667615.088319995</v>
      </c>
      <c r="J587" s="66">
        <f t="shared" si="122"/>
        <v>55410023.412777707</v>
      </c>
      <c r="K587" s="66">
        <f t="shared" si="122"/>
        <v>51729075.701725475</v>
      </c>
      <c r="L587" s="66">
        <f t="shared" si="122"/>
        <v>220.393</v>
      </c>
      <c r="M587" s="66">
        <f t="shared" si="122"/>
        <v>218.899</v>
      </c>
      <c r="N587" s="66">
        <f t="shared" si="122"/>
        <v>209.053</v>
      </c>
      <c r="O587" s="66">
        <f t="shared" si="122"/>
        <v>56966448.197920017</v>
      </c>
      <c r="P587" s="66">
        <f t="shared" si="122"/>
        <v>55874320.260000005</v>
      </c>
      <c r="Q587" s="66">
        <f t="shared" si="122"/>
        <v>1546.5</v>
      </c>
      <c r="R587" s="66">
        <f t="shared" si="122"/>
        <v>1596</v>
      </c>
      <c r="S587" s="66">
        <f t="shared" si="122"/>
        <v>53799297.218333334</v>
      </c>
      <c r="T587" s="398">
        <f t="shared" si="122"/>
        <v>4145244.5582745178</v>
      </c>
      <c r="U587" s="393">
        <f t="shared" si="122"/>
        <v>2070221.5166078536</v>
      </c>
      <c r="V587" s="66">
        <f t="shared" si="122"/>
        <v>-2075023.041666667</v>
      </c>
    </row>
    <row r="588" spans="1:23" ht="50.15" customHeight="1" x14ac:dyDescent="0.35">
      <c r="A588" s="470" t="s">
        <v>636</v>
      </c>
      <c r="B588" s="328"/>
      <c r="C588" s="328"/>
      <c r="D588" s="118"/>
      <c r="E588" s="118"/>
      <c r="F588" s="328"/>
      <c r="G588" s="118"/>
      <c r="H588" s="118"/>
      <c r="I588" s="118"/>
      <c r="J588" s="118"/>
      <c r="K588" s="118"/>
      <c r="L588" s="118"/>
      <c r="M588" s="333"/>
      <c r="N588" s="118"/>
      <c r="O588" s="118"/>
      <c r="P588" s="329"/>
      <c r="Q588" s="328"/>
      <c r="R588" s="328"/>
      <c r="S588" s="471"/>
      <c r="T588" s="461"/>
      <c r="U588" s="391"/>
      <c r="V588" s="400"/>
    </row>
    <row r="589" spans="1:23" ht="50.15" customHeight="1" x14ac:dyDescent="0.6">
      <c r="A589" s="440">
        <v>1823000780</v>
      </c>
      <c r="B589" s="120">
        <v>82</v>
      </c>
      <c r="C589" s="121" t="s">
        <v>18</v>
      </c>
      <c r="D589" s="121" t="s">
        <v>33</v>
      </c>
      <c r="E589" s="121"/>
      <c r="F589" s="121" t="s">
        <v>509</v>
      </c>
      <c r="G589" s="122">
        <v>356863.22</v>
      </c>
      <c r="H589" s="122">
        <v>336000</v>
      </c>
      <c r="I589" s="122">
        <v>327990.85200000007</v>
      </c>
      <c r="J589" s="122">
        <v>336000</v>
      </c>
      <c r="K589" s="122">
        <v>336000</v>
      </c>
      <c r="L589" s="123"/>
      <c r="M589" s="123"/>
      <c r="N589" s="123"/>
      <c r="O589" s="226">
        <v>329325.71000000002</v>
      </c>
      <c r="P589" s="122">
        <v>330000</v>
      </c>
      <c r="Q589" s="122">
        <v>12</v>
      </c>
      <c r="R589" s="122">
        <v>12</v>
      </c>
      <c r="S589" s="441">
        <f t="shared" si="118"/>
        <v>330000</v>
      </c>
      <c r="T589" s="432">
        <f>P589-K589</f>
        <v>-6000</v>
      </c>
      <c r="U589" s="62">
        <f>S589-K589</f>
        <v>-6000</v>
      </c>
      <c r="V589" s="62">
        <f t="shared" ref="V589:V618" si="123">S589-P589</f>
        <v>0</v>
      </c>
      <c r="W589" s="338" t="s">
        <v>898</v>
      </c>
    </row>
    <row r="590" spans="1:23" ht="50.15" customHeight="1" x14ac:dyDescent="0.6">
      <c r="A590" s="440">
        <v>1824000110</v>
      </c>
      <c r="B590" s="120">
        <v>82</v>
      </c>
      <c r="C590" s="121" t="s">
        <v>17</v>
      </c>
      <c r="D590" s="121" t="s">
        <v>33</v>
      </c>
      <c r="E590" s="121" t="s">
        <v>583</v>
      </c>
      <c r="F590" s="121" t="s">
        <v>510</v>
      </c>
      <c r="G590" s="122">
        <v>348670.59</v>
      </c>
      <c r="H590" s="122">
        <v>379141.12</v>
      </c>
      <c r="I590" s="122">
        <v>396000</v>
      </c>
      <c r="J590" s="122">
        <v>402760.18089999998</v>
      </c>
      <c r="K590" s="122">
        <v>387368.4824347776</v>
      </c>
      <c r="L590" s="123">
        <v>2.21</v>
      </c>
      <c r="M590" s="123">
        <v>2.21</v>
      </c>
      <c r="N590" s="123">
        <f>ריכוז!K88</f>
        <v>2.21</v>
      </c>
      <c r="O590" s="226">
        <v>393285.85</v>
      </c>
      <c r="P590" s="122">
        <f>ריכוז!M88</f>
        <v>402400</v>
      </c>
      <c r="Q590" s="122">
        <v>12</v>
      </c>
      <c r="R590" s="122">
        <v>12</v>
      </c>
      <c r="S590" s="441">
        <f t="shared" si="118"/>
        <v>402400</v>
      </c>
      <c r="T590" s="432">
        <f t="shared" ref="T590:T618" si="124">P590-K590</f>
        <v>15031.517565222399</v>
      </c>
      <c r="U590" s="62">
        <f t="shared" ref="U590:U618" si="125">S590-K590</f>
        <v>15031.517565222399</v>
      </c>
      <c r="V590" s="62">
        <f t="shared" si="123"/>
        <v>0</v>
      </c>
      <c r="W590" s="338"/>
    </row>
    <row r="591" spans="1:23" ht="50.15" customHeight="1" x14ac:dyDescent="0.6">
      <c r="A591" s="440">
        <v>1824000410</v>
      </c>
      <c r="B591" s="120">
        <v>82</v>
      </c>
      <c r="C591" s="121" t="s">
        <v>18</v>
      </c>
      <c r="D591" s="121" t="s">
        <v>33</v>
      </c>
      <c r="E591" s="121"/>
      <c r="F591" s="121" t="s">
        <v>511</v>
      </c>
      <c r="G591" s="122">
        <v>30000</v>
      </c>
      <c r="H591" s="122">
        <v>30000</v>
      </c>
      <c r="I591" s="122">
        <v>30000</v>
      </c>
      <c r="J591" s="122">
        <v>30000</v>
      </c>
      <c r="K591" s="122">
        <v>30000</v>
      </c>
      <c r="L591" s="123"/>
      <c r="M591" s="123"/>
      <c r="N591" s="123"/>
      <c r="O591" s="122">
        <v>30000</v>
      </c>
      <c r="P591" s="122">
        <v>30000</v>
      </c>
      <c r="Q591" s="122">
        <v>12</v>
      </c>
      <c r="R591" s="122">
        <v>12</v>
      </c>
      <c r="S591" s="441">
        <f t="shared" si="118"/>
        <v>30000</v>
      </c>
      <c r="T591" s="432">
        <f t="shared" si="124"/>
        <v>0</v>
      </c>
      <c r="U591" s="62">
        <f t="shared" si="125"/>
        <v>0</v>
      </c>
      <c r="V591" s="62">
        <f t="shared" si="123"/>
        <v>0</v>
      </c>
      <c r="W591" s="338" t="s">
        <v>899</v>
      </c>
    </row>
    <row r="592" spans="1:23" ht="50.15" customHeight="1" x14ac:dyDescent="0.6">
      <c r="A592" s="440">
        <v>1824000810</v>
      </c>
      <c r="B592" s="120">
        <v>82</v>
      </c>
      <c r="C592" s="121" t="s">
        <v>18</v>
      </c>
      <c r="D592" s="121" t="s">
        <v>33</v>
      </c>
      <c r="E592" s="121"/>
      <c r="F592" s="121" t="s">
        <v>512</v>
      </c>
      <c r="G592" s="122">
        <v>409524.2</v>
      </c>
      <c r="H592" s="122">
        <v>360000</v>
      </c>
      <c r="I592" s="122">
        <v>371000</v>
      </c>
      <c r="J592" s="122">
        <v>360000</v>
      </c>
      <c r="K592" s="122">
        <v>360000</v>
      </c>
      <c r="L592" s="123"/>
      <c r="M592" s="123"/>
      <c r="N592" s="123"/>
      <c r="O592" s="226">
        <v>476877.85</v>
      </c>
      <c r="P592" s="122">
        <v>360000</v>
      </c>
      <c r="Q592" s="122">
        <v>12</v>
      </c>
      <c r="R592" s="122">
        <v>12</v>
      </c>
      <c r="S592" s="441">
        <f t="shared" si="118"/>
        <v>360000</v>
      </c>
      <c r="T592" s="432">
        <f t="shared" si="124"/>
        <v>0</v>
      </c>
      <c r="U592" s="62">
        <f t="shared" si="125"/>
        <v>0</v>
      </c>
      <c r="V592" s="62">
        <f t="shared" si="123"/>
        <v>0</v>
      </c>
      <c r="W592" s="338" t="s">
        <v>900</v>
      </c>
    </row>
    <row r="593" spans="1:23" ht="50.15" customHeight="1" x14ac:dyDescent="0.6">
      <c r="A593" s="440">
        <v>1824100810</v>
      </c>
      <c r="B593" s="120">
        <v>82</v>
      </c>
      <c r="C593" s="121" t="s">
        <v>18</v>
      </c>
      <c r="D593" s="121" t="s">
        <v>33</v>
      </c>
      <c r="E593" s="121"/>
      <c r="F593" s="121" t="s">
        <v>2182</v>
      </c>
      <c r="G593" s="122"/>
      <c r="H593" s="122">
        <v>0</v>
      </c>
      <c r="I593" s="122"/>
      <c r="J593" s="122"/>
      <c r="K593" s="122">
        <v>0</v>
      </c>
      <c r="L593" s="123"/>
      <c r="M593" s="123"/>
      <c r="N593" s="123"/>
      <c r="O593" s="226">
        <v>0</v>
      </c>
      <c r="P593" s="122">
        <v>55000</v>
      </c>
      <c r="Q593" s="122">
        <v>12</v>
      </c>
      <c r="R593" s="122">
        <v>12</v>
      </c>
      <c r="S593" s="441">
        <f>P593*Q593/R593</f>
        <v>55000</v>
      </c>
      <c r="T593" s="432">
        <f t="shared" si="124"/>
        <v>55000</v>
      </c>
      <c r="U593" s="62">
        <f t="shared" si="125"/>
        <v>55000</v>
      </c>
      <c r="V593" s="62">
        <f t="shared" si="123"/>
        <v>0</v>
      </c>
      <c r="W593" s="155" t="s">
        <v>2176</v>
      </c>
    </row>
    <row r="594" spans="1:23" ht="50.15" customHeight="1" x14ac:dyDescent="0.6">
      <c r="A594" s="440">
        <v>1824100110</v>
      </c>
      <c r="B594" s="120">
        <v>82</v>
      </c>
      <c r="C594" s="121" t="s">
        <v>17</v>
      </c>
      <c r="D594" s="121" t="s">
        <v>33</v>
      </c>
      <c r="E594" s="121" t="s">
        <v>583</v>
      </c>
      <c r="F594" s="121" t="s">
        <v>513</v>
      </c>
      <c r="G594" s="122">
        <v>0</v>
      </c>
      <c r="H594" s="122">
        <v>44143.53</v>
      </c>
      <c r="I594" s="122">
        <v>0</v>
      </c>
      <c r="J594" s="122">
        <v>0</v>
      </c>
      <c r="K594" s="122">
        <v>45101.447861925837</v>
      </c>
      <c r="L594" s="123">
        <v>0</v>
      </c>
      <c r="M594" s="123">
        <v>0</v>
      </c>
      <c r="N594" s="123"/>
      <c r="O594" s="122">
        <v>0</v>
      </c>
      <c r="P594" s="122">
        <v>0</v>
      </c>
      <c r="Q594" s="122">
        <v>12</v>
      </c>
      <c r="R594" s="122">
        <v>12</v>
      </c>
      <c r="S594" s="441">
        <f t="shared" si="118"/>
        <v>0</v>
      </c>
      <c r="T594" s="432">
        <f t="shared" si="124"/>
        <v>-45101.447861925837</v>
      </c>
      <c r="U594" s="62">
        <f t="shared" si="125"/>
        <v>-45101.447861925837</v>
      </c>
      <c r="V594" s="62">
        <f t="shared" si="123"/>
        <v>0</v>
      </c>
    </row>
    <row r="595" spans="1:23" ht="50.15" customHeight="1" x14ac:dyDescent="0.6">
      <c r="A595" s="440">
        <v>1826200720</v>
      </c>
      <c r="B595" s="120">
        <v>82</v>
      </c>
      <c r="C595" s="121" t="s">
        <v>18</v>
      </c>
      <c r="D595" s="121" t="s">
        <v>33</v>
      </c>
      <c r="E595" s="121"/>
      <c r="F595" s="121" t="s">
        <v>514</v>
      </c>
      <c r="G595" s="122">
        <v>1572.56</v>
      </c>
      <c r="H595" s="122">
        <v>2000</v>
      </c>
      <c r="I595" s="122">
        <v>0</v>
      </c>
      <c r="J595" s="122">
        <v>2000</v>
      </c>
      <c r="K595" s="122">
        <v>2000</v>
      </c>
      <c r="L595" s="123"/>
      <c r="M595" s="123"/>
      <c r="N595" s="123"/>
      <c r="O595" s="122">
        <v>0</v>
      </c>
      <c r="P595" s="122">
        <v>0</v>
      </c>
      <c r="Q595" s="122">
        <v>12</v>
      </c>
      <c r="R595" s="122">
        <v>12</v>
      </c>
      <c r="S595" s="441">
        <f t="shared" si="118"/>
        <v>0</v>
      </c>
      <c r="T595" s="432">
        <f t="shared" si="124"/>
        <v>-2000</v>
      </c>
      <c r="U595" s="62">
        <f t="shared" si="125"/>
        <v>-2000</v>
      </c>
      <c r="V595" s="62">
        <f t="shared" si="123"/>
        <v>0</v>
      </c>
    </row>
    <row r="596" spans="1:23" ht="50.15" customHeight="1" x14ac:dyDescent="0.6">
      <c r="A596" s="440">
        <v>1828100110</v>
      </c>
      <c r="B596" s="120">
        <v>82</v>
      </c>
      <c r="C596" s="121" t="s">
        <v>17</v>
      </c>
      <c r="D596" s="121" t="s">
        <v>33</v>
      </c>
      <c r="E596" s="121" t="s">
        <v>583</v>
      </c>
      <c r="F596" s="121" t="s">
        <v>515</v>
      </c>
      <c r="G596" s="122">
        <v>526680.61</v>
      </c>
      <c r="H596" s="122">
        <v>518348.24</v>
      </c>
      <c r="I596" s="122">
        <v>776000</v>
      </c>
      <c r="J596" s="122">
        <f>881660-300000</f>
        <v>581660</v>
      </c>
      <c r="K596" s="122">
        <v>121005.64887833511</v>
      </c>
      <c r="L596" s="123">
        <v>2.5535999999999999</v>
      </c>
      <c r="M596" s="123">
        <v>2.5535999999999999</v>
      </c>
      <c r="N596" s="123">
        <f>ריכוז!K91</f>
        <v>5.3320000000000007</v>
      </c>
      <c r="O596" s="226">
        <v>558191</v>
      </c>
      <c r="P596" s="122">
        <f>ריכוז!M91</f>
        <v>751660</v>
      </c>
      <c r="Q596" s="122">
        <v>12</v>
      </c>
      <c r="R596" s="122">
        <v>12</v>
      </c>
      <c r="S596" s="441">
        <f t="shared" si="118"/>
        <v>751660</v>
      </c>
      <c r="T596" s="432">
        <f t="shared" si="124"/>
        <v>630654.35112166486</v>
      </c>
      <c r="U596" s="62">
        <f t="shared" si="125"/>
        <v>630654.35112166486</v>
      </c>
      <c r="V596" s="62">
        <f t="shared" si="123"/>
        <v>0</v>
      </c>
      <c r="W596" s="153" t="s">
        <v>927</v>
      </c>
    </row>
    <row r="597" spans="1:23" ht="50.15" customHeight="1" x14ac:dyDescent="0.6">
      <c r="A597" s="440">
        <v>1828100111</v>
      </c>
      <c r="B597" s="120">
        <v>82</v>
      </c>
      <c r="C597" s="121" t="s">
        <v>30</v>
      </c>
      <c r="D597" s="121" t="s">
        <v>33</v>
      </c>
      <c r="E597" s="121"/>
      <c r="F597" s="121" t="s">
        <v>515</v>
      </c>
      <c r="G597" s="122"/>
      <c r="H597" s="122"/>
      <c r="I597" s="122"/>
      <c r="J597" s="122">
        <v>300000</v>
      </c>
      <c r="K597" s="122"/>
      <c r="L597" s="123"/>
      <c r="M597" s="123"/>
      <c r="N597" s="123"/>
      <c r="O597" s="122"/>
      <c r="P597" s="122">
        <v>130000</v>
      </c>
      <c r="Q597" s="122">
        <v>12</v>
      </c>
      <c r="R597" s="122">
        <v>12</v>
      </c>
      <c r="S597" s="441">
        <f t="shared" si="118"/>
        <v>130000</v>
      </c>
      <c r="T597" s="432">
        <f t="shared" si="124"/>
        <v>130000</v>
      </c>
      <c r="U597" s="62">
        <f t="shared" si="125"/>
        <v>130000</v>
      </c>
      <c r="V597" s="62">
        <f t="shared" si="123"/>
        <v>0</v>
      </c>
      <c r="W597" s="153" t="s">
        <v>901</v>
      </c>
    </row>
    <row r="598" spans="1:23" ht="50.15" customHeight="1" x14ac:dyDescent="0.6">
      <c r="A598" s="440">
        <v>1828100780</v>
      </c>
      <c r="B598" s="120">
        <v>82</v>
      </c>
      <c r="C598" s="121" t="s">
        <v>18</v>
      </c>
      <c r="D598" s="121" t="s">
        <v>33</v>
      </c>
      <c r="E598" s="121"/>
      <c r="F598" s="121" t="s">
        <v>132</v>
      </c>
      <c r="G598" s="122">
        <v>93019.89</v>
      </c>
      <c r="H598" s="122">
        <v>193767</v>
      </c>
      <c r="I598" s="122">
        <v>151839.59999999998</v>
      </c>
      <c r="J598" s="122">
        <v>50000</v>
      </c>
      <c r="K598" s="122">
        <v>193767</v>
      </c>
      <c r="L598" s="123"/>
      <c r="M598" s="123"/>
      <c r="N598" s="123"/>
      <c r="O598" s="226">
        <v>134280.45000000001</v>
      </c>
      <c r="P598" s="122">
        <v>135000</v>
      </c>
      <c r="Q598" s="122">
        <v>12</v>
      </c>
      <c r="R598" s="122">
        <v>12</v>
      </c>
      <c r="S598" s="441">
        <f t="shared" si="118"/>
        <v>135000</v>
      </c>
      <c r="T598" s="432">
        <f t="shared" si="124"/>
        <v>-58767</v>
      </c>
      <c r="U598" s="62">
        <f t="shared" si="125"/>
        <v>-58767</v>
      </c>
      <c r="V598" s="62">
        <f t="shared" si="123"/>
        <v>0</v>
      </c>
    </row>
    <row r="599" spans="1:23" ht="50.15" customHeight="1" x14ac:dyDescent="0.6">
      <c r="A599" s="440">
        <v>1828100781</v>
      </c>
      <c r="B599" s="120">
        <v>82</v>
      </c>
      <c r="C599" s="121" t="s">
        <v>18</v>
      </c>
      <c r="D599" s="121" t="s">
        <v>33</v>
      </c>
      <c r="E599" s="121"/>
      <c r="F599" s="121" t="s">
        <v>133</v>
      </c>
      <c r="G599" s="122">
        <v>-944.3</v>
      </c>
      <c r="H599" s="122">
        <v>97000</v>
      </c>
      <c r="I599" s="122">
        <v>44032.248000000007</v>
      </c>
      <c r="J599" s="122">
        <v>50000</v>
      </c>
      <c r="K599" s="122">
        <v>97000</v>
      </c>
      <c r="L599" s="123"/>
      <c r="M599" s="123"/>
      <c r="N599" s="123"/>
      <c r="O599" s="122">
        <v>36000</v>
      </c>
      <c r="P599" s="122">
        <v>97000</v>
      </c>
      <c r="Q599" s="122">
        <v>12</v>
      </c>
      <c r="R599" s="122">
        <v>12</v>
      </c>
      <c r="S599" s="441">
        <f t="shared" si="118"/>
        <v>97000</v>
      </c>
      <c r="T599" s="432">
        <f t="shared" si="124"/>
        <v>0</v>
      </c>
      <c r="U599" s="62">
        <f t="shared" si="125"/>
        <v>0</v>
      </c>
      <c r="V599" s="62">
        <f t="shared" si="123"/>
        <v>0</v>
      </c>
    </row>
    <row r="600" spans="1:23" ht="50.15" customHeight="1" x14ac:dyDescent="0.6">
      <c r="A600" s="440">
        <v>1828200110</v>
      </c>
      <c r="B600" s="120">
        <v>82</v>
      </c>
      <c r="C600" s="121" t="s">
        <v>17</v>
      </c>
      <c r="D600" s="121" t="s">
        <v>33</v>
      </c>
      <c r="E600" s="121" t="s">
        <v>583</v>
      </c>
      <c r="F600" s="121" t="s">
        <v>516</v>
      </c>
      <c r="G600" s="122">
        <v>271737.08</v>
      </c>
      <c r="H600" s="122">
        <v>259402.8</v>
      </c>
      <c r="I600" s="122">
        <v>284000</v>
      </c>
      <c r="J600" s="122">
        <v>554436.75210000004</v>
      </c>
      <c r="K600" s="122">
        <v>265031.83686630125</v>
      </c>
      <c r="L600" s="123">
        <v>2</v>
      </c>
      <c r="M600" s="123">
        <v>2</v>
      </c>
      <c r="N600" s="123">
        <f>ריכוז!K92</f>
        <v>2</v>
      </c>
      <c r="O600" s="122">
        <v>281398</v>
      </c>
      <c r="P600" s="122">
        <f>ריכוז!M92</f>
        <v>563986.19999999995</v>
      </c>
      <c r="Q600" s="122">
        <v>12</v>
      </c>
      <c r="R600" s="122">
        <v>12</v>
      </c>
      <c r="S600" s="441">
        <f t="shared" si="118"/>
        <v>563986.19999999995</v>
      </c>
      <c r="T600" s="432">
        <f t="shared" si="124"/>
        <v>298954.3631336987</v>
      </c>
      <c r="U600" s="62">
        <f t="shared" si="125"/>
        <v>298954.3631336987</v>
      </c>
      <c r="V600" s="62">
        <f t="shared" si="123"/>
        <v>0</v>
      </c>
      <c r="W600" s="338" t="s">
        <v>928</v>
      </c>
    </row>
    <row r="601" spans="1:23" ht="50.15" customHeight="1" x14ac:dyDescent="0.6">
      <c r="A601" s="440">
        <v>1828200431</v>
      </c>
      <c r="B601" s="120">
        <v>82</v>
      </c>
      <c r="C601" s="121" t="s">
        <v>18</v>
      </c>
      <c r="D601" s="121" t="s">
        <v>33</v>
      </c>
      <c r="E601" s="121"/>
      <c r="F601" s="121" t="s">
        <v>517</v>
      </c>
      <c r="G601" s="122">
        <v>4089.94</v>
      </c>
      <c r="H601" s="122">
        <v>3919.91</v>
      </c>
      <c r="I601" s="122">
        <v>5000</v>
      </c>
      <c r="J601" s="122">
        <v>5000</v>
      </c>
      <c r="K601" s="122">
        <v>3919.9079999999999</v>
      </c>
      <c r="L601" s="123"/>
      <c r="M601" s="123"/>
      <c r="N601" s="123"/>
      <c r="O601" s="226">
        <v>6720.67</v>
      </c>
      <c r="P601" s="122">
        <v>7000</v>
      </c>
      <c r="Q601" s="122">
        <v>12</v>
      </c>
      <c r="R601" s="122">
        <v>12</v>
      </c>
      <c r="S601" s="441">
        <f t="shared" si="118"/>
        <v>7000</v>
      </c>
      <c r="T601" s="432">
        <f t="shared" si="124"/>
        <v>3080.0920000000001</v>
      </c>
      <c r="U601" s="62">
        <f t="shared" si="125"/>
        <v>3080.0920000000001</v>
      </c>
      <c r="V601" s="62">
        <f t="shared" si="123"/>
        <v>0</v>
      </c>
    </row>
    <row r="602" spans="1:23" ht="50.15" customHeight="1" x14ac:dyDescent="0.6">
      <c r="A602" s="440">
        <v>1828210110</v>
      </c>
      <c r="B602" s="120">
        <v>82</v>
      </c>
      <c r="C602" s="121" t="s">
        <v>17</v>
      </c>
      <c r="D602" s="121" t="s">
        <v>33</v>
      </c>
      <c r="E602" s="121" t="s">
        <v>583</v>
      </c>
      <c r="F602" s="121" t="s">
        <v>2154</v>
      </c>
      <c r="G602" s="122"/>
      <c r="H602" s="122"/>
      <c r="I602" s="122"/>
      <c r="J602" s="122"/>
      <c r="K602" s="122"/>
      <c r="L602" s="123"/>
      <c r="M602" s="123"/>
      <c r="N602" s="123">
        <f>ריכוז!K90</f>
        <v>1</v>
      </c>
      <c r="O602" s="226">
        <v>0</v>
      </c>
      <c r="P602" s="122">
        <f>ריכוז!M90</f>
        <v>130000</v>
      </c>
      <c r="Q602" s="122">
        <v>12</v>
      </c>
      <c r="R602" s="122">
        <v>12</v>
      </c>
      <c r="S602" s="441">
        <f t="shared" si="118"/>
        <v>130000</v>
      </c>
      <c r="T602" s="432">
        <f t="shared" si="124"/>
        <v>130000</v>
      </c>
      <c r="U602" s="62">
        <f t="shared" si="125"/>
        <v>130000</v>
      </c>
      <c r="V602" s="62">
        <f t="shared" si="123"/>
        <v>0</v>
      </c>
      <c r="W602" s="153" t="s">
        <v>2155</v>
      </c>
    </row>
    <row r="603" spans="1:23" ht="50.15" customHeight="1" x14ac:dyDescent="0.6">
      <c r="A603" s="440">
        <v>1828200750</v>
      </c>
      <c r="B603" s="120">
        <v>82</v>
      </c>
      <c r="C603" s="121" t="s">
        <v>18</v>
      </c>
      <c r="D603" s="121" t="s">
        <v>33</v>
      </c>
      <c r="E603" s="121"/>
      <c r="F603" s="121" t="s">
        <v>518</v>
      </c>
      <c r="G603" s="122">
        <v>1068451</v>
      </c>
      <c r="H603" s="122">
        <v>1090000</v>
      </c>
      <c r="I603" s="122">
        <v>937557.60000000009</v>
      </c>
      <c r="J603" s="122">
        <v>1112000</v>
      </c>
      <c r="K603" s="122">
        <v>1090000</v>
      </c>
      <c r="L603" s="123"/>
      <c r="M603" s="123"/>
      <c r="N603" s="123"/>
      <c r="O603" s="226">
        <v>1130613</v>
      </c>
      <c r="P603" s="122">
        <v>1000000</v>
      </c>
      <c r="Q603" s="122">
        <v>12</v>
      </c>
      <c r="R603" s="122">
        <v>12</v>
      </c>
      <c r="S603" s="441">
        <f t="shared" si="118"/>
        <v>1000000</v>
      </c>
      <c r="T603" s="432">
        <f t="shared" si="124"/>
        <v>-90000</v>
      </c>
      <c r="U603" s="62">
        <f t="shared" si="125"/>
        <v>-90000</v>
      </c>
      <c r="V603" s="62">
        <f t="shared" si="123"/>
        <v>0</v>
      </c>
    </row>
    <row r="604" spans="1:23" ht="50.15" customHeight="1" x14ac:dyDescent="0.6">
      <c r="A604" s="440">
        <v>1828200751</v>
      </c>
      <c r="B604" s="120">
        <v>82</v>
      </c>
      <c r="C604" s="121" t="s">
        <v>18</v>
      </c>
      <c r="D604" s="121" t="s">
        <v>33</v>
      </c>
      <c r="E604" s="121"/>
      <c r="F604" s="121" t="s">
        <v>519</v>
      </c>
      <c r="G604" s="122">
        <v>82467.95</v>
      </c>
      <c r="H604" s="122">
        <v>78000</v>
      </c>
      <c r="I604" s="122">
        <v>78000</v>
      </c>
      <c r="J604" s="122">
        <v>78000</v>
      </c>
      <c r="K604" s="122">
        <v>78000</v>
      </c>
      <c r="L604" s="123"/>
      <c r="M604" s="123"/>
      <c r="N604" s="123"/>
      <c r="O604" s="226">
        <v>130000</v>
      </c>
      <c r="P604" s="122">
        <v>78000</v>
      </c>
      <c r="Q604" s="122">
        <v>12</v>
      </c>
      <c r="R604" s="122">
        <v>12</v>
      </c>
      <c r="S604" s="441">
        <f t="shared" si="118"/>
        <v>78000</v>
      </c>
      <c r="T604" s="432">
        <f t="shared" si="124"/>
        <v>0</v>
      </c>
      <c r="U604" s="62">
        <f t="shared" si="125"/>
        <v>0</v>
      </c>
      <c r="V604" s="62">
        <f t="shared" si="123"/>
        <v>0</v>
      </c>
      <c r="W604" s="153" t="s">
        <v>902</v>
      </c>
    </row>
    <row r="605" spans="1:23" ht="50.15" customHeight="1" x14ac:dyDescent="0.6">
      <c r="A605" s="530">
        <v>1317600921</v>
      </c>
      <c r="B605" s="120">
        <v>82</v>
      </c>
      <c r="C605" s="121" t="s">
        <v>18</v>
      </c>
      <c r="D605" s="121" t="s">
        <v>33</v>
      </c>
      <c r="E605" s="121"/>
      <c r="F605" s="121" t="s">
        <v>135</v>
      </c>
      <c r="G605" s="122">
        <v>223357</v>
      </c>
      <c r="H605" s="122">
        <v>200000</v>
      </c>
      <c r="I605" s="122">
        <v>375236.83199999994</v>
      </c>
      <c r="J605" s="122">
        <v>173000</v>
      </c>
      <c r="K605" s="122">
        <v>200000</v>
      </c>
      <c r="L605" s="123"/>
      <c r="M605" s="123"/>
      <c r="N605" s="123"/>
      <c r="O605" s="226">
        <v>405467.94</v>
      </c>
      <c r="P605" s="122">
        <v>306000</v>
      </c>
      <c r="Q605" s="122">
        <v>12</v>
      </c>
      <c r="R605" s="122">
        <v>12</v>
      </c>
      <c r="S605" s="441">
        <f t="shared" si="118"/>
        <v>306000</v>
      </c>
      <c r="T605" s="432">
        <f t="shared" si="124"/>
        <v>106000</v>
      </c>
      <c r="U605" s="62">
        <f t="shared" si="125"/>
        <v>106000</v>
      </c>
      <c r="V605" s="62">
        <f t="shared" si="123"/>
        <v>0</v>
      </c>
      <c r="W605" s="338" t="s">
        <v>903</v>
      </c>
    </row>
    <row r="606" spans="1:23" ht="50.15" customHeight="1" x14ac:dyDescent="0.6">
      <c r="A606" s="440">
        <v>1828200781</v>
      </c>
      <c r="B606" s="120">
        <v>82</v>
      </c>
      <c r="C606" s="121" t="s">
        <v>18</v>
      </c>
      <c r="D606" s="121" t="s">
        <v>33</v>
      </c>
      <c r="E606" s="121"/>
      <c r="F606" s="121" t="s">
        <v>520</v>
      </c>
      <c r="G606" s="122">
        <v>75004</v>
      </c>
      <c r="H606" s="122">
        <v>250000</v>
      </c>
      <c r="I606" s="122">
        <v>93384.755999999994</v>
      </c>
      <c r="J606" s="122">
        <v>250000</v>
      </c>
      <c r="K606" s="122">
        <v>250000</v>
      </c>
      <c r="L606" s="123"/>
      <c r="M606" s="123"/>
      <c r="N606" s="123"/>
      <c r="O606" s="226">
        <v>105147.19</v>
      </c>
      <c r="P606" s="122">
        <v>250000</v>
      </c>
      <c r="Q606" s="122">
        <v>12</v>
      </c>
      <c r="R606" s="122">
        <v>12</v>
      </c>
      <c r="S606" s="441">
        <f t="shared" si="118"/>
        <v>250000</v>
      </c>
      <c r="T606" s="432">
        <f t="shared" si="124"/>
        <v>0</v>
      </c>
      <c r="U606" s="62">
        <f t="shared" si="125"/>
        <v>0</v>
      </c>
      <c r="V606" s="62">
        <f t="shared" si="123"/>
        <v>0</v>
      </c>
      <c r="W606" s="338" t="s">
        <v>904</v>
      </c>
    </row>
    <row r="607" spans="1:23" ht="50.15" customHeight="1" x14ac:dyDescent="0.6">
      <c r="A607" s="440">
        <v>1828900780</v>
      </c>
      <c r="B607" s="120">
        <v>82</v>
      </c>
      <c r="C607" s="121" t="s">
        <v>18</v>
      </c>
      <c r="D607" s="121" t="s">
        <v>33</v>
      </c>
      <c r="E607" s="121"/>
      <c r="F607" s="121" t="s">
        <v>521</v>
      </c>
      <c r="G607" s="122">
        <v>23186</v>
      </c>
      <c r="H607" s="122">
        <v>126354</v>
      </c>
      <c r="I607" s="122">
        <v>15840</v>
      </c>
      <c r="J607" s="122">
        <v>40000</v>
      </c>
      <c r="K607" s="122">
        <v>126354</v>
      </c>
      <c r="L607" s="123"/>
      <c r="M607" s="123"/>
      <c r="N607" s="123"/>
      <c r="O607" s="226">
        <v>13200</v>
      </c>
      <c r="P607" s="122">
        <v>40000</v>
      </c>
      <c r="Q607" s="122">
        <v>12</v>
      </c>
      <c r="R607" s="122">
        <v>12</v>
      </c>
      <c r="S607" s="441">
        <f t="shared" si="118"/>
        <v>40000</v>
      </c>
      <c r="T607" s="432">
        <f t="shared" si="124"/>
        <v>-86354</v>
      </c>
      <c r="U607" s="62">
        <f t="shared" si="125"/>
        <v>-86354</v>
      </c>
      <c r="V607" s="62">
        <f t="shared" si="123"/>
        <v>0</v>
      </c>
    </row>
    <row r="608" spans="1:23" ht="50.15" customHeight="1" x14ac:dyDescent="0.6">
      <c r="A608" s="440">
        <v>1829000782</v>
      </c>
      <c r="B608" s="120">
        <v>82</v>
      </c>
      <c r="C608" s="121" t="s">
        <v>18</v>
      </c>
      <c r="D608" s="121" t="s">
        <v>33</v>
      </c>
      <c r="E608" s="121"/>
      <c r="F608" s="121" t="s">
        <v>522</v>
      </c>
      <c r="G608" s="122">
        <v>128443.44</v>
      </c>
      <c r="H608" s="122">
        <v>150000</v>
      </c>
      <c r="I608" s="122">
        <v>60000</v>
      </c>
      <c r="J608" s="122">
        <v>150000</v>
      </c>
      <c r="K608" s="122">
        <v>100000</v>
      </c>
      <c r="L608" s="123"/>
      <c r="M608" s="123"/>
      <c r="N608" s="123"/>
      <c r="O608" s="122">
        <v>150000</v>
      </c>
      <c r="P608" s="122">
        <v>150000</v>
      </c>
      <c r="Q608" s="122">
        <v>12</v>
      </c>
      <c r="R608" s="122">
        <v>12</v>
      </c>
      <c r="S608" s="441">
        <f t="shared" si="118"/>
        <v>150000</v>
      </c>
      <c r="T608" s="432">
        <f t="shared" si="124"/>
        <v>50000</v>
      </c>
      <c r="U608" s="62">
        <f t="shared" si="125"/>
        <v>50000</v>
      </c>
      <c r="V608" s="62">
        <f t="shared" si="123"/>
        <v>0</v>
      </c>
      <c r="W608" s="338" t="s">
        <v>905</v>
      </c>
    </row>
    <row r="609" spans="1:24" ht="50.15" customHeight="1" x14ac:dyDescent="0.6">
      <c r="A609" s="440">
        <v>1829200110</v>
      </c>
      <c r="B609" s="120">
        <v>82</v>
      </c>
      <c r="C609" s="121" t="s">
        <v>17</v>
      </c>
      <c r="D609" s="121" t="s">
        <v>33</v>
      </c>
      <c r="E609" s="121" t="s">
        <v>583</v>
      </c>
      <c r="F609" s="121" t="s">
        <v>523</v>
      </c>
      <c r="G609" s="122">
        <v>704637.84</v>
      </c>
      <c r="H609" s="122">
        <v>688371.81</v>
      </c>
      <c r="I609" s="122">
        <v>715000</v>
      </c>
      <c r="J609" s="122">
        <v>602627.82902499998</v>
      </c>
      <c r="K609" s="122">
        <v>711520.48283514415</v>
      </c>
      <c r="L609" s="123">
        <v>4.1500000000000004</v>
      </c>
      <c r="M609" s="123">
        <v>3.65</v>
      </c>
      <c r="N609" s="123">
        <f>ריכוז!K93</f>
        <v>3.8166666666666669</v>
      </c>
      <c r="O609" s="226">
        <v>716106.37</v>
      </c>
      <c r="P609" s="122">
        <f>ריכוז!M93</f>
        <v>603361.60000000009</v>
      </c>
      <c r="Q609" s="122">
        <v>12</v>
      </c>
      <c r="R609" s="122">
        <v>12</v>
      </c>
      <c r="S609" s="441">
        <f t="shared" si="118"/>
        <v>603361.60000000009</v>
      </c>
      <c r="T609" s="432">
        <f t="shared" si="124"/>
        <v>-108158.88283514406</v>
      </c>
      <c r="U609" s="62">
        <f t="shared" si="125"/>
        <v>-108158.88283514406</v>
      </c>
      <c r="V609" s="62">
        <f t="shared" si="123"/>
        <v>0</v>
      </c>
    </row>
    <row r="610" spans="1:24" ht="50.15" customHeight="1" x14ac:dyDescent="0.6">
      <c r="A610" s="440">
        <v>1829200431</v>
      </c>
      <c r="B610" s="120">
        <v>82</v>
      </c>
      <c r="C610" s="121" t="s">
        <v>18</v>
      </c>
      <c r="D610" s="121" t="s">
        <v>33</v>
      </c>
      <c r="E610" s="121"/>
      <c r="F610" s="121" t="s">
        <v>524</v>
      </c>
      <c r="G610" s="122">
        <v>7890</v>
      </c>
      <c r="H610" s="122">
        <v>7893.73</v>
      </c>
      <c r="I610" s="122">
        <v>7894</v>
      </c>
      <c r="J610" s="122">
        <v>7893.732</v>
      </c>
      <c r="K610" s="122">
        <v>7893.732</v>
      </c>
      <c r="L610" s="123"/>
      <c r="M610" s="123"/>
      <c r="N610" s="123"/>
      <c r="O610" s="226">
        <v>10974.75</v>
      </c>
      <c r="P610" s="122">
        <v>11000</v>
      </c>
      <c r="Q610" s="122">
        <v>12</v>
      </c>
      <c r="R610" s="122">
        <v>12</v>
      </c>
      <c r="S610" s="441">
        <f t="shared" si="118"/>
        <v>11000</v>
      </c>
      <c r="T610" s="432">
        <f t="shared" si="124"/>
        <v>3106.268</v>
      </c>
      <c r="U610" s="62">
        <f t="shared" si="125"/>
        <v>3106.268</v>
      </c>
      <c r="V610" s="62">
        <f t="shared" si="123"/>
        <v>0</v>
      </c>
    </row>
    <row r="611" spans="1:24" ht="50.15" customHeight="1" x14ac:dyDescent="0.6">
      <c r="A611" s="440">
        <v>1829200432</v>
      </c>
      <c r="B611" s="120">
        <v>82</v>
      </c>
      <c r="C611" s="121" t="s">
        <v>18</v>
      </c>
      <c r="D611" s="121" t="s">
        <v>33</v>
      </c>
      <c r="E611" s="121"/>
      <c r="F611" s="121" t="s">
        <v>525</v>
      </c>
      <c r="G611" s="122">
        <v>4006.82</v>
      </c>
      <c r="H611" s="122">
        <v>5000</v>
      </c>
      <c r="I611" s="122">
        <v>5000</v>
      </c>
      <c r="J611" s="122">
        <v>5000</v>
      </c>
      <c r="K611" s="122">
        <v>5000</v>
      </c>
      <c r="L611" s="123"/>
      <c r="M611" s="123"/>
      <c r="N611" s="123"/>
      <c r="O611" s="226">
        <v>441.09</v>
      </c>
      <c r="P611" s="122">
        <v>1000</v>
      </c>
      <c r="Q611" s="122">
        <v>12</v>
      </c>
      <c r="R611" s="122">
        <v>12</v>
      </c>
      <c r="S611" s="441">
        <f t="shared" si="118"/>
        <v>1000</v>
      </c>
      <c r="T611" s="432">
        <f t="shared" si="124"/>
        <v>-4000</v>
      </c>
      <c r="U611" s="62">
        <f t="shared" si="125"/>
        <v>-4000</v>
      </c>
      <c r="V611" s="62">
        <f t="shared" si="123"/>
        <v>0</v>
      </c>
    </row>
    <row r="612" spans="1:24" ht="50.15" customHeight="1" x14ac:dyDescent="0.6">
      <c r="A612" s="440">
        <v>1829200540</v>
      </c>
      <c r="B612" s="120">
        <v>82</v>
      </c>
      <c r="C612" s="121" t="s">
        <v>18</v>
      </c>
      <c r="D612" s="121" t="s">
        <v>33</v>
      </c>
      <c r="E612" s="121"/>
      <c r="F612" s="121" t="s">
        <v>526</v>
      </c>
      <c r="G612" s="122">
        <v>4214.28</v>
      </c>
      <c r="H612" s="122">
        <v>4000</v>
      </c>
      <c r="I612" s="122">
        <v>4000</v>
      </c>
      <c r="J612" s="122">
        <v>4000</v>
      </c>
      <c r="K612" s="122">
        <v>4000</v>
      </c>
      <c r="L612" s="123"/>
      <c r="M612" s="123"/>
      <c r="N612" s="123"/>
      <c r="O612" s="226">
        <v>5500</v>
      </c>
      <c r="P612" s="122">
        <v>5500</v>
      </c>
      <c r="Q612" s="122">
        <v>12</v>
      </c>
      <c r="R612" s="122">
        <v>12</v>
      </c>
      <c r="S612" s="441">
        <f t="shared" si="118"/>
        <v>5500</v>
      </c>
      <c r="T612" s="432">
        <f t="shared" si="124"/>
        <v>1500</v>
      </c>
      <c r="U612" s="62">
        <f t="shared" si="125"/>
        <v>1500</v>
      </c>
      <c r="V612" s="62">
        <f t="shared" si="123"/>
        <v>0</v>
      </c>
    </row>
    <row r="613" spans="1:24" ht="50.15" customHeight="1" x14ac:dyDescent="0.6">
      <c r="A613" s="440">
        <v>1829200751</v>
      </c>
      <c r="B613" s="120">
        <v>82</v>
      </c>
      <c r="C613" s="121" t="s">
        <v>18</v>
      </c>
      <c r="D613" s="121" t="s">
        <v>33</v>
      </c>
      <c r="E613" s="121"/>
      <c r="F613" s="121" t="s">
        <v>527</v>
      </c>
      <c r="G613" s="122">
        <v>397462.91</v>
      </c>
      <c r="H613" s="122">
        <v>435000</v>
      </c>
      <c r="I613" s="122">
        <v>124828.86000000002</v>
      </c>
      <c r="J613" s="122">
        <v>380000</v>
      </c>
      <c r="K613" s="122">
        <v>435000</v>
      </c>
      <c r="L613" s="123"/>
      <c r="M613" s="123"/>
      <c r="N613" s="123"/>
      <c r="O613" s="122">
        <v>235000</v>
      </c>
      <c r="P613" s="122">
        <v>350000</v>
      </c>
      <c r="Q613" s="122">
        <v>12</v>
      </c>
      <c r="R613" s="122">
        <v>12</v>
      </c>
      <c r="S613" s="441">
        <f>P613*Q613/R613</f>
        <v>350000</v>
      </c>
      <c r="T613" s="432">
        <f t="shared" si="124"/>
        <v>-85000</v>
      </c>
      <c r="U613" s="62">
        <f t="shared" si="125"/>
        <v>-85000</v>
      </c>
      <c r="V613" s="62">
        <f t="shared" si="123"/>
        <v>0</v>
      </c>
      <c r="W613" s="153" t="s">
        <v>807</v>
      </c>
      <c r="X613" s="497" t="s">
        <v>3558</v>
      </c>
    </row>
    <row r="614" spans="1:24" ht="50.15" customHeight="1" x14ac:dyDescent="0.6">
      <c r="A614" s="440">
        <v>1829300431</v>
      </c>
      <c r="B614" s="120">
        <v>82</v>
      </c>
      <c r="C614" s="121" t="s">
        <v>18</v>
      </c>
      <c r="D614" s="121" t="s">
        <v>33</v>
      </c>
      <c r="E614" s="121"/>
      <c r="F614" s="121" t="s">
        <v>528</v>
      </c>
      <c r="G614" s="122">
        <v>116210.15</v>
      </c>
      <c r="H614" s="122">
        <v>121674.01</v>
      </c>
      <c r="I614" s="122">
        <v>100000</v>
      </c>
      <c r="J614" s="122">
        <v>100000</v>
      </c>
      <c r="K614" s="122">
        <v>121674.012</v>
      </c>
      <c r="L614" s="123"/>
      <c r="M614" s="123"/>
      <c r="N614" s="123"/>
      <c r="O614" s="226">
        <v>184261.97</v>
      </c>
      <c r="P614" s="122">
        <v>150000</v>
      </c>
      <c r="Q614" s="122">
        <v>12</v>
      </c>
      <c r="R614" s="122">
        <v>12</v>
      </c>
      <c r="S614" s="441">
        <f t="shared" si="118"/>
        <v>150000</v>
      </c>
      <c r="T614" s="432">
        <f t="shared" si="124"/>
        <v>28325.987999999998</v>
      </c>
      <c r="U614" s="62">
        <f t="shared" si="125"/>
        <v>28325.987999999998</v>
      </c>
      <c r="V614" s="62">
        <f t="shared" si="123"/>
        <v>0</v>
      </c>
    </row>
    <row r="615" spans="1:24" ht="50.15" customHeight="1" x14ac:dyDescent="0.6">
      <c r="A615" s="440">
        <v>1829300432</v>
      </c>
      <c r="B615" s="120">
        <v>82</v>
      </c>
      <c r="C615" s="121" t="s">
        <v>18</v>
      </c>
      <c r="D615" s="121" t="s">
        <v>33</v>
      </c>
      <c r="E615" s="121"/>
      <c r="F615" s="121" t="s">
        <v>529</v>
      </c>
      <c r="G615" s="122">
        <v>93979.73</v>
      </c>
      <c r="H615" s="122">
        <v>141000</v>
      </c>
      <c r="I615" s="122">
        <v>100000</v>
      </c>
      <c r="J615" s="122">
        <v>100000</v>
      </c>
      <c r="K615" s="122">
        <v>141000</v>
      </c>
      <c r="L615" s="123"/>
      <c r="M615" s="123"/>
      <c r="N615" s="123"/>
      <c r="O615" s="226">
        <v>34046.199999999997</v>
      </c>
      <c r="P615" s="122">
        <v>35000</v>
      </c>
      <c r="Q615" s="122">
        <v>12</v>
      </c>
      <c r="R615" s="122">
        <v>12</v>
      </c>
      <c r="S615" s="441">
        <f>P615*Q615/R615</f>
        <v>35000</v>
      </c>
      <c r="T615" s="432">
        <f t="shared" si="124"/>
        <v>-106000</v>
      </c>
      <c r="U615" s="62">
        <f t="shared" si="125"/>
        <v>-106000</v>
      </c>
      <c r="V615" s="62">
        <f t="shared" si="123"/>
        <v>0</v>
      </c>
    </row>
    <row r="616" spans="1:24" ht="50.15" customHeight="1" x14ac:dyDescent="0.6">
      <c r="A616" s="440">
        <v>1829300750</v>
      </c>
      <c r="B616" s="120">
        <v>82</v>
      </c>
      <c r="C616" s="121" t="s">
        <v>18</v>
      </c>
      <c r="D616" s="121" t="s">
        <v>33</v>
      </c>
      <c r="E616" s="121"/>
      <c r="F616" s="121" t="s">
        <v>530</v>
      </c>
      <c r="G616" s="122">
        <v>110740</v>
      </c>
      <c r="H616" s="122">
        <v>130000</v>
      </c>
      <c r="I616" s="122">
        <v>199812.32399999996</v>
      </c>
      <c r="J616" s="122">
        <v>269000</v>
      </c>
      <c r="K616" s="122">
        <v>130000</v>
      </c>
      <c r="L616" s="123"/>
      <c r="M616" s="123"/>
      <c r="N616" s="123"/>
      <c r="O616" s="226">
        <v>199428.27</v>
      </c>
      <c r="P616" s="122">
        <f>19714*12+30000</f>
        <v>266568</v>
      </c>
      <c r="Q616" s="122">
        <v>12</v>
      </c>
      <c r="R616" s="122">
        <v>12</v>
      </c>
      <c r="S616" s="441">
        <f>P616*Q616/R616</f>
        <v>266568</v>
      </c>
      <c r="T616" s="432">
        <f t="shared" si="124"/>
        <v>136568</v>
      </c>
      <c r="U616" s="62">
        <f t="shared" si="125"/>
        <v>136568</v>
      </c>
      <c r="V616" s="62">
        <f t="shared" si="123"/>
        <v>0</v>
      </c>
    </row>
    <row r="617" spans="1:24" ht="50.15" customHeight="1" x14ac:dyDescent="0.6">
      <c r="A617" s="440">
        <v>1829300751</v>
      </c>
      <c r="B617" s="120">
        <v>82</v>
      </c>
      <c r="C617" s="121" t="s">
        <v>18</v>
      </c>
      <c r="D617" s="121" t="s">
        <v>33</v>
      </c>
      <c r="E617" s="121"/>
      <c r="F617" s="121" t="s">
        <v>531</v>
      </c>
      <c r="G617" s="122">
        <v>0</v>
      </c>
      <c r="H617" s="122">
        <v>75000</v>
      </c>
      <c r="I617" s="122">
        <v>63746.399999999994</v>
      </c>
      <c r="J617" s="122">
        <v>30000</v>
      </c>
      <c r="K617" s="122">
        <v>75000</v>
      </c>
      <c r="L617" s="123"/>
      <c r="M617" s="123"/>
      <c r="N617" s="123"/>
      <c r="O617" s="226">
        <v>55639</v>
      </c>
      <c r="P617" s="122">
        <v>40000</v>
      </c>
      <c r="Q617" s="122">
        <v>12</v>
      </c>
      <c r="R617" s="122">
        <v>12</v>
      </c>
      <c r="S617" s="441">
        <f>P617*Q617/R617</f>
        <v>40000</v>
      </c>
      <c r="T617" s="432">
        <f t="shared" si="124"/>
        <v>-35000</v>
      </c>
      <c r="U617" s="62">
        <f t="shared" si="125"/>
        <v>-35000</v>
      </c>
      <c r="V617" s="62">
        <f t="shared" si="123"/>
        <v>0</v>
      </c>
    </row>
    <row r="618" spans="1:24" ht="50.15" customHeight="1" thickBot="1" x14ac:dyDescent="0.65">
      <c r="A618" s="472">
        <v>1829400751</v>
      </c>
      <c r="B618" s="120">
        <v>82</v>
      </c>
      <c r="C618" s="335" t="s">
        <v>18</v>
      </c>
      <c r="D618" s="335" t="s">
        <v>33</v>
      </c>
      <c r="E618" s="335"/>
      <c r="F618" s="335" t="s">
        <v>532</v>
      </c>
      <c r="G618" s="281"/>
      <c r="H618" s="281"/>
      <c r="I618" s="281"/>
      <c r="J618" s="281">
        <v>30000</v>
      </c>
      <c r="K618" s="281"/>
      <c r="L618" s="280"/>
      <c r="M618" s="280"/>
      <c r="N618" s="280"/>
      <c r="O618" s="281"/>
      <c r="P618" s="281">
        <v>60000</v>
      </c>
      <c r="Q618" s="281">
        <v>12</v>
      </c>
      <c r="R618" s="281">
        <v>12</v>
      </c>
      <c r="S618" s="473">
        <f>P618*Q618/R618</f>
        <v>60000</v>
      </c>
      <c r="T618" s="432">
        <f t="shared" si="124"/>
        <v>60000</v>
      </c>
      <c r="U618" s="62">
        <f t="shared" si="125"/>
        <v>60000</v>
      </c>
      <c r="V618" s="62">
        <f t="shared" si="123"/>
        <v>0</v>
      </c>
      <c r="W618" s="153" t="s">
        <v>1048</v>
      </c>
    </row>
    <row r="619" spans="1:24" ht="50.15" customHeight="1" thickBot="1" x14ac:dyDescent="0.65">
      <c r="A619" s="407"/>
      <c r="B619" s="64"/>
      <c r="C619" s="65"/>
      <c r="D619" s="65"/>
      <c r="E619" s="65"/>
      <c r="F619" s="65"/>
      <c r="G619" s="66">
        <f t="shared" ref="G619:V619" si="126">SUM(G589:G618)</f>
        <v>5081264.910000002</v>
      </c>
      <c r="H619" s="66">
        <f t="shared" si="126"/>
        <v>5726016.1500000004</v>
      </c>
      <c r="I619" s="66">
        <f t="shared" si="126"/>
        <v>5266163.472000001</v>
      </c>
      <c r="J619" s="66">
        <f t="shared" si="126"/>
        <v>6003378.4940250004</v>
      </c>
      <c r="K619" s="66">
        <f t="shared" si="126"/>
        <v>5316636.5508764833</v>
      </c>
      <c r="L619" s="66">
        <f t="shared" si="126"/>
        <v>10.913600000000001</v>
      </c>
      <c r="M619" s="66">
        <f t="shared" si="126"/>
        <v>10.413600000000001</v>
      </c>
      <c r="N619" s="66">
        <f t="shared" si="126"/>
        <v>14.358666666666668</v>
      </c>
      <c r="O619" s="66">
        <f t="shared" si="126"/>
        <v>5621905.3099999996</v>
      </c>
      <c r="P619" s="66">
        <f t="shared" si="126"/>
        <v>6338475.8000000007</v>
      </c>
      <c r="Q619" s="66">
        <f t="shared" si="126"/>
        <v>360</v>
      </c>
      <c r="R619" s="66">
        <f t="shared" si="126"/>
        <v>360</v>
      </c>
      <c r="S619" s="66">
        <f t="shared" si="126"/>
        <v>6338475.8000000007</v>
      </c>
      <c r="T619" s="398">
        <f t="shared" si="126"/>
        <v>1021839.2491235161</v>
      </c>
      <c r="U619" s="393">
        <f t="shared" si="126"/>
        <v>1021839.2491235161</v>
      </c>
      <c r="V619" s="393">
        <f t="shared" si="126"/>
        <v>0</v>
      </c>
    </row>
    <row r="620" spans="1:24" ht="50.15" customHeight="1" x14ac:dyDescent="0.35">
      <c r="A620" s="474" t="s">
        <v>637</v>
      </c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333"/>
      <c r="N620" s="118"/>
      <c r="O620" s="118"/>
      <c r="P620" s="318"/>
      <c r="Q620" s="118"/>
      <c r="R620" s="118"/>
      <c r="S620" s="466"/>
      <c r="T620" s="461"/>
      <c r="U620" s="391"/>
      <c r="V620" s="391"/>
    </row>
    <row r="621" spans="1:24" ht="50.15" customHeight="1" x14ac:dyDescent="0.6">
      <c r="A621" s="59">
        <v>1832400780</v>
      </c>
      <c r="B621" s="60">
        <v>83</v>
      </c>
      <c r="C621" s="61" t="s">
        <v>18</v>
      </c>
      <c r="D621" s="61" t="s">
        <v>33</v>
      </c>
      <c r="E621" s="61"/>
      <c r="F621" s="61" t="s">
        <v>533</v>
      </c>
      <c r="G621" s="62">
        <v>9321.5</v>
      </c>
      <c r="H621" s="62">
        <v>10000</v>
      </c>
      <c r="I621" s="62">
        <v>10000</v>
      </c>
      <c r="J621" s="62">
        <v>10000</v>
      </c>
      <c r="K621" s="62">
        <v>10000</v>
      </c>
      <c r="L621" s="63"/>
      <c r="M621" s="63"/>
      <c r="N621" s="63"/>
      <c r="O621" s="242">
        <v>11865.36</v>
      </c>
      <c r="P621" s="62">
        <v>12000</v>
      </c>
      <c r="Q621" s="62">
        <v>12</v>
      </c>
      <c r="R621" s="62">
        <v>12</v>
      </c>
      <c r="S621" s="467">
        <f>P621*Q621/R621</f>
        <v>12000</v>
      </c>
      <c r="T621" s="432">
        <f>P621-K621</f>
        <v>2000</v>
      </c>
      <c r="U621" s="62">
        <f>S621-K621</f>
        <v>2000</v>
      </c>
      <c r="V621" s="62">
        <f>S621-P621</f>
        <v>0</v>
      </c>
    </row>
    <row r="622" spans="1:24" ht="50.15" customHeight="1" x14ac:dyDescent="0.6">
      <c r="A622" s="59">
        <v>1835000781</v>
      </c>
      <c r="B622" s="60">
        <v>83</v>
      </c>
      <c r="C622" s="61" t="s">
        <v>18</v>
      </c>
      <c r="D622" s="61" t="s">
        <v>33</v>
      </c>
      <c r="E622" s="61"/>
      <c r="F622" s="61" t="s">
        <v>534</v>
      </c>
      <c r="G622" s="62">
        <v>70120</v>
      </c>
      <c r="H622" s="62">
        <v>69004</v>
      </c>
      <c r="I622" s="62">
        <v>88000</v>
      </c>
      <c r="J622" s="62">
        <v>69004</v>
      </c>
      <c r="K622" s="62">
        <v>69004</v>
      </c>
      <c r="L622" s="63"/>
      <c r="M622" s="63"/>
      <c r="N622" s="63"/>
      <c r="O622" s="62">
        <v>143000</v>
      </c>
      <c r="P622" s="62">
        <v>143000</v>
      </c>
      <c r="Q622" s="62">
        <v>12</v>
      </c>
      <c r="R622" s="62">
        <v>12</v>
      </c>
      <c r="S622" s="467">
        <f>P622*Q622/R622</f>
        <v>143000</v>
      </c>
      <c r="T622" s="432">
        <f>P622-K622</f>
        <v>73996</v>
      </c>
      <c r="U622" s="62">
        <f>S622-K622</f>
        <v>73996</v>
      </c>
      <c r="V622" s="62">
        <f>S622-P622</f>
        <v>0</v>
      </c>
      <c r="W622" s="153" t="s">
        <v>809</v>
      </c>
    </row>
    <row r="623" spans="1:24" ht="50.15" customHeight="1" thickBot="1" x14ac:dyDescent="0.65">
      <c r="A623" s="468">
        <v>1836200810</v>
      </c>
      <c r="B623" s="404">
        <v>83</v>
      </c>
      <c r="C623" s="405" t="s">
        <v>18</v>
      </c>
      <c r="D623" s="405" t="s">
        <v>33</v>
      </c>
      <c r="E623" s="405"/>
      <c r="F623" s="405" t="s">
        <v>535</v>
      </c>
      <c r="G623" s="399">
        <v>195292</v>
      </c>
      <c r="H623" s="399">
        <v>185000</v>
      </c>
      <c r="I623" s="399">
        <v>195000</v>
      </c>
      <c r="J623" s="399">
        <v>195000</v>
      </c>
      <c r="K623" s="399">
        <v>185000</v>
      </c>
      <c r="L623" s="427"/>
      <c r="M623" s="427"/>
      <c r="N623" s="427"/>
      <c r="O623" s="428">
        <v>195292</v>
      </c>
      <c r="P623" s="399">
        <v>195000</v>
      </c>
      <c r="Q623" s="399">
        <v>12</v>
      </c>
      <c r="R623" s="399">
        <v>12</v>
      </c>
      <c r="S623" s="473">
        <f>P623*Q623/R623</f>
        <v>195000</v>
      </c>
      <c r="T623" s="432">
        <f>P623-K623</f>
        <v>10000</v>
      </c>
      <c r="U623" s="62">
        <f>S623-K623</f>
        <v>10000</v>
      </c>
      <c r="V623" s="62">
        <f>S623-P623</f>
        <v>0</v>
      </c>
      <c r="W623" s="338" t="s">
        <v>885</v>
      </c>
      <c r="X623" s="497" t="s">
        <v>3560</v>
      </c>
    </row>
    <row r="624" spans="1:24" ht="50.15" customHeight="1" thickBot="1" x14ac:dyDescent="0.65">
      <c r="A624" s="407"/>
      <c r="B624" s="64"/>
      <c r="C624" s="65"/>
      <c r="D624" s="65"/>
      <c r="E624" s="65"/>
      <c r="F624" s="65"/>
      <c r="G624" s="66">
        <f t="shared" ref="G624:N624" si="127">SUM(G621:G623)</f>
        <v>274733.5</v>
      </c>
      <c r="H624" s="66">
        <f t="shared" si="127"/>
        <v>264004</v>
      </c>
      <c r="I624" s="66">
        <f t="shared" si="127"/>
        <v>293000</v>
      </c>
      <c r="J624" s="66">
        <f t="shared" si="127"/>
        <v>274004</v>
      </c>
      <c r="K624" s="66">
        <f t="shared" si="127"/>
        <v>264004</v>
      </c>
      <c r="L624" s="66">
        <f t="shared" si="127"/>
        <v>0</v>
      </c>
      <c r="M624" s="66">
        <f t="shared" si="127"/>
        <v>0</v>
      </c>
      <c r="N624" s="66">
        <f t="shared" si="127"/>
        <v>0</v>
      </c>
      <c r="O624" s="66">
        <f t="shared" ref="O624:U624" si="128">SUM(O621:O623)</f>
        <v>350157.36</v>
      </c>
      <c r="P624" s="66">
        <f t="shared" si="128"/>
        <v>350000</v>
      </c>
      <c r="Q624" s="66">
        <f t="shared" si="128"/>
        <v>36</v>
      </c>
      <c r="R624" s="66">
        <f t="shared" si="128"/>
        <v>36</v>
      </c>
      <c r="S624" s="66">
        <f t="shared" si="128"/>
        <v>350000</v>
      </c>
      <c r="T624" s="398">
        <f t="shared" si="128"/>
        <v>85996</v>
      </c>
      <c r="U624" s="393">
        <f t="shared" si="128"/>
        <v>85996</v>
      </c>
      <c r="V624" s="393">
        <f>SUM(V621:V623)</f>
        <v>0</v>
      </c>
    </row>
    <row r="625" spans="1:22" ht="50.15" customHeight="1" x14ac:dyDescent="0.35">
      <c r="A625" s="474" t="s">
        <v>638</v>
      </c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333"/>
      <c r="N625" s="118"/>
      <c r="O625" s="118"/>
      <c r="P625" s="318"/>
      <c r="Q625" s="118"/>
      <c r="R625" s="118"/>
      <c r="S625" s="466"/>
      <c r="T625" s="461"/>
      <c r="U625" s="391"/>
      <c r="V625" s="391"/>
    </row>
    <row r="626" spans="1:22" ht="50.15" customHeight="1" x14ac:dyDescent="0.6">
      <c r="A626" s="440">
        <v>1841000110</v>
      </c>
      <c r="B626" s="120">
        <v>84</v>
      </c>
      <c r="C626" s="121" t="s">
        <v>23</v>
      </c>
      <c r="D626" s="121" t="s">
        <v>33</v>
      </c>
      <c r="E626" s="121" t="s">
        <v>583</v>
      </c>
      <c r="F626" s="121" t="s">
        <v>139</v>
      </c>
      <c r="G626" s="122">
        <v>6745899.3300000001</v>
      </c>
      <c r="H626" s="122">
        <v>6924438.4900000002</v>
      </c>
      <c r="I626" s="122">
        <v>6401482.1471999995</v>
      </c>
      <c r="J626" s="122">
        <v>6486726.6729000015</v>
      </c>
      <c r="K626" s="122">
        <v>6575875.8111339314</v>
      </c>
      <c r="L626" s="123">
        <v>34.810899999999997</v>
      </c>
      <c r="M626" s="123">
        <v>33.860900000000008</v>
      </c>
      <c r="N626" s="123">
        <f>ריכוז!K94</f>
        <v>33.880000000000003</v>
      </c>
      <c r="O626" s="226">
        <v>6401654</v>
      </c>
      <c r="P626" s="122">
        <f>ריכוז!M94</f>
        <v>6504073.2000000011</v>
      </c>
      <c r="Q626" s="122">
        <v>12</v>
      </c>
      <c r="R626" s="122">
        <v>12</v>
      </c>
      <c r="S626" s="441">
        <f t="shared" ref="S626:S689" si="129">P626*Q626/R626</f>
        <v>6504073.2000000002</v>
      </c>
      <c r="T626" s="432">
        <f>P626-K626</f>
        <v>-71802.611133930273</v>
      </c>
      <c r="U626" s="62">
        <f>S626-K626</f>
        <v>-71802.611133931205</v>
      </c>
      <c r="V626" s="62">
        <f t="shared" ref="V626:V657" si="130">S626-P626</f>
        <v>0</v>
      </c>
    </row>
    <row r="627" spans="1:22" ht="50.15" customHeight="1" x14ac:dyDescent="0.6">
      <c r="A627" s="440">
        <v>1841000210</v>
      </c>
      <c r="B627" s="120">
        <v>84</v>
      </c>
      <c r="C627" s="121" t="s">
        <v>8</v>
      </c>
      <c r="D627" s="121" t="s">
        <v>8</v>
      </c>
      <c r="E627" s="121"/>
      <c r="F627" s="121" t="s">
        <v>536</v>
      </c>
      <c r="G627" s="122">
        <v>0</v>
      </c>
      <c r="H627" s="122" t="s">
        <v>8</v>
      </c>
      <c r="I627" s="122">
        <v>0</v>
      </c>
      <c r="J627" s="122">
        <v>0</v>
      </c>
      <c r="K627" s="122">
        <v>0</v>
      </c>
      <c r="L627" s="123"/>
      <c r="M627" s="123"/>
      <c r="N627" s="123"/>
      <c r="O627" s="122">
        <v>0</v>
      </c>
      <c r="P627" s="122">
        <v>0</v>
      </c>
      <c r="Q627" s="122">
        <v>12</v>
      </c>
      <c r="R627" s="122">
        <v>12</v>
      </c>
      <c r="S627" s="441">
        <f t="shared" si="129"/>
        <v>0</v>
      </c>
      <c r="T627" s="432">
        <f t="shared" ref="T627:T690" si="131">P627-K627</f>
        <v>0</v>
      </c>
      <c r="U627" s="62">
        <f t="shared" ref="U627:U690" si="132">S627-K627</f>
        <v>0</v>
      </c>
      <c r="V627" s="62">
        <f t="shared" si="130"/>
        <v>0</v>
      </c>
    </row>
    <row r="628" spans="1:22" ht="50.15" customHeight="1" x14ac:dyDescent="0.6">
      <c r="A628" s="440">
        <v>1841000431</v>
      </c>
      <c r="B628" s="120">
        <v>84</v>
      </c>
      <c r="C628" s="121" t="s">
        <v>24</v>
      </c>
      <c r="D628" s="121" t="s">
        <v>33</v>
      </c>
      <c r="E628" s="121"/>
      <c r="F628" s="121" t="s">
        <v>537</v>
      </c>
      <c r="G628" s="122">
        <v>13950.74</v>
      </c>
      <c r="H628" s="122">
        <v>15832.24</v>
      </c>
      <c r="I628" s="122">
        <v>15000</v>
      </c>
      <c r="J628" s="122">
        <v>15000</v>
      </c>
      <c r="K628" s="122">
        <v>15832.236000000001</v>
      </c>
      <c r="L628" s="123"/>
      <c r="M628" s="123"/>
      <c r="N628" s="123"/>
      <c r="O628" s="226">
        <v>29263.919999999998</v>
      </c>
      <c r="P628" s="122">
        <v>30000</v>
      </c>
      <c r="Q628" s="122">
        <v>12</v>
      </c>
      <c r="R628" s="122">
        <v>12</v>
      </c>
      <c r="S628" s="441">
        <f t="shared" si="129"/>
        <v>30000</v>
      </c>
      <c r="T628" s="432">
        <f t="shared" si="131"/>
        <v>14167.763999999999</v>
      </c>
      <c r="U628" s="62">
        <f t="shared" si="132"/>
        <v>14167.763999999999</v>
      </c>
      <c r="V628" s="62">
        <f t="shared" si="130"/>
        <v>0</v>
      </c>
    </row>
    <row r="629" spans="1:22" ht="50.15" customHeight="1" x14ac:dyDescent="0.6">
      <c r="A629" s="440">
        <v>1841000432</v>
      </c>
      <c r="B629" s="120">
        <v>84</v>
      </c>
      <c r="C629" s="121" t="s">
        <v>24</v>
      </c>
      <c r="D629" s="121" t="s">
        <v>33</v>
      </c>
      <c r="E629" s="121"/>
      <c r="F629" s="121" t="s">
        <v>253</v>
      </c>
      <c r="G629" s="122">
        <v>2649.27</v>
      </c>
      <c r="H629" s="122">
        <v>2000</v>
      </c>
      <c r="I629" s="122">
        <v>3000</v>
      </c>
      <c r="J629" s="122">
        <v>3000</v>
      </c>
      <c r="K629" s="122">
        <v>2000</v>
      </c>
      <c r="L629" s="123"/>
      <c r="M629" s="123"/>
      <c r="N629" s="123"/>
      <c r="O629" s="226"/>
      <c r="P629" s="122">
        <v>1000</v>
      </c>
      <c r="Q629" s="122">
        <v>12</v>
      </c>
      <c r="R629" s="122">
        <v>12</v>
      </c>
      <c r="S629" s="441">
        <f t="shared" si="129"/>
        <v>1000</v>
      </c>
      <c r="T629" s="432">
        <f t="shared" si="131"/>
        <v>-1000</v>
      </c>
      <c r="U629" s="62">
        <f t="shared" si="132"/>
        <v>-1000</v>
      </c>
      <c r="V629" s="62">
        <f t="shared" si="130"/>
        <v>0</v>
      </c>
    </row>
    <row r="630" spans="1:22" ht="50.15" customHeight="1" x14ac:dyDescent="0.6">
      <c r="A630" s="440">
        <v>1841000540</v>
      </c>
      <c r="B630" s="120">
        <v>84</v>
      </c>
      <c r="C630" s="121" t="s">
        <v>24</v>
      </c>
      <c r="D630" s="121" t="s">
        <v>33</v>
      </c>
      <c r="E630" s="121"/>
      <c r="F630" s="121" t="s">
        <v>241</v>
      </c>
      <c r="G630" s="122">
        <v>24605.75</v>
      </c>
      <c r="H630" s="122">
        <v>35000</v>
      </c>
      <c r="I630" s="122">
        <v>30000</v>
      </c>
      <c r="J630" s="122">
        <v>30000</v>
      </c>
      <c r="K630" s="122">
        <v>35000</v>
      </c>
      <c r="L630" s="123"/>
      <c r="M630" s="123"/>
      <c r="N630" s="123"/>
      <c r="O630" s="226">
        <v>42000</v>
      </c>
      <c r="P630" s="122">
        <v>42000</v>
      </c>
      <c r="Q630" s="122">
        <v>12</v>
      </c>
      <c r="R630" s="122">
        <v>12</v>
      </c>
      <c r="S630" s="441">
        <f t="shared" si="129"/>
        <v>42000</v>
      </c>
      <c r="T630" s="432">
        <f t="shared" si="131"/>
        <v>7000</v>
      </c>
      <c r="U630" s="62">
        <f t="shared" si="132"/>
        <v>7000</v>
      </c>
      <c r="V630" s="62">
        <f t="shared" si="130"/>
        <v>0</v>
      </c>
    </row>
    <row r="631" spans="1:22" ht="50.15" customHeight="1" x14ac:dyDescent="0.6">
      <c r="A631" s="440">
        <v>1841000840</v>
      </c>
      <c r="B631" s="120">
        <v>84</v>
      </c>
      <c r="C631" s="121" t="s">
        <v>24</v>
      </c>
      <c r="D631" s="121" t="s">
        <v>33</v>
      </c>
      <c r="E631" s="121"/>
      <c r="F631" s="121" t="s">
        <v>538</v>
      </c>
      <c r="G631" s="122">
        <v>87279.76</v>
      </c>
      <c r="H631" s="122">
        <v>94312</v>
      </c>
      <c r="I631" s="122">
        <v>42901.680000000008</v>
      </c>
      <c r="J631" s="122">
        <v>122512</v>
      </c>
      <c r="K631" s="122">
        <v>94312</v>
      </c>
      <c r="L631" s="123"/>
      <c r="M631" s="123"/>
      <c r="N631" s="123"/>
      <c r="O631" s="226">
        <v>55082.27</v>
      </c>
      <c r="P631" s="122">
        <v>60000</v>
      </c>
      <c r="Q631" s="122">
        <v>12</v>
      </c>
      <c r="R631" s="122">
        <v>12</v>
      </c>
      <c r="S631" s="441">
        <f t="shared" si="129"/>
        <v>60000</v>
      </c>
      <c r="T631" s="432">
        <f t="shared" si="131"/>
        <v>-34312</v>
      </c>
      <c r="U631" s="62">
        <f t="shared" si="132"/>
        <v>-34312</v>
      </c>
      <c r="V631" s="62">
        <f t="shared" si="130"/>
        <v>0</v>
      </c>
    </row>
    <row r="632" spans="1:22" ht="50.15" customHeight="1" x14ac:dyDescent="0.6">
      <c r="A632" s="440">
        <v>1841100110</v>
      </c>
      <c r="B632" s="120">
        <v>84</v>
      </c>
      <c r="C632" s="121" t="s">
        <v>23</v>
      </c>
      <c r="D632" s="121" t="s">
        <v>33</v>
      </c>
      <c r="E632" s="121" t="s">
        <v>583</v>
      </c>
      <c r="F632" s="121" t="s">
        <v>539</v>
      </c>
      <c r="G632" s="122">
        <v>91655.49</v>
      </c>
      <c r="H632" s="122">
        <v>92542.17</v>
      </c>
      <c r="I632" s="122">
        <v>18767.595840000002</v>
      </c>
      <c r="J632" s="122">
        <v>16198.222599999999</v>
      </c>
      <c r="K632" s="122">
        <v>90917.16970137872</v>
      </c>
      <c r="L632" s="123">
        <v>0</v>
      </c>
      <c r="M632" s="123">
        <v>0</v>
      </c>
      <c r="N632" s="123"/>
      <c r="O632" s="122">
        <v>6053</v>
      </c>
      <c r="P632" s="122">
        <v>0</v>
      </c>
      <c r="Q632" s="122">
        <v>12</v>
      </c>
      <c r="R632" s="122">
        <v>12</v>
      </c>
      <c r="S632" s="441">
        <f t="shared" si="129"/>
        <v>0</v>
      </c>
      <c r="T632" s="432">
        <f t="shared" si="131"/>
        <v>-90917.16970137872</v>
      </c>
      <c r="U632" s="62">
        <f t="shared" si="132"/>
        <v>-90917.16970137872</v>
      </c>
      <c r="V632" s="62">
        <f t="shared" si="130"/>
        <v>0</v>
      </c>
    </row>
    <row r="633" spans="1:22" ht="50.15" customHeight="1" x14ac:dyDescent="0.6">
      <c r="A633" s="440">
        <v>1841100770</v>
      </c>
      <c r="B633" s="120">
        <v>84</v>
      </c>
      <c r="C633" s="121" t="s">
        <v>24</v>
      </c>
      <c r="D633" s="121" t="s">
        <v>33</v>
      </c>
      <c r="E633" s="121"/>
      <c r="F633" s="121" t="s">
        <v>540</v>
      </c>
      <c r="G633" s="122">
        <v>87230</v>
      </c>
      <c r="H633" s="122">
        <v>95000</v>
      </c>
      <c r="I633" s="122">
        <v>90000</v>
      </c>
      <c r="J633" s="122">
        <v>95000</v>
      </c>
      <c r="K633" s="122">
        <v>95000</v>
      </c>
      <c r="L633" s="123"/>
      <c r="M633" s="123"/>
      <c r="N633" s="123"/>
      <c r="O633" s="226">
        <v>97141</v>
      </c>
      <c r="P633" s="122">
        <v>98000</v>
      </c>
      <c r="Q633" s="122">
        <v>12</v>
      </c>
      <c r="R633" s="122">
        <v>12</v>
      </c>
      <c r="S633" s="441">
        <f t="shared" si="129"/>
        <v>98000</v>
      </c>
      <c r="T633" s="432">
        <f t="shared" si="131"/>
        <v>3000</v>
      </c>
      <c r="U633" s="62">
        <f t="shared" si="132"/>
        <v>3000</v>
      </c>
      <c r="V633" s="62">
        <f t="shared" si="130"/>
        <v>0</v>
      </c>
    </row>
    <row r="634" spans="1:22" ht="50.15" customHeight="1" x14ac:dyDescent="0.6">
      <c r="A634" s="440">
        <v>1842200810</v>
      </c>
      <c r="B634" s="120">
        <v>84</v>
      </c>
      <c r="C634" s="121" t="s">
        <v>24</v>
      </c>
      <c r="D634" s="121" t="s">
        <v>33</v>
      </c>
      <c r="E634" s="121"/>
      <c r="F634" s="121" t="s">
        <v>143</v>
      </c>
      <c r="G634" s="122"/>
      <c r="H634" s="122"/>
      <c r="I634" s="122"/>
      <c r="J634" s="122"/>
      <c r="K634" s="122"/>
      <c r="L634" s="123"/>
      <c r="M634" s="123"/>
      <c r="N634" s="123"/>
      <c r="O634" s="226">
        <v>35061.43</v>
      </c>
      <c r="P634" s="122">
        <v>35000</v>
      </c>
      <c r="Q634" s="122">
        <v>12</v>
      </c>
      <c r="R634" s="122">
        <v>12</v>
      </c>
      <c r="S634" s="441">
        <f t="shared" si="129"/>
        <v>35000</v>
      </c>
      <c r="T634" s="432">
        <f t="shared" si="131"/>
        <v>35000</v>
      </c>
      <c r="U634" s="62">
        <f t="shared" si="132"/>
        <v>35000</v>
      </c>
      <c r="V634" s="62">
        <f t="shared" si="130"/>
        <v>0</v>
      </c>
    </row>
    <row r="635" spans="1:22" ht="50.15" customHeight="1" x14ac:dyDescent="0.6">
      <c r="A635" s="440">
        <v>1842200841</v>
      </c>
      <c r="B635" s="120">
        <v>84</v>
      </c>
      <c r="C635" s="121" t="s">
        <v>24</v>
      </c>
      <c r="D635" s="121" t="s">
        <v>33</v>
      </c>
      <c r="E635" s="121"/>
      <c r="F635" s="121" t="s">
        <v>142</v>
      </c>
      <c r="G635" s="122">
        <v>156492</v>
      </c>
      <c r="H635" s="122">
        <v>200000</v>
      </c>
      <c r="I635" s="122">
        <v>220658.40000000002</v>
      </c>
      <c r="J635" s="122">
        <v>120000</v>
      </c>
      <c r="K635" s="122">
        <v>200000</v>
      </c>
      <c r="L635" s="123"/>
      <c r="M635" s="123"/>
      <c r="N635" s="123"/>
      <c r="O635" s="226">
        <v>188606</v>
      </c>
      <c r="P635" s="122">
        <v>190000</v>
      </c>
      <c r="Q635" s="122">
        <v>12</v>
      </c>
      <c r="R635" s="122">
        <v>12</v>
      </c>
      <c r="S635" s="441">
        <f t="shared" si="129"/>
        <v>190000</v>
      </c>
      <c r="T635" s="432">
        <f t="shared" si="131"/>
        <v>-10000</v>
      </c>
      <c r="U635" s="62">
        <f t="shared" si="132"/>
        <v>-10000</v>
      </c>
      <c r="V635" s="62">
        <f t="shared" si="130"/>
        <v>0</v>
      </c>
    </row>
    <row r="636" spans="1:22" ht="50.15" customHeight="1" x14ac:dyDescent="0.6">
      <c r="A636" s="440">
        <v>1842200846</v>
      </c>
      <c r="B636" s="120">
        <v>84</v>
      </c>
      <c r="C636" s="121" t="s">
        <v>24</v>
      </c>
      <c r="D636" s="121" t="s">
        <v>33</v>
      </c>
      <c r="E636" s="121"/>
      <c r="F636" s="121" t="s">
        <v>144</v>
      </c>
      <c r="G636" s="122">
        <v>67786</v>
      </c>
      <c r="H636" s="122">
        <v>90288</v>
      </c>
      <c r="I636" s="122">
        <v>57256.799999999996</v>
      </c>
      <c r="J636" s="122">
        <v>20000</v>
      </c>
      <c r="K636" s="122">
        <v>90288</v>
      </c>
      <c r="L636" s="123"/>
      <c r="M636" s="123"/>
      <c r="N636" s="123"/>
      <c r="O636" s="226">
        <v>47714</v>
      </c>
      <c r="P636" s="122">
        <v>48000</v>
      </c>
      <c r="Q636" s="122">
        <v>12</v>
      </c>
      <c r="R636" s="122">
        <v>12</v>
      </c>
      <c r="S636" s="441">
        <f t="shared" si="129"/>
        <v>48000</v>
      </c>
      <c r="T636" s="432">
        <f t="shared" si="131"/>
        <v>-42288</v>
      </c>
      <c r="U636" s="62">
        <f t="shared" si="132"/>
        <v>-42288</v>
      </c>
      <c r="V636" s="62">
        <f t="shared" si="130"/>
        <v>0</v>
      </c>
    </row>
    <row r="637" spans="1:22" ht="50.15" customHeight="1" x14ac:dyDescent="0.6">
      <c r="A637" s="440">
        <v>1842200847</v>
      </c>
      <c r="B637" s="120">
        <v>84</v>
      </c>
      <c r="C637" s="121" t="s">
        <v>24</v>
      </c>
      <c r="D637" s="121" t="s">
        <v>33</v>
      </c>
      <c r="E637" s="121"/>
      <c r="F637" s="121" t="s">
        <v>145</v>
      </c>
      <c r="G637" s="122">
        <v>22677</v>
      </c>
      <c r="H637" s="122">
        <v>75733</v>
      </c>
      <c r="I637" s="122">
        <v>21540</v>
      </c>
      <c r="J637" s="122">
        <v>70933</v>
      </c>
      <c r="K637" s="122">
        <v>75733</v>
      </c>
      <c r="L637" s="123"/>
      <c r="M637" s="123"/>
      <c r="N637" s="123"/>
      <c r="O637" s="226">
        <v>28037</v>
      </c>
      <c r="P637" s="122">
        <v>30000</v>
      </c>
      <c r="Q637" s="122">
        <v>12</v>
      </c>
      <c r="R637" s="122">
        <v>12</v>
      </c>
      <c r="S637" s="441">
        <f t="shared" si="129"/>
        <v>30000</v>
      </c>
      <c r="T637" s="432">
        <f t="shared" si="131"/>
        <v>-45733</v>
      </c>
      <c r="U637" s="62">
        <f t="shared" si="132"/>
        <v>-45733</v>
      </c>
      <c r="V637" s="62">
        <f t="shared" si="130"/>
        <v>0</v>
      </c>
    </row>
    <row r="638" spans="1:22" ht="50.15" customHeight="1" x14ac:dyDescent="0.6">
      <c r="A638" s="440">
        <v>1842300841</v>
      </c>
      <c r="B638" s="120">
        <v>84</v>
      </c>
      <c r="C638" s="121" t="s">
        <v>24</v>
      </c>
      <c r="D638" s="121" t="s">
        <v>33</v>
      </c>
      <c r="E638" s="121"/>
      <c r="F638" s="121" t="s">
        <v>146</v>
      </c>
      <c r="G638" s="122">
        <v>111899.09</v>
      </c>
      <c r="H638" s="122">
        <v>191541</v>
      </c>
      <c r="I638" s="122">
        <v>96926.88</v>
      </c>
      <c r="J638" s="122">
        <v>191541</v>
      </c>
      <c r="K638" s="122">
        <v>191541</v>
      </c>
      <c r="L638" s="123"/>
      <c r="M638" s="123"/>
      <c r="N638" s="123"/>
      <c r="O638" s="226">
        <v>114409.63</v>
      </c>
      <c r="P638" s="122">
        <v>115000</v>
      </c>
      <c r="Q638" s="122">
        <v>12</v>
      </c>
      <c r="R638" s="122">
        <v>12</v>
      </c>
      <c r="S638" s="441">
        <f t="shared" si="129"/>
        <v>115000</v>
      </c>
      <c r="T638" s="432">
        <f t="shared" si="131"/>
        <v>-76541</v>
      </c>
      <c r="U638" s="62">
        <f t="shared" si="132"/>
        <v>-76541</v>
      </c>
      <c r="V638" s="62">
        <f t="shared" si="130"/>
        <v>0</v>
      </c>
    </row>
    <row r="639" spans="1:22" ht="50.15" customHeight="1" x14ac:dyDescent="0.6">
      <c r="A639" s="440">
        <v>1842400110</v>
      </c>
      <c r="B639" s="120">
        <v>84</v>
      </c>
      <c r="C639" s="121" t="s">
        <v>23</v>
      </c>
      <c r="D639" s="121" t="s">
        <v>33</v>
      </c>
      <c r="E639" s="121" t="s">
        <v>583</v>
      </c>
      <c r="F639" s="121" t="s">
        <v>541</v>
      </c>
      <c r="G639" s="122">
        <v>175020.39</v>
      </c>
      <c r="H639" s="122">
        <v>172040.05</v>
      </c>
      <c r="I639" s="122">
        <v>353000</v>
      </c>
      <c r="J639" s="122">
        <v>358425.41735</v>
      </c>
      <c r="K639" s="122">
        <v>175773.314623329</v>
      </c>
      <c r="L639" s="123">
        <v>2.15</v>
      </c>
      <c r="M639" s="123">
        <v>2.15</v>
      </c>
      <c r="N639" s="123">
        <f>ריכוז!K96</f>
        <v>2.4000000000000004</v>
      </c>
      <c r="O639" s="226">
        <v>360371.57</v>
      </c>
      <c r="P639" s="122">
        <f>ריכוז!M96</f>
        <v>441405.6</v>
      </c>
      <c r="Q639" s="122">
        <v>12</v>
      </c>
      <c r="R639" s="122">
        <v>12</v>
      </c>
      <c r="S639" s="441">
        <f t="shared" si="129"/>
        <v>441405.59999999992</v>
      </c>
      <c r="T639" s="432">
        <f t="shared" si="131"/>
        <v>265632.285376671</v>
      </c>
      <c r="U639" s="62">
        <f t="shared" si="132"/>
        <v>265632.28537667089</v>
      </c>
      <c r="V639" s="62">
        <f t="shared" si="130"/>
        <v>0</v>
      </c>
    </row>
    <row r="640" spans="1:22" ht="50.15" customHeight="1" x14ac:dyDescent="0.6">
      <c r="A640" s="440">
        <v>1842400840</v>
      </c>
      <c r="B640" s="120">
        <v>84</v>
      </c>
      <c r="C640" s="121" t="s">
        <v>24</v>
      </c>
      <c r="D640" s="121" t="s">
        <v>33</v>
      </c>
      <c r="E640" s="121"/>
      <c r="F640" s="121" t="s">
        <v>541</v>
      </c>
      <c r="G640" s="122">
        <v>-9246.24</v>
      </c>
      <c r="H640" s="122">
        <v>30000</v>
      </c>
      <c r="I640" s="122">
        <v>5961.0959999999995</v>
      </c>
      <c r="J640" s="122">
        <v>10000</v>
      </c>
      <c r="K640" s="122">
        <v>30000</v>
      </c>
      <c r="L640" s="123"/>
      <c r="M640" s="123"/>
      <c r="N640" s="123"/>
      <c r="O640" s="226">
        <v>15900.98</v>
      </c>
      <c r="P640" s="122">
        <v>16000</v>
      </c>
      <c r="Q640" s="122">
        <v>12</v>
      </c>
      <c r="R640" s="122">
        <v>12</v>
      </c>
      <c r="S640" s="441">
        <f t="shared" si="129"/>
        <v>16000</v>
      </c>
      <c r="T640" s="432">
        <f t="shared" si="131"/>
        <v>-14000</v>
      </c>
      <c r="U640" s="62">
        <f t="shared" si="132"/>
        <v>-14000</v>
      </c>
      <c r="V640" s="62">
        <f t="shared" si="130"/>
        <v>0</v>
      </c>
    </row>
    <row r="641" spans="1:22" ht="50.15" customHeight="1" x14ac:dyDescent="0.6">
      <c r="A641" s="440">
        <v>1842400841</v>
      </c>
      <c r="B641" s="120">
        <v>84</v>
      </c>
      <c r="C641" s="121" t="s">
        <v>24</v>
      </c>
      <c r="D641" s="121" t="s">
        <v>33</v>
      </c>
      <c r="E641" s="121"/>
      <c r="F641" s="121" t="s">
        <v>148</v>
      </c>
      <c r="G641" s="122">
        <v>40000</v>
      </c>
      <c r="H641" s="122">
        <v>40500</v>
      </c>
      <c r="I641" s="122">
        <v>8400</v>
      </c>
      <c r="J641" s="122">
        <v>40500</v>
      </c>
      <c r="K641" s="122">
        <v>40500</v>
      </c>
      <c r="L641" s="123"/>
      <c r="M641" s="123"/>
      <c r="N641" s="123"/>
      <c r="O641" s="226">
        <v>7000</v>
      </c>
      <c r="P641" s="122">
        <v>7000</v>
      </c>
      <c r="Q641" s="122">
        <v>12</v>
      </c>
      <c r="R641" s="122">
        <v>12</v>
      </c>
      <c r="S641" s="441">
        <f t="shared" si="129"/>
        <v>7000</v>
      </c>
      <c r="T641" s="432">
        <f t="shared" si="131"/>
        <v>-33500</v>
      </c>
      <c r="U641" s="62">
        <f t="shared" si="132"/>
        <v>-33500</v>
      </c>
      <c r="V641" s="62">
        <f t="shared" si="130"/>
        <v>0</v>
      </c>
    </row>
    <row r="642" spans="1:22" ht="50.15" customHeight="1" x14ac:dyDescent="0.6">
      <c r="A642" s="440">
        <v>1843500110</v>
      </c>
      <c r="B642" s="120">
        <v>84</v>
      </c>
      <c r="C642" s="121" t="s">
        <v>23</v>
      </c>
      <c r="D642" s="121" t="s">
        <v>33</v>
      </c>
      <c r="E642" s="121" t="s">
        <v>583</v>
      </c>
      <c r="F642" s="121" t="s">
        <v>542</v>
      </c>
      <c r="G642" s="122">
        <v>109813.75</v>
      </c>
      <c r="H642" s="122">
        <v>108888.8</v>
      </c>
      <c r="I642" s="122">
        <v>106518.57552</v>
      </c>
      <c r="J642" s="122">
        <v>105372.2047</v>
      </c>
      <c r="K642" s="122">
        <v>111251.68622855567</v>
      </c>
      <c r="L642" s="123">
        <v>0.67500000000000004</v>
      </c>
      <c r="M642" s="123">
        <v>0.67500000000000004</v>
      </c>
      <c r="N642" s="123">
        <f>ריכוז!K97</f>
        <v>0.5</v>
      </c>
      <c r="O642" s="226">
        <v>116015.31</v>
      </c>
      <c r="P642" s="122">
        <f>ריכוז!M97</f>
        <v>105000</v>
      </c>
      <c r="Q642" s="122">
        <v>12</v>
      </c>
      <c r="R642" s="122">
        <v>12</v>
      </c>
      <c r="S642" s="441">
        <f t="shared" si="129"/>
        <v>105000</v>
      </c>
      <c r="T642" s="432">
        <f t="shared" si="131"/>
        <v>-6251.6862285556708</v>
      </c>
      <c r="U642" s="62">
        <f t="shared" si="132"/>
        <v>-6251.6862285556708</v>
      </c>
      <c r="V642" s="62">
        <f t="shared" si="130"/>
        <v>0</v>
      </c>
    </row>
    <row r="643" spans="1:22" ht="50.15" customHeight="1" x14ac:dyDescent="0.6">
      <c r="A643" s="440">
        <v>1843500840</v>
      </c>
      <c r="B643" s="120">
        <v>84</v>
      </c>
      <c r="C643" s="121" t="s">
        <v>24</v>
      </c>
      <c r="D643" s="121" t="s">
        <v>33</v>
      </c>
      <c r="E643" s="121"/>
      <c r="F643" s="121" t="s">
        <v>543</v>
      </c>
      <c r="G643" s="122">
        <v>520151</v>
      </c>
      <c r="H643" s="122">
        <v>580236</v>
      </c>
      <c r="I643" s="122">
        <v>529471.19999999995</v>
      </c>
      <c r="J643" s="122">
        <v>520000</v>
      </c>
      <c r="K643" s="122">
        <v>580236</v>
      </c>
      <c r="L643" s="123"/>
      <c r="M643" s="123"/>
      <c r="N643" s="123"/>
      <c r="O643" s="226">
        <v>558462</v>
      </c>
      <c r="P643" s="122">
        <v>560000</v>
      </c>
      <c r="Q643" s="122">
        <v>12</v>
      </c>
      <c r="R643" s="122">
        <v>12</v>
      </c>
      <c r="S643" s="441">
        <f t="shared" si="129"/>
        <v>560000</v>
      </c>
      <c r="T643" s="432">
        <f t="shared" si="131"/>
        <v>-20236</v>
      </c>
      <c r="U643" s="62">
        <f t="shared" si="132"/>
        <v>-20236</v>
      </c>
      <c r="V643" s="62">
        <f t="shared" si="130"/>
        <v>0</v>
      </c>
    </row>
    <row r="644" spans="1:22" ht="50.15" customHeight="1" x14ac:dyDescent="0.6">
      <c r="A644" s="440">
        <v>1843500841</v>
      </c>
      <c r="B644" s="120">
        <v>84</v>
      </c>
      <c r="C644" s="121" t="s">
        <v>24</v>
      </c>
      <c r="D644" s="121" t="s">
        <v>33</v>
      </c>
      <c r="E644" s="121"/>
      <c r="F644" s="121" t="s">
        <v>150</v>
      </c>
      <c r="G644" s="122">
        <v>0</v>
      </c>
      <c r="H644" s="122">
        <v>57000</v>
      </c>
      <c r="I644" s="122">
        <v>0</v>
      </c>
      <c r="J644" s="122">
        <v>57000</v>
      </c>
      <c r="K644" s="122">
        <v>57000</v>
      </c>
      <c r="L644" s="123"/>
      <c r="M644" s="123"/>
      <c r="N644" s="123"/>
      <c r="O644" s="122">
        <v>0</v>
      </c>
      <c r="P644" s="122">
        <v>0</v>
      </c>
      <c r="Q644" s="122">
        <v>12</v>
      </c>
      <c r="R644" s="122">
        <v>12</v>
      </c>
      <c r="S644" s="441">
        <f t="shared" si="129"/>
        <v>0</v>
      </c>
      <c r="T644" s="432">
        <f t="shared" si="131"/>
        <v>-57000</v>
      </c>
      <c r="U644" s="62">
        <f t="shared" si="132"/>
        <v>-57000</v>
      </c>
      <c r="V644" s="62">
        <f t="shared" si="130"/>
        <v>0</v>
      </c>
    </row>
    <row r="645" spans="1:22" ht="50.15" customHeight="1" x14ac:dyDescent="0.6">
      <c r="A645" s="440">
        <v>1843500842</v>
      </c>
      <c r="B645" s="120">
        <v>84</v>
      </c>
      <c r="C645" s="121" t="s">
        <v>24</v>
      </c>
      <c r="D645" s="121" t="s">
        <v>33</v>
      </c>
      <c r="E645" s="121"/>
      <c r="F645" s="121" t="s">
        <v>544</v>
      </c>
      <c r="G645" s="122">
        <v>429265</v>
      </c>
      <c r="H645" s="122">
        <v>350000</v>
      </c>
      <c r="I645" s="122">
        <v>395143.19999999995</v>
      </c>
      <c r="J645" s="122">
        <v>390000</v>
      </c>
      <c r="K645" s="122">
        <v>350000</v>
      </c>
      <c r="L645" s="123"/>
      <c r="M645" s="123"/>
      <c r="N645" s="123"/>
      <c r="O645" s="226">
        <v>388961</v>
      </c>
      <c r="P645" s="122">
        <v>390000</v>
      </c>
      <c r="Q645" s="122">
        <v>12</v>
      </c>
      <c r="R645" s="122">
        <v>12</v>
      </c>
      <c r="S645" s="441">
        <f t="shared" si="129"/>
        <v>390000</v>
      </c>
      <c r="T645" s="432">
        <f t="shared" si="131"/>
        <v>40000</v>
      </c>
      <c r="U645" s="62">
        <f t="shared" si="132"/>
        <v>40000</v>
      </c>
      <c r="V645" s="62">
        <f t="shared" si="130"/>
        <v>0</v>
      </c>
    </row>
    <row r="646" spans="1:22" ht="50.15" customHeight="1" x14ac:dyDescent="0.6">
      <c r="A646" s="440">
        <v>1843500843</v>
      </c>
      <c r="B646" s="120">
        <v>84</v>
      </c>
      <c r="C646" s="121" t="s">
        <v>24</v>
      </c>
      <c r="D646" s="121" t="s">
        <v>33</v>
      </c>
      <c r="E646" s="121"/>
      <c r="F646" s="121" t="s">
        <v>152</v>
      </c>
      <c r="G646" s="122">
        <v>44627</v>
      </c>
      <c r="H646" s="122">
        <v>40000</v>
      </c>
      <c r="I646" s="122">
        <v>26553.600000000002</v>
      </c>
      <c r="J646" s="122">
        <v>102173</v>
      </c>
      <c r="K646" s="122">
        <v>40000</v>
      </c>
      <c r="L646" s="123"/>
      <c r="M646" s="123"/>
      <c r="N646" s="123"/>
      <c r="O646" s="226">
        <v>25597</v>
      </c>
      <c r="P646" s="122">
        <v>26000</v>
      </c>
      <c r="Q646" s="122">
        <v>12</v>
      </c>
      <c r="R646" s="122">
        <v>12</v>
      </c>
      <c r="S646" s="441">
        <f t="shared" si="129"/>
        <v>26000</v>
      </c>
      <c r="T646" s="432">
        <f t="shared" si="131"/>
        <v>-14000</v>
      </c>
      <c r="U646" s="62">
        <f t="shared" si="132"/>
        <v>-14000</v>
      </c>
      <c r="V646" s="62">
        <f t="shared" si="130"/>
        <v>0</v>
      </c>
    </row>
    <row r="647" spans="1:22" ht="50.15" customHeight="1" x14ac:dyDescent="0.6">
      <c r="A647" s="440">
        <v>1843500844</v>
      </c>
      <c r="B647" s="120">
        <v>84</v>
      </c>
      <c r="C647" s="121" t="s">
        <v>24</v>
      </c>
      <c r="D647" s="121" t="s">
        <v>33</v>
      </c>
      <c r="E647" s="121"/>
      <c r="F647" s="121" t="s">
        <v>153</v>
      </c>
      <c r="G647" s="122">
        <v>67653</v>
      </c>
      <c r="H647" s="122">
        <v>74173</v>
      </c>
      <c r="I647" s="122">
        <v>64321.200000000004</v>
      </c>
      <c r="J647" s="122">
        <v>74173</v>
      </c>
      <c r="K647" s="122">
        <v>74173</v>
      </c>
      <c r="L647" s="123"/>
      <c r="M647" s="123"/>
      <c r="N647" s="123"/>
      <c r="O647" s="226">
        <v>69951</v>
      </c>
      <c r="P647" s="122">
        <v>74173</v>
      </c>
      <c r="Q647" s="122">
        <v>12</v>
      </c>
      <c r="R647" s="122">
        <v>12</v>
      </c>
      <c r="S647" s="441">
        <f t="shared" si="129"/>
        <v>74173</v>
      </c>
      <c r="T647" s="432">
        <f t="shared" si="131"/>
        <v>0</v>
      </c>
      <c r="U647" s="62">
        <f t="shared" si="132"/>
        <v>0</v>
      </c>
      <c r="V647" s="62">
        <f t="shared" si="130"/>
        <v>0</v>
      </c>
    </row>
    <row r="648" spans="1:22" ht="50.15" customHeight="1" x14ac:dyDescent="0.6">
      <c r="A648" s="440">
        <v>1843500847</v>
      </c>
      <c r="B648" s="120">
        <v>84</v>
      </c>
      <c r="C648" s="121" t="s">
        <v>24</v>
      </c>
      <c r="D648" s="121" t="s">
        <v>33</v>
      </c>
      <c r="E648" s="121"/>
      <c r="F648" s="121" t="s">
        <v>545</v>
      </c>
      <c r="G648" s="122">
        <v>0</v>
      </c>
      <c r="H648" s="122">
        <v>56538</v>
      </c>
      <c r="I648" s="122">
        <v>0</v>
      </c>
      <c r="J648" s="122">
        <v>56538</v>
      </c>
      <c r="K648" s="122">
        <v>56538</v>
      </c>
      <c r="L648" s="123"/>
      <c r="M648" s="123"/>
      <c r="N648" s="123"/>
      <c r="O648" s="226"/>
      <c r="P648" s="122">
        <v>0</v>
      </c>
      <c r="Q648" s="122">
        <v>12</v>
      </c>
      <c r="R648" s="122">
        <v>12</v>
      </c>
      <c r="S648" s="441">
        <f t="shared" si="129"/>
        <v>0</v>
      </c>
      <c r="T648" s="432">
        <f t="shared" si="131"/>
        <v>-56538</v>
      </c>
      <c r="U648" s="62">
        <f t="shared" si="132"/>
        <v>-56538</v>
      </c>
      <c r="V648" s="62">
        <f t="shared" si="130"/>
        <v>0</v>
      </c>
    </row>
    <row r="649" spans="1:22" ht="50.15" customHeight="1" x14ac:dyDescent="0.6">
      <c r="A649" s="440">
        <v>1843800840</v>
      </c>
      <c r="B649" s="120">
        <v>84</v>
      </c>
      <c r="C649" s="121" t="s">
        <v>24</v>
      </c>
      <c r="D649" s="121" t="s">
        <v>33</v>
      </c>
      <c r="E649" s="121"/>
      <c r="F649" s="121" t="s">
        <v>156</v>
      </c>
      <c r="G649" s="122">
        <v>3696284</v>
      </c>
      <c r="H649" s="122">
        <v>3900000</v>
      </c>
      <c r="I649" s="122">
        <v>3180021.4200000004</v>
      </c>
      <c r="J649" s="122">
        <v>3000000</v>
      </c>
      <c r="K649" s="122">
        <v>3900000</v>
      </c>
      <c r="L649" s="123"/>
      <c r="M649" s="123"/>
      <c r="N649" s="123"/>
      <c r="O649" s="226">
        <v>3056470.85</v>
      </c>
      <c r="P649" s="122">
        <v>3000000</v>
      </c>
      <c r="Q649" s="122">
        <v>12</v>
      </c>
      <c r="R649" s="122">
        <v>12</v>
      </c>
      <c r="S649" s="441">
        <f t="shared" si="129"/>
        <v>3000000</v>
      </c>
      <c r="T649" s="432">
        <f t="shared" si="131"/>
        <v>-900000</v>
      </c>
      <c r="U649" s="62">
        <f t="shared" si="132"/>
        <v>-900000</v>
      </c>
      <c r="V649" s="62">
        <f t="shared" si="130"/>
        <v>0</v>
      </c>
    </row>
    <row r="650" spans="1:22" ht="50.15" customHeight="1" x14ac:dyDescent="0.6">
      <c r="A650" s="440">
        <v>1843800841</v>
      </c>
      <c r="B650" s="120">
        <v>84</v>
      </c>
      <c r="C650" s="121" t="s">
        <v>24</v>
      </c>
      <c r="D650" s="121" t="s">
        <v>33</v>
      </c>
      <c r="E650" s="121"/>
      <c r="F650" s="121" t="s">
        <v>157</v>
      </c>
      <c r="G650" s="122">
        <v>1835</v>
      </c>
      <c r="H650" s="122" t="s">
        <v>8</v>
      </c>
      <c r="I650" s="122">
        <v>784.80000000000007</v>
      </c>
      <c r="J650" s="122">
        <v>0</v>
      </c>
      <c r="K650" s="122">
        <v>0</v>
      </c>
      <c r="L650" s="123"/>
      <c r="M650" s="123"/>
      <c r="N650" s="123"/>
      <c r="O650" s="226">
        <v>654</v>
      </c>
      <c r="P650" s="122">
        <v>1000</v>
      </c>
      <c r="Q650" s="122">
        <v>12</v>
      </c>
      <c r="R650" s="122">
        <v>12</v>
      </c>
      <c r="S650" s="441">
        <f t="shared" si="129"/>
        <v>1000</v>
      </c>
      <c r="T650" s="432">
        <f t="shared" si="131"/>
        <v>1000</v>
      </c>
      <c r="U650" s="62">
        <f t="shared" si="132"/>
        <v>1000</v>
      </c>
      <c r="V650" s="62">
        <f t="shared" si="130"/>
        <v>0</v>
      </c>
    </row>
    <row r="651" spans="1:22" ht="50.15" customHeight="1" x14ac:dyDescent="0.6">
      <c r="A651" s="440">
        <v>1843900840</v>
      </c>
      <c r="B651" s="120">
        <v>84</v>
      </c>
      <c r="C651" s="121" t="s">
        <v>24</v>
      </c>
      <c r="D651" s="121" t="s">
        <v>33</v>
      </c>
      <c r="E651" s="121"/>
      <c r="F651" s="121" t="s">
        <v>546</v>
      </c>
      <c r="G651" s="122">
        <v>1472425</v>
      </c>
      <c r="H651" s="122">
        <v>1400000</v>
      </c>
      <c r="I651" s="122">
        <v>1663366.7999999998</v>
      </c>
      <c r="J651" s="122">
        <v>1500000</v>
      </c>
      <c r="K651" s="122">
        <v>1400000</v>
      </c>
      <c r="L651" s="123"/>
      <c r="M651" s="123"/>
      <c r="N651" s="123"/>
      <c r="O651" s="226">
        <v>1610013</v>
      </c>
      <c r="P651" s="122">
        <v>1610000</v>
      </c>
      <c r="Q651" s="122">
        <v>12</v>
      </c>
      <c r="R651" s="122">
        <v>12</v>
      </c>
      <c r="S651" s="441">
        <f t="shared" si="129"/>
        <v>1610000</v>
      </c>
      <c r="T651" s="432">
        <f t="shared" si="131"/>
        <v>210000</v>
      </c>
      <c r="U651" s="62">
        <f t="shared" si="132"/>
        <v>210000</v>
      </c>
      <c r="V651" s="62">
        <f t="shared" si="130"/>
        <v>0</v>
      </c>
    </row>
    <row r="652" spans="1:22" ht="50.15" customHeight="1" x14ac:dyDescent="0.6">
      <c r="A652" s="440">
        <v>1844300840</v>
      </c>
      <c r="B652" s="120">
        <v>84</v>
      </c>
      <c r="C652" s="121" t="s">
        <v>24</v>
      </c>
      <c r="D652" s="121" t="s">
        <v>33</v>
      </c>
      <c r="E652" s="121"/>
      <c r="F652" s="121" t="s">
        <v>159</v>
      </c>
      <c r="G652" s="122">
        <v>986105</v>
      </c>
      <c r="H652" s="122">
        <v>900000</v>
      </c>
      <c r="I652" s="122">
        <v>824018.39999999991</v>
      </c>
      <c r="J652" s="122">
        <v>750000</v>
      </c>
      <c r="K652" s="122">
        <v>900000</v>
      </c>
      <c r="L652" s="123"/>
      <c r="M652" s="123"/>
      <c r="N652" s="123"/>
      <c r="O652" s="226">
        <v>788695</v>
      </c>
      <c r="P652" s="122">
        <v>790000</v>
      </c>
      <c r="Q652" s="122">
        <v>12</v>
      </c>
      <c r="R652" s="122">
        <v>12</v>
      </c>
      <c r="S652" s="441">
        <f t="shared" si="129"/>
        <v>790000</v>
      </c>
      <c r="T652" s="432">
        <f t="shared" si="131"/>
        <v>-110000</v>
      </c>
      <c r="U652" s="62">
        <f t="shared" si="132"/>
        <v>-110000</v>
      </c>
      <c r="V652" s="62">
        <f t="shared" si="130"/>
        <v>0</v>
      </c>
    </row>
    <row r="653" spans="1:22" ht="50.15" customHeight="1" x14ac:dyDescent="0.6">
      <c r="A653" s="440">
        <v>1844400841</v>
      </c>
      <c r="B653" s="120">
        <v>84</v>
      </c>
      <c r="C653" s="121" t="s">
        <v>24</v>
      </c>
      <c r="D653" s="121" t="s">
        <v>33</v>
      </c>
      <c r="E653" s="121"/>
      <c r="F653" s="121" t="s">
        <v>547</v>
      </c>
      <c r="G653" s="122">
        <v>330095</v>
      </c>
      <c r="H653" s="122">
        <v>300000</v>
      </c>
      <c r="I653" s="122">
        <v>263168.16000000003</v>
      </c>
      <c r="J653" s="122">
        <v>300000</v>
      </c>
      <c r="K653" s="122">
        <v>300000</v>
      </c>
      <c r="L653" s="123"/>
      <c r="M653" s="123"/>
      <c r="N653" s="123"/>
      <c r="O653" s="226">
        <v>242673.8</v>
      </c>
      <c r="P653" s="122">
        <v>250000</v>
      </c>
      <c r="Q653" s="122">
        <v>12</v>
      </c>
      <c r="R653" s="122">
        <v>12</v>
      </c>
      <c r="S653" s="441">
        <f t="shared" si="129"/>
        <v>250000</v>
      </c>
      <c r="T653" s="432">
        <f t="shared" si="131"/>
        <v>-50000</v>
      </c>
      <c r="U653" s="62">
        <f t="shared" si="132"/>
        <v>-50000</v>
      </c>
      <c r="V653" s="62">
        <f t="shared" si="130"/>
        <v>0</v>
      </c>
    </row>
    <row r="654" spans="1:22" ht="50.15" customHeight="1" x14ac:dyDescent="0.6">
      <c r="A654" s="440">
        <v>1844400842</v>
      </c>
      <c r="B654" s="120">
        <v>84</v>
      </c>
      <c r="C654" s="121" t="s">
        <v>24</v>
      </c>
      <c r="D654" s="121" t="s">
        <v>33</v>
      </c>
      <c r="E654" s="121"/>
      <c r="F654" s="121" t="s">
        <v>548</v>
      </c>
      <c r="G654" s="122" t="s">
        <v>8</v>
      </c>
      <c r="H654" s="122" t="s">
        <v>8</v>
      </c>
      <c r="I654" s="122">
        <v>4200</v>
      </c>
      <c r="J654" s="122" t="s">
        <v>607</v>
      </c>
      <c r="K654" s="122" t="s">
        <v>607</v>
      </c>
      <c r="L654" s="123"/>
      <c r="M654" s="123"/>
      <c r="N654" s="123"/>
      <c r="O654" s="226">
        <v>3500</v>
      </c>
      <c r="P654" s="122">
        <v>3500</v>
      </c>
      <c r="Q654" s="122">
        <v>12</v>
      </c>
      <c r="R654" s="122">
        <v>12</v>
      </c>
      <c r="S654" s="441">
        <f t="shared" si="129"/>
        <v>3500</v>
      </c>
      <c r="T654" s="432">
        <f t="shared" si="131"/>
        <v>3500</v>
      </c>
      <c r="U654" s="62">
        <f t="shared" si="132"/>
        <v>3500</v>
      </c>
      <c r="V654" s="62">
        <f t="shared" si="130"/>
        <v>0</v>
      </c>
    </row>
    <row r="655" spans="1:22" ht="50.15" customHeight="1" x14ac:dyDescent="0.6">
      <c r="A655" s="440">
        <v>1844400843</v>
      </c>
      <c r="B655" s="120">
        <v>84</v>
      </c>
      <c r="C655" s="121" t="s">
        <v>24</v>
      </c>
      <c r="D655" s="121" t="s">
        <v>33</v>
      </c>
      <c r="E655" s="121"/>
      <c r="F655" s="121" t="s">
        <v>161</v>
      </c>
      <c r="G655" s="122">
        <v>29104</v>
      </c>
      <c r="H655" s="122">
        <v>32000</v>
      </c>
      <c r="I655" s="122">
        <v>30026.399999999998</v>
      </c>
      <c r="J655" s="122">
        <v>32000</v>
      </c>
      <c r="K655" s="122">
        <v>32000</v>
      </c>
      <c r="L655" s="123"/>
      <c r="M655" s="123"/>
      <c r="N655" s="123"/>
      <c r="O655" s="226">
        <v>24568</v>
      </c>
      <c r="P655" s="122">
        <v>25000</v>
      </c>
      <c r="Q655" s="122">
        <v>12</v>
      </c>
      <c r="R655" s="122">
        <v>12</v>
      </c>
      <c r="S655" s="441">
        <f t="shared" si="129"/>
        <v>25000</v>
      </c>
      <c r="T655" s="432">
        <f t="shared" si="131"/>
        <v>-7000</v>
      </c>
      <c r="U655" s="62">
        <f t="shared" si="132"/>
        <v>-7000</v>
      </c>
      <c r="V655" s="62">
        <f t="shared" si="130"/>
        <v>0</v>
      </c>
    </row>
    <row r="656" spans="1:22" ht="50.15" customHeight="1" x14ac:dyDescent="0.6">
      <c r="A656" s="440">
        <v>1844400844</v>
      </c>
      <c r="B656" s="120">
        <v>84</v>
      </c>
      <c r="C656" s="121" t="s">
        <v>24</v>
      </c>
      <c r="D656" s="121" t="s">
        <v>33</v>
      </c>
      <c r="E656" s="121"/>
      <c r="F656" s="121" t="s">
        <v>162</v>
      </c>
      <c r="G656" s="122">
        <v>122070</v>
      </c>
      <c r="H656" s="122">
        <v>90000</v>
      </c>
      <c r="I656" s="122">
        <v>134616</v>
      </c>
      <c r="J656" s="122">
        <v>120000</v>
      </c>
      <c r="K656" s="122">
        <v>90000</v>
      </c>
      <c r="L656" s="123"/>
      <c r="M656" s="123"/>
      <c r="N656" s="123"/>
      <c r="O656" s="226">
        <v>135933</v>
      </c>
      <c r="P656" s="122">
        <v>136000</v>
      </c>
      <c r="Q656" s="122">
        <v>12</v>
      </c>
      <c r="R656" s="122">
        <v>12</v>
      </c>
      <c r="S656" s="441">
        <f t="shared" si="129"/>
        <v>136000</v>
      </c>
      <c r="T656" s="432">
        <f t="shared" si="131"/>
        <v>46000</v>
      </c>
      <c r="U656" s="62">
        <f t="shared" si="132"/>
        <v>46000</v>
      </c>
      <c r="V656" s="62">
        <f t="shared" si="130"/>
        <v>0</v>
      </c>
    </row>
    <row r="657" spans="1:23" ht="50.15" customHeight="1" x14ac:dyDescent="0.6">
      <c r="A657" s="440">
        <v>1844400845</v>
      </c>
      <c r="B657" s="120">
        <v>84</v>
      </c>
      <c r="C657" s="121" t="s">
        <v>24</v>
      </c>
      <c r="D657" s="121" t="s">
        <v>33</v>
      </c>
      <c r="E657" s="121"/>
      <c r="F657" s="121" t="s">
        <v>163</v>
      </c>
      <c r="G657" s="122">
        <v>22139</v>
      </c>
      <c r="H657" s="122">
        <v>54000</v>
      </c>
      <c r="I657" s="122">
        <v>1365.6</v>
      </c>
      <c r="J657" s="122"/>
      <c r="K657" s="122">
        <v>54000</v>
      </c>
      <c r="L657" s="123"/>
      <c r="M657" s="123"/>
      <c r="N657" s="123"/>
      <c r="O657" s="226">
        <v>4481</v>
      </c>
      <c r="P657" s="122">
        <v>5000</v>
      </c>
      <c r="Q657" s="122">
        <v>12</v>
      </c>
      <c r="R657" s="122">
        <v>12</v>
      </c>
      <c r="S657" s="441">
        <f t="shared" si="129"/>
        <v>5000</v>
      </c>
      <c r="T657" s="432">
        <f t="shared" si="131"/>
        <v>-49000</v>
      </c>
      <c r="U657" s="62">
        <f t="shared" si="132"/>
        <v>-49000</v>
      </c>
      <c r="V657" s="62">
        <f t="shared" si="130"/>
        <v>0</v>
      </c>
    </row>
    <row r="658" spans="1:23" ht="50.15" customHeight="1" x14ac:dyDescent="0.6">
      <c r="A658" s="440">
        <v>1844400846</v>
      </c>
      <c r="B658" s="120">
        <v>84</v>
      </c>
      <c r="C658" s="121" t="s">
        <v>24</v>
      </c>
      <c r="D658" s="121" t="s">
        <v>33</v>
      </c>
      <c r="E658" s="121"/>
      <c r="F658" s="121" t="s">
        <v>164</v>
      </c>
      <c r="G658" s="122">
        <v>42000</v>
      </c>
      <c r="H658" s="122">
        <v>42000</v>
      </c>
      <c r="I658" s="122">
        <v>37800</v>
      </c>
      <c r="J658" s="122">
        <v>42000</v>
      </c>
      <c r="K658" s="122">
        <v>42000</v>
      </c>
      <c r="L658" s="123"/>
      <c r="M658" s="123"/>
      <c r="N658" s="123"/>
      <c r="O658" s="226">
        <v>38500</v>
      </c>
      <c r="P658" s="122">
        <v>40000</v>
      </c>
      <c r="Q658" s="122">
        <v>12</v>
      </c>
      <c r="R658" s="122">
        <v>12</v>
      </c>
      <c r="S658" s="441">
        <f t="shared" si="129"/>
        <v>40000</v>
      </c>
      <c r="T658" s="432">
        <f t="shared" si="131"/>
        <v>-2000</v>
      </c>
      <c r="U658" s="62">
        <f t="shared" si="132"/>
        <v>-2000</v>
      </c>
      <c r="V658" s="62">
        <f t="shared" ref="V658:V689" si="133">S658-P658</f>
        <v>0</v>
      </c>
    </row>
    <row r="659" spans="1:23" ht="50.15" customHeight="1" x14ac:dyDescent="0.6">
      <c r="A659" s="440">
        <v>1844400847</v>
      </c>
      <c r="B659" s="120">
        <v>84</v>
      </c>
      <c r="C659" s="121" t="s">
        <v>24</v>
      </c>
      <c r="D659" s="121" t="s">
        <v>33</v>
      </c>
      <c r="E659" s="121"/>
      <c r="F659" s="121" t="s">
        <v>165</v>
      </c>
      <c r="G659" s="122">
        <v>64089</v>
      </c>
      <c r="H659" s="122">
        <v>40000</v>
      </c>
      <c r="I659" s="122">
        <v>29520</v>
      </c>
      <c r="J659" s="122">
        <v>40000</v>
      </c>
      <c r="K659" s="122">
        <v>40000</v>
      </c>
      <c r="L659" s="123"/>
      <c r="M659" s="123"/>
      <c r="N659" s="123"/>
      <c r="O659" s="226">
        <v>24600</v>
      </c>
      <c r="P659" s="122">
        <v>25000</v>
      </c>
      <c r="Q659" s="122">
        <v>12</v>
      </c>
      <c r="R659" s="122">
        <v>12</v>
      </c>
      <c r="S659" s="441">
        <f t="shared" si="129"/>
        <v>25000</v>
      </c>
      <c r="T659" s="432">
        <f t="shared" si="131"/>
        <v>-15000</v>
      </c>
      <c r="U659" s="62">
        <f t="shared" si="132"/>
        <v>-15000</v>
      </c>
      <c r="V659" s="62">
        <f t="shared" si="133"/>
        <v>0</v>
      </c>
    </row>
    <row r="660" spans="1:23" ht="50.15" customHeight="1" x14ac:dyDescent="0.6">
      <c r="A660" s="440">
        <v>1844400849</v>
      </c>
      <c r="B660" s="120">
        <v>84</v>
      </c>
      <c r="C660" s="121" t="s">
        <v>8</v>
      </c>
      <c r="D660" s="121" t="s">
        <v>8</v>
      </c>
      <c r="E660" s="121"/>
      <c r="F660" s="121" t="s">
        <v>166</v>
      </c>
      <c r="G660" s="122">
        <v>0</v>
      </c>
      <c r="H660" s="122" t="s">
        <v>8</v>
      </c>
      <c r="I660" s="122">
        <v>0</v>
      </c>
      <c r="J660" s="122">
        <v>0</v>
      </c>
      <c r="K660" s="122">
        <v>0</v>
      </c>
      <c r="L660" s="123"/>
      <c r="M660" s="123"/>
      <c r="N660" s="123"/>
      <c r="O660" s="226"/>
      <c r="P660" s="122">
        <v>0</v>
      </c>
      <c r="Q660" s="122">
        <v>12</v>
      </c>
      <c r="R660" s="122">
        <v>12</v>
      </c>
      <c r="S660" s="441">
        <f t="shared" si="129"/>
        <v>0</v>
      </c>
      <c r="T660" s="432">
        <f t="shared" si="131"/>
        <v>0</v>
      </c>
      <c r="U660" s="62">
        <f t="shared" si="132"/>
        <v>0</v>
      </c>
      <c r="V660" s="62">
        <f t="shared" si="133"/>
        <v>0</v>
      </c>
    </row>
    <row r="661" spans="1:23" ht="50.15" customHeight="1" x14ac:dyDescent="0.6">
      <c r="A661" s="440">
        <v>1844500840</v>
      </c>
      <c r="B661" s="120">
        <v>84</v>
      </c>
      <c r="C661" s="121" t="s">
        <v>24</v>
      </c>
      <c r="D661" s="121" t="s">
        <v>33</v>
      </c>
      <c r="E661" s="121"/>
      <c r="F661" s="121" t="s">
        <v>168</v>
      </c>
      <c r="G661" s="122">
        <v>283032</v>
      </c>
      <c r="H661" s="122">
        <v>270000</v>
      </c>
      <c r="I661" s="122">
        <v>214572</v>
      </c>
      <c r="J661" s="122">
        <v>207000</v>
      </c>
      <c r="K661" s="122">
        <v>270000</v>
      </c>
      <c r="L661" s="123"/>
      <c r="M661" s="123"/>
      <c r="N661" s="123"/>
      <c r="O661" s="226">
        <v>212512</v>
      </c>
      <c r="P661" s="122">
        <v>213000</v>
      </c>
      <c r="Q661" s="122">
        <v>12</v>
      </c>
      <c r="R661" s="122">
        <v>12</v>
      </c>
      <c r="S661" s="441">
        <f t="shared" si="129"/>
        <v>213000</v>
      </c>
      <c r="T661" s="432">
        <f t="shared" si="131"/>
        <v>-57000</v>
      </c>
      <c r="U661" s="62">
        <f t="shared" si="132"/>
        <v>-57000</v>
      </c>
      <c r="V661" s="62">
        <f t="shared" si="133"/>
        <v>0</v>
      </c>
    </row>
    <row r="662" spans="1:23" ht="50.15" customHeight="1" x14ac:dyDescent="0.6">
      <c r="A662" s="440">
        <v>1844600420</v>
      </c>
      <c r="B662" s="120">
        <v>84</v>
      </c>
      <c r="C662" s="121" t="s">
        <v>24</v>
      </c>
      <c r="D662" s="121" t="s">
        <v>33</v>
      </c>
      <c r="E662" s="121"/>
      <c r="F662" s="121" t="s">
        <v>549</v>
      </c>
      <c r="G662" s="122">
        <v>139391.04999999999</v>
      </c>
      <c r="H662" s="122">
        <v>120000</v>
      </c>
      <c r="I662" s="122"/>
      <c r="J662" s="122"/>
      <c r="K662" s="122">
        <v>120000</v>
      </c>
      <c r="L662" s="123"/>
      <c r="M662" s="123"/>
      <c r="N662" s="123"/>
      <c r="O662" s="226">
        <v>92986.75</v>
      </c>
      <c r="P662" s="122">
        <v>93000</v>
      </c>
      <c r="Q662" s="122">
        <v>12</v>
      </c>
      <c r="R662" s="122">
        <v>12</v>
      </c>
      <c r="S662" s="441">
        <f t="shared" si="129"/>
        <v>93000</v>
      </c>
      <c r="T662" s="432">
        <f t="shared" si="131"/>
        <v>-27000</v>
      </c>
      <c r="U662" s="62">
        <f t="shared" si="132"/>
        <v>-27000</v>
      </c>
      <c r="V662" s="62">
        <f t="shared" si="133"/>
        <v>0</v>
      </c>
    </row>
    <row r="663" spans="1:23" ht="50.15" customHeight="1" x14ac:dyDescent="0.6">
      <c r="A663" s="440">
        <v>1845100840</v>
      </c>
      <c r="B663" s="120">
        <v>84</v>
      </c>
      <c r="C663" s="121" t="s">
        <v>24</v>
      </c>
      <c r="D663" s="121" t="s">
        <v>33</v>
      </c>
      <c r="E663" s="121"/>
      <c r="F663" s="121" t="s">
        <v>170</v>
      </c>
      <c r="G663" s="122">
        <v>6014660</v>
      </c>
      <c r="H663" s="122">
        <v>5600000</v>
      </c>
      <c r="I663" s="122">
        <v>6100000</v>
      </c>
      <c r="J663" s="122">
        <v>5800000</v>
      </c>
      <c r="K663" s="122">
        <v>5600000</v>
      </c>
      <c r="L663" s="123"/>
      <c r="M663" s="123"/>
      <c r="N663" s="123"/>
      <c r="O663" s="226">
        <v>6554568</v>
      </c>
      <c r="P663" s="122">
        <v>6560000</v>
      </c>
      <c r="Q663" s="122">
        <v>12</v>
      </c>
      <c r="R663" s="122">
        <v>12</v>
      </c>
      <c r="S663" s="441">
        <f t="shared" si="129"/>
        <v>6560000</v>
      </c>
      <c r="T663" s="432">
        <f t="shared" si="131"/>
        <v>960000</v>
      </c>
      <c r="U663" s="62">
        <f t="shared" si="132"/>
        <v>960000</v>
      </c>
      <c r="V663" s="62">
        <f t="shared" si="133"/>
        <v>0</v>
      </c>
    </row>
    <row r="664" spans="1:23" ht="50.15" customHeight="1" x14ac:dyDescent="0.6">
      <c r="A664" s="440">
        <v>1845100841</v>
      </c>
      <c r="B664" s="120">
        <v>84</v>
      </c>
      <c r="C664" s="121" t="s">
        <v>24</v>
      </c>
      <c r="D664" s="121" t="s">
        <v>33</v>
      </c>
      <c r="E664" s="121"/>
      <c r="F664" s="121" t="s">
        <v>171</v>
      </c>
      <c r="G664" s="122">
        <v>356097</v>
      </c>
      <c r="H664" s="122">
        <v>325000</v>
      </c>
      <c r="I664" s="122">
        <v>489472.80000000005</v>
      </c>
      <c r="J664" s="122">
        <v>410000</v>
      </c>
      <c r="K664" s="122">
        <v>325000</v>
      </c>
      <c r="L664" s="123"/>
      <c r="M664" s="123"/>
      <c r="N664" s="123"/>
      <c r="O664" s="226">
        <v>494594</v>
      </c>
      <c r="P664" s="122">
        <v>410000</v>
      </c>
      <c r="Q664" s="122">
        <v>12</v>
      </c>
      <c r="R664" s="122">
        <v>12</v>
      </c>
      <c r="S664" s="441">
        <f t="shared" si="129"/>
        <v>410000</v>
      </c>
      <c r="T664" s="432">
        <f t="shared" si="131"/>
        <v>85000</v>
      </c>
      <c r="U664" s="62">
        <f t="shared" si="132"/>
        <v>85000</v>
      </c>
      <c r="V664" s="62">
        <f t="shared" si="133"/>
        <v>0</v>
      </c>
    </row>
    <row r="665" spans="1:23" ht="50.15" customHeight="1" x14ac:dyDescent="0.6">
      <c r="A665" s="440">
        <v>1845100842</v>
      </c>
      <c r="B665" s="120">
        <v>84</v>
      </c>
      <c r="C665" s="121" t="s">
        <v>24</v>
      </c>
      <c r="D665" s="121" t="s">
        <v>33</v>
      </c>
      <c r="E665" s="121"/>
      <c r="F665" s="121" t="s">
        <v>172</v>
      </c>
      <c r="G665" s="122">
        <v>10191</v>
      </c>
      <c r="H665" s="122">
        <v>10000</v>
      </c>
      <c r="I665" s="122">
        <v>10394.400000000001</v>
      </c>
      <c r="J665" s="122">
        <v>10000</v>
      </c>
      <c r="K665" s="122">
        <v>10000</v>
      </c>
      <c r="L665" s="123"/>
      <c r="M665" s="123"/>
      <c r="N665" s="123"/>
      <c r="O665" s="226">
        <v>10426</v>
      </c>
      <c r="P665" s="122">
        <v>10000</v>
      </c>
      <c r="Q665" s="122">
        <v>12</v>
      </c>
      <c r="R665" s="122">
        <v>12</v>
      </c>
      <c r="S665" s="441">
        <f t="shared" si="129"/>
        <v>10000</v>
      </c>
      <c r="T665" s="432">
        <f t="shared" si="131"/>
        <v>0</v>
      </c>
      <c r="U665" s="62">
        <f t="shared" si="132"/>
        <v>0</v>
      </c>
      <c r="V665" s="62">
        <f t="shared" si="133"/>
        <v>0</v>
      </c>
    </row>
    <row r="666" spans="1:23" ht="50.15" customHeight="1" x14ac:dyDescent="0.6">
      <c r="A666" s="440">
        <v>1845100843</v>
      </c>
      <c r="B666" s="120">
        <v>84</v>
      </c>
      <c r="C666" s="121" t="s">
        <v>24</v>
      </c>
      <c r="D666" s="121" t="s">
        <v>33</v>
      </c>
      <c r="E666" s="121"/>
      <c r="F666" s="121" t="s">
        <v>173</v>
      </c>
      <c r="G666" s="122">
        <v>60281</v>
      </c>
      <c r="H666" s="122">
        <v>70000</v>
      </c>
      <c r="I666" s="122">
        <v>67653.600000000006</v>
      </c>
      <c r="J666" s="122">
        <v>70000</v>
      </c>
      <c r="K666" s="122">
        <v>70000</v>
      </c>
      <c r="L666" s="123"/>
      <c r="M666" s="123"/>
      <c r="N666" s="123"/>
      <c r="O666" s="226">
        <v>73934</v>
      </c>
      <c r="P666" s="122">
        <v>70000</v>
      </c>
      <c r="Q666" s="122">
        <v>12</v>
      </c>
      <c r="R666" s="122">
        <v>12</v>
      </c>
      <c r="S666" s="441">
        <f t="shared" si="129"/>
        <v>70000</v>
      </c>
      <c r="T666" s="432">
        <f t="shared" si="131"/>
        <v>0</v>
      </c>
      <c r="U666" s="62">
        <f t="shared" si="132"/>
        <v>0</v>
      </c>
      <c r="V666" s="62">
        <f t="shared" si="133"/>
        <v>0</v>
      </c>
    </row>
    <row r="667" spans="1:23" ht="50.15" customHeight="1" x14ac:dyDescent="0.6">
      <c r="A667" s="440">
        <v>1845100844</v>
      </c>
      <c r="B667" s="120">
        <v>84</v>
      </c>
      <c r="C667" s="121" t="s">
        <v>24</v>
      </c>
      <c r="D667" s="121" t="s">
        <v>33</v>
      </c>
      <c r="E667" s="121"/>
      <c r="F667" s="121" t="s">
        <v>174</v>
      </c>
      <c r="G667" s="122">
        <v>71508</v>
      </c>
      <c r="H667" s="122">
        <v>67000</v>
      </c>
      <c r="I667" s="122">
        <v>67918.799999999988</v>
      </c>
      <c r="J667" s="122">
        <v>67000</v>
      </c>
      <c r="K667" s="122">
        <v>67000</v>
      </c>
      <c r="L667" s="123"/>
      <c r="M667" s="123"/>
      <c r="N667" s="123"/>
      <c r="O667" s="226">
        <v>68719</v>
      </c>
      <c r="P667" s="122">
        <v>68000</v>
      </c>
      <c r="Q667" s="122">
        <v>12</v>
      </c>
      <c r="R667" s="122">
        <v>12</v>
      </c>
      <c r="S667" s="441">
        <f t="shared" si="129"/>
        <v>68000</v>
      </c>
      <c r="T667" s="432">
        <f t="shared" si="131"/>
        <v>1000</v>
      </c>
      <c r="U667" s="62">
        <f t="shared" si="132"/>
        <v>1000</v>
      </c>
      <c r="V667" s="62">
        <f t="shared" si="133"/>
        <v>0</v>
      </c>
    </row>
    <row r="668" spans="1:23" ht="50.15" customHeight="1" x14ac:dyDescent="0.6">
      <c r="A668" s="440">
        <v>1845100845</v>
      </c>
      <c r="B668" s="120">
        <v>84</v>
      </c>
      <c r="C668" s="121" t="s">
        <v>24</v>
      </c>
      <c r="D668" s="121" t="s">
        <v>33</v>
      </c>
      <c r="E668" s="121"/>
      <c r="F668" s="121" t="s">
        <v>175</v>
      </c>
      <c r="G668" s="122">
        <v>42957</v>
      </c>
      <c r="H668" s="122">
        <v>89600</v>
      </c>
      <c r="I668" s="122">
        <v>30500.399999999998</v>
      </c>
      <c r="J668" s="122">
        <v>50000</v>
      </c>
      <c r="K668" s="122">
        <v>89600</v>
      </c>
      <c r="L668" s="123"/>
      <c r="M668" s="123"/>
      <c r="N668" s="123"/>
      <c r="O668" s="226">
        <v>27859</v>
      </c>
      <c r="P668" s="122">
        <v>28000</v>
      </c>
      <c r="Q668" s="122">
        <v>12</v>
      </c>
      <c r="R668" s="122">
        <v>12</v>
      </c>
      <c r="S668" s="441">
        <f t="shared" si="129"/>
        <v>28000</v>
      </c>
      <c r="T668" s="432">
        <f t="shared" si="131"/>
        <v>-61600</v>
      </c>
      <c r="U668" s="62">
        <f t="shared" si="132"/>
        <v>-61600</v>
      </c>
      <c r="V668" s="62">
        <f t="shared" si="133"/>
        <v>0</v>
      </c>
    </row>
    <row r="669" spans="1:23" ht="50.15" customHeight="1" x14ac:dyDescent="0.6">
      <c r="A669" s="440">
        <v>1845100846</v>
      </c>
      <c r="B669" s="120">
        <v>84</v>
      </c>
      <c r="C669" s="121" t="s">
        <v>24</v>
      </c>
      <c r="D669" s="121" t="s">
        <v>33</v>
      </c>
      <c r="E669" s="121"/>
      <c r="F669" s="121" t="s">
        <v>176</v>
      </c>
      <c r="G669" s="122">
        <v>47186</v>
      </c>
      <c r="H669" s="122">
        <v>50000</v>
      </c>
      <c r="I669" s="122">
        <v>47695.199999999997</v>
      </c>
      <c r="J669" s="122">
        <v>47670</v>
      </c>
      <c r="K669" s="122">
        <v>50000</v>
      </c>
      <c r="L669" s="123"/>
      <c r="M669" s="123"/>
      <c r="N669" s="123"/>
      <c r="O669" s="226">
        <v>48453</v>
      </c>
      <c r="P669" s="122">
        <v>50000</v>
      </c>
      <c r="Q669" s="122">
        <v>12</v>
      </c>
      <c r="R669" s="122">
        <v>12</v>
      </c>
      <c r="S669" s="441">
        <f t="shared" si="129"/>
        <v>50000</v>
      </c>
      <c r="T669" s="432">
        <f t="shared" si="131"/>
        <v>0</v>
      </c>
      <c r="U669" s="62">
        <f t="shared" si="132"/>
        <v>0</v>
      </c>
      <c r="V669" s="62">
        <f t="shared" si="133"/>
        <v>0</v>
      </c>
    </row>
    <row r="670" spans="1:23" ht="50.15" customHeight="1" x14ac:dyDescent="0.6">
      <c r="A670" s="440">
        <v>1845100847</v>
      </c>
      <c r="B670" s="120">
        <v>84</v>
      </c>
      <c r="C670" s="121" t="s">
        <v>24</v>
      </c>
      <c r="D670" s="121" t="s">
        <v>33</v>
      </c>
      <c r="E670" s="121"/>
      <c r="F670" s="121" t="s">
        <v>177</v>
      </c>
      <c r="G670" s="122">
        <v>1447466</v>
      </c>
      <c r="H670" s="122">
        <v>1200000</v>
      </c>
      <c r="I670" s="122">
        <v>1425201.6</v>
      </c>
      <c r="J670" s="122">
        <v>1309000</v>
      </c>
      <c r="K670" s="122">
        <v>1200000</v>
      </c>
      <c r="L670" s="123"/>
      <c r="M670" s="123"/>
      <c r="N670" s="123"/>
      <c r="O670" s="226">
        <v>1427550</v>
      </c>
      <c r="P670" s="122">
        <v>1430000</v>
      </c>
      <c r="Q670" s="122">
        <v>12</v>
      </c>
      <c r="R670" s="122">
        <v>12</v>
      </c>
      <c r="S670" s="441">
        <f t="shared" si="129"/>
        <v>1430000</v>
      </c>
      <c r="T670" s="432">
        <f t="shared" si="131"/>
        <v>230000</v>
      </c>
      <c r="U670" s="62">
        <f t="shared" si="132"/>
        <v>230000</v>
      </c>
      <c r="V670" s="62">
        <f t="shared" si="133"/>
        <v>0</v>
      </c>
    </row>
    <row r="671" spans="1:23" ht="50.15" customHeight="1" x14ac:dyDescent="0.6">
      <c r="A671" s="440">
        <v>1845100848</v>
      </c>
      <c r="B671" s="120">
        <v>84</v>
      </c>
      <c r="C671" s="121" t="s">
        <v>24</v>
      </c>
      <c r="D671" s="121" t="s">
        <v>33</v>
      </c>
      <c r="E671" s="121"/>
      <c r="F671" s="121" t="s">
        <v>178</v>
      </c>
      <c r="G671" s="122">
        <v>0</v>
      </c>
      <c r="H671" s="122">
        <v>5000</v>
      </c>
      <c r="I671" s="122">
        <v>5000</v>
      </c>
      <c r="J671" s="122">
        <v>5000</v>
      </c>
      <c r="K671" s="122">
        <v>5000</v>
      </c>
      <c r="L671" s="123"/>
      <c r="M671" s="123"/>
      <c r="N671" s="123"/>
      <c r="O671" s="226"/>
      <c r="P671" s="122">
        <v>0</v>
      </c>
      <c r="Q671" s="122">
        <v>12</v>
      </c>
      <c r="R671" s="122">
        <v>12</v>
      </c>
      <c r="S671" s="441">
        <f t="shared" si="129"/>
        <v>0</v>
      </c>
      <c r="T671" s="432">
        <f t="shared" si="131"/>
        <v>-5000</v>
      </c>
      <c r="U671" s="62">
        <f t="shared" si="132"/>
        <v>-5000</v>
      </c>
      <c r="V671" s="62">
        <f t="shared" si="133"/>
        <v>0</v>
      </c>
    </row>
    <row r="672" spans="1:23" ht="50.15" customHeight="1" x14ac:dyDescent="0.6">
      <c r="A672" s="440">
        <v>1845200110</v>
      </c>
      <c r="B672" s="120">
        <v>84</v>
      </c>
      <c r="C672" s="121" t="s">
        <v>23</v>
      </c>
      <c r="D672" s="121" t="s">
        <v>33</v>
      </c>
      <c r="E672" s="121" t="s">
        <v>583</v>
      </c>
      <c r="F672" s="121" t="s">
        <v>550</v>
      </c>
      <c r="G672" s="122">
        <v>224804.61</v>
      </c>
      <c r="H672" s="122">
        <v>230940.96</v>
      </c>
      <c r="I672" s="122">
        <v>697000</v>
      </c>
      <c r="J672" s="122">
        <v>477059.70334999997</v>
      </c>
      <c r="K672" s="122">
        <v>231287.29759862111</v>
      </c>
      <c r="L672" s="123">
        <v>4.75</v>
      </c>
      <c r="M672" s="123">
        <v>3.75</v>
      </c>
      <c r="N672" s="123">
        <f>ריכוז!K98</f>
        <v>4.8166666666666664</v>
      </c>
      <c r="O672" s="226">
        <v>688520.01</v>
      </c>
      <c r="P672" s="122">
        <f>ריכוז!M98</f>
        <v>614865.76</v>
      </c>
      <c r="Q672" s="122">
        <v>12</v>
      </c>
      <c r="R672" s="122">
        <v>12</v>
      </c>
      <c r="S672" s="441">
        <f t="shared" si="129"/>
        <v>614865.76</v>
      </c>
      <c r="T672" s="432">
        <f t="shared" si="131"/>
        <v>383578.4624013789</v>
      </c>
      <c r="U672" s="62">
        <f t="shared" si="132"/>
        <v>383578.4624013789</v>
      </c>
      <c r="V672" s="62">
        <f t="shared" si="133"/>
        <v>0</v>
      </c>
      <c r="W672" s="153" t="s">
        <v>929</v>
      </c>
    </row>
    <row r="673" spans="1:23" ht="50.15" customHeight="1" x14ac:dyDescent="0.6">
      <c r="A673" s="440">
        <v>1845200840</v>
      </c>
      <c r="B673" s="120">
        <v>84</v>
      </c>
      <c r="C673" s="121" t="s">
        <v>24</v>
      </c>
      <c r="D673" s="121" t="s">
        <v>33</v>
      </c>
      <c r="E673" s="121"/>
      <c r="F673" s="121" t="s">
        <v>181</v>
      </c>
      <c r="G673" s="122">
        <v>588409</v>
      </c>
      <c r="H673" s="122">
        <v>550000</v>
      </c>
      <c r="I673" s="122">
        <v>530463.60000000009</v>
      </c>
      <c r="J673" s="122">
        <v>550000</v>
      </c>
      <c r="K673" s="122">
        <v>550000</v>
      </c>
      <c r="L673" s="123"/>
      <c r="M673" s="123"/>
      <c r="N673" s="123"/>
      <c r="O673" s="226">
        <v>543493</v>
      </c>
      <c r="P673" s="122">
        <v>550000</v>
      </c>
      <c r="Q673" s="122">
        <v>12</v>
      </c>
      <c r="R673" s="122">
        <v>12</v>
      </c>
      <c r="S673" s="441">
        <f t="shared" si="129"/>
        <v>550000</v>
      </c>
      <c r="T673" s="432">
        <f t="shared" si="131"/>
        <v>0</v>
      </c>
      <c r="U673" s="62">
        <f t="shared" si="132"/>
        <v>0</v>
      </c>
      <c r="V673" s="62">
        <f t="shared" si="133"/>
        <v>0</v>
      </c>
    </row>
    <row r="674" spans="1:23" ht="50.15" customHeight="1" x14ac:dyDescent="0.6">
      <c r="A674" s="440">
        <v>1845200841</v>
      </c>
      <c r="B674" s="120">
        <v>84</v>
      </c>
      <c r="C674" s="121" t="s">
        <v>24</v>
      </c>
      <c r="D674" s="121" t="s">
        <v>33</v>
      </c>
      <c r="E674" s="121"/>
      <c r="F674" s="121" t="s">
        <v>551</v>
      </c>
      <c r="G674" s="122">
        <v>67517.820000000007</v>
      </c>
      <c r="H674" s="122">
        <v>90000</v>
      </c>
      <c r="I674" s="122">
        <v>90148.464000000007</v>
      </c>
      <c r="J674" s="122">
        <v>100000</v>
      </c>
      <c r="K674" s="122">
        <v>90000</v>
      </c>
      <c r="L674" s="123"/>
      <c r="M674" s="123"/>
      <c r="N674" s="123"/>
      <c r="O674" s="226">
        <v>84817</v>
      </c>
      <c r="P674" s="122">
        <v>85000</v>
      </c>
      <c r="Q674" s="122">
        <v>12</v>
      </c>
      <c r="R674" s="122">
        <v>12</v>
      </c>
      <c r="S674" s="441">
        <f t="shared" si="129"/>
        <v>85000</v>
      </c>
      <c r="T674" s="432">
        <f t="shared" si="131"/>
        <v>-5000</v>
      </c>
      <c r="U674" s="62">
        <f t="shared" si="132"/>
        <v>-5000</v>
      </c>
      <c r="V674" s="62">
        <f t="shared" si="133"/>
        <v>0</v>
      </c>
    </row>
    <row r="675" spans="1:23" ht="50.15" customHeight="1" x14ac:dyDescent="0.6">
      <c r="A675" s="440">
        <v>1845200843</v>
      </c>
      <c r="B675" s="120">
        <v>84</v>
      </c>
      <c r="C675" s="121" t="s">
        <v>24</v>
      </c>
      <c r="D675" s="121" t="s">
        <v>33</v>
      </c>
      <c r="E675" s="121"/>
      <c r="F675" s="121" t="s">
        <v>179</v>
      </c>
      <c r="G675" s="122">
        <v>509260.36</v>
      </c>
      <c r="H675" s="122">
        <v>550000</v>
      </c>
      <c r="I675" s="122">
        <v>380634.21600000001</v>
      </c>
      <c r="J675" s="122">
        <v>420000</v>
      </c>
      <c r="K675" s="122">
        <v>550000</v>
      </c>
      <c r="L675" s="123"/>
      <c r="M675" s="123"/>
      <c r="N675" s="123"/>
      <c r="O675" s="226">
        <v>426748.32</v>
      </c>
      <c r="P675" s="122">
        <v>430000</v>
      </c>
      <c r="Q675" s="122">
        <v>12</v>
      </c>
      <c r="R675" s="122">
        <v>12</v>
      </c>
      <c r="S675" s="441">
        <f t="shared" si="129"/>
        <v>430000</v>
      </c>
      <c r="T675" s="432">
        <f t="shared" si="131"/>
        <v>-120000</v>
      </c>
      <c r="U675" s="62">
        <f t="shared" si="132"/>
        <v>-120000</v>
      </c>
      <c r="V675" s="62">
        <f t="shared" si="133"/>
        <v>0</v>
      </c>
    </row>
    <row r="676" spans="1:23" ht="50.15" customHeight="1" x14ac:dyDescent="0.6">
      <c r="A676" s="440">
        <v>1845210110</v>
      </c>
      <c r="B676" s="120">
        <v>84</v>
      </c>
      <c r="C676" s="121" t="s">
        <v>23</v>
      </c>
      <c r="D676" s="121" t="s">
        <v>33</v>
      </c>
      <c r="E676" s="121" t="s">
        <v>583</v>
      </c>
      <c r="F676" s="121" t="s">
        <v>552</v>
      </c>
      <c r="G676" s="122">
        <v>602304.15</v>
      </c>
      <c r="H676" s="122">
        <v>604438.02</v>
      </c>
      <c r="I676" s="122">
        <v>577008.77471999999</v>
      </c>
      <c r="J676" s="122">
        <v>534504.62309999997</v>
      </c>
      <c r="K676" s="122">
        <v>586130.32592046401</v>
      </c>
      <c r="L676" s="123">
        <v>4.4430000000000005</v>
      </c>
      <c r="M676" s="123">
        <v>4.4430000000000005</v>
      </c>
      <c r="N676" s="123">
        <f>ריכוז!K99</f>
        <v>4.5999999999999996</v>
      </c>
      <c r="O676" s="226">
        <v>582544.86</v>
      </c>
      <c r="P676" s="122">
        <f>ריכוז!M99</f>
        <v>584860.55999999994</v>
      </c>
      <c r="Q676" s="122">
        <v>12</v>
      </c>
      <c r="R676" s="122">
        <v>12</v>
      </c>
      <c r="S676" s="441">
        <f t="shared" si="129"/>
        <v>584860.55999999994</v>
      </c>
      <c r="T676" s="432">
        <f t="shared" si="131"/>
        <v>-1269.7659204640659</v>
      </c>
      <c r="U676" s="62">
        <f t="shared" si="132"/>
        <v>-1269.7659204640659</v>
      </c>
      <c r="V676" s="62">
        <f t="shared" si="133"/>
        <v>0</v>
      </c>
      <c r="W676" s="153" t="s">
        <v>929</v>
      </c>
    </row>
    <row r="677" spans="1:23" ht="50.15" customHeight="1" x14ac:dyDescent="0.6">
      <c r="A677" s="440">
        <v>1845300840</v>
      </c>
      <c r="B677" s="120">
        <v>84</v>
      </c>
      <c r="C677" s="121" t="s">
        <v>24</v>
      </c>
      <c r="D677" s="121" t="s">
        <v>33</v>
      </c>
      <c r="E677" s="121"/>
      <c r="F677" s="121" t="s">
        <v>183</v>
      </c>
      <c r="G677" s="122">
        <v>8251</v>
      </c>
      <c r="H677" s="122">
        <v>7000</v>
      </c>
      <c r="I677" s="122">
        <v>4520.3999999999996</v>
      </c>
      <c r="J677" s="122">
        <v>7000</v>
      </c>
      <c r="K677" s="122">
        <v>7000</v>
      </c>
      <c r="L677" s="123"/>
      <c r="M677" s="123"/>
      <c r="N677" s="123"/>
      <c r="O677" s="226">
        <v>15935</v>
      </c>
      <c r="P677" s="122">
        <v>16000</v>
      </c>
      <c r="Q677" s="122">
        <v>12</v>
      </c>
      <c r="R677" s="122">
        <v>12</v>
      </c>
      <c r="S677" s="441">
        <f t="shared" si="129"/>
        <v>16000</v>
      </c>
      <c r="T677" s="432">
        <f t="shared" si="131"/>
        <v>9000</v>
      </c>
      <c r="U677" s="62">
        <f t="shared" si="132"/>
        <v>9000</v>
      </c>
      <c r="V677" s="62">
        <f t="shared" si="133"/>
        <v>0</v>
      </c>
    </row>
    <row r="678" spans="1:23" ht="50.15" customHeight="1" x14ac:dyDescent="0.6">
      <c r="A678" s="440">
        <v>1845300842</v>
      </c>
      <c r="B678" s="120">
        <v>84</v>
      </c>
      <c r="C678" s="121" t="s">
        <v>24</v>
      </c>
      <c r="D678" s="121" t="s">
        <v>33</v>
      </c>
      <c r="E678" s="121"/>
      <c r="F678" s="121" t="s">
        <v>184</v>
      </c>
      <c r="G678" s="122">
        <v>0</v>
      </c>
      <c r="H678" s="122">
        <v>4000</v>
      </c>
      <c r="I678" s="122">
        <v>13597.199999999999</v>
      </c>
      <c r="J678" s="122">
        <v>5000</v>
      </c>
      <c r="K678" s="122">
        <v>4000</v>
      </c>
      <c r="L678" s="123"/>
      <c r="M678" s="123"/>
      <c r="N678" s="123"/>
      <c r="O678" s="226">
        <v>12951</v>
      </c>
      <c r="P678" s="122">
        <v>13000</v>
      </c>
      <c r="Q678" s="122">
        <v>12</v>
      </c>
      <c r="R678" s="122">
        <v>12</v>
      </c>
      <c r="S678" s="441">
        <f t="shared" si="129"/>
        <v>13000</v>
      </c>
      <c r="T678" s="432">
        <f t="shared" si="131"/>
        <v>9000</v>
      </c>
      <c r="U678" s="62">
        <f t="shared" si="132"/>
        <v>9000</v>
      </c>
      <c r="V678" s="62">
        <f t="shared" si="133"/>
        <v>0</v>
      </c>
    </row>
    <row r="679" spans="1:23" ht="50.15" customHeight="1" x14ac:dyDescent="0.6">
      <c r="A679" s="440">
        <v>1845300843</v>
      </c>
      <c r="B679" s="120">
        <v>84</v>
      </c>
      <c r="C679" s="121" t="s">
        <v>24</v>
      </c>
      <c r="D679" s="121" t="s">
        <v>33</v>
      </c>
      <c r="E679" s="121"/>
      <c r="F679" s="121" t="s">
        <v>185</v>
      </c>
      <c r="G679" s="122">
        <v>179962</v>
      </c>
      <c r="H679" s="122">
        <v>240000</v>
      </c>
      <c r="I679" s="122">
        <v>231249.99599999998</v>
      </c>
      <c r="J679" s="122">
        <v>240000</v>
      </c>
      <c r="K679" s="122">
        <v>240000</v>
      </c>
      <c r="L679" s="123"/>
      <c r="M679" s="123"/>
      <c r="N679" s="123"/>
      <c r="O679" s="226">
        <v>228992.32</v>
      </c>
      <c r="P679" s="122">
        <v>230000</v>
      </c>
      <c r="Q679" s="122">
        <v>12</v>
      </c>
      <c r="R679" s="122">
        <v>12</v>
      </c>
      <c r="S679" s="441">
        <f t="shared" si="129"/>
        <v>230000</v>
      </c>
      <c r="T679" s="432">
        <f t="shared" si="131"/>
        <v>-10000</v>
      </c>
      <c r="U679" s="62">
        <f t="shared" si="132"/>
        <v>-10000</v>
      </c>
      <c r="V679" s="62">
        <f t="shared" si="133"/>
        <v>0</v>
      </c>
    </row>
    <row r="680" spans="1:23" ht="50.15" customHeight="1" x14ac:dyDescent="0.6">
      <c r="A680" s="440">
        <v>1846300110</v>
      </c>
      <c r="B680" s="120">
        <v>84</v>
      </c>
      <c r="C680" s="121" t="s">
        <v>23</v>
      </c>
      <c r="D680" s="121" t="s">
        <v>33</v>
      </c>
      <c r="E680" s="121" t="s">
        <v>583</v>
      </c>
      <c r="F680" s="121" t="s">
        <v>553</v>
      </c>
      <c r="G680" s="122">
        <v>150788.59</v>
      </c>
      <c r="H680" s="122">
        <v>151855.43</v>
      </c>
      <c r="I680" s="122">
        <v>151748.91144</v>
      </c>
      <c r="J680" s="122">
        <v>154964.46524999998</v>
      </c>
      <c r="K680" s="122">
        <v>155150.69249969054</v>
      </c>
      <c r="L680" s="123">
        <v>1.25</v>
      </c>
      <c r="M680" s="123">
        <v>1.25</v>
      </c>
      <c r="N680" s="123">
        <f>ריכוז!K100</f>
        <v>1.25</v>
      </c>
      <c r="O680" s="226">
        <v>152686.82999999999</v>
      </c>
      <c r="P680" s="122">
        <f>ריכוז!M100</f>
        <v>155000</v>
      </c>
      <c r="Q680" s="122">
        <v>12</v>
      </c>
      <c r="R680" s="122">
        <v>12</v>
      </c>
      <c r="S680" s="441">
        <f t="shared" si="129"/>
        <v>155000</v>
      </c>
      <c r="T680" s="432">
        <f t="shared" si="131"/>
        <v>-150.69249969054363</v>
      </c>
      <c r="U680" s="62">
        <f t="shared" si="132"/>
        <v>-150.69249969054363</v>
      </c>
      <c r="V680" s="62">
        <f t="shared" si="133"/>
        <v>0</v>
      </c>
    </row>
    <row r="681" spans="1:23" ht="50.15" customHeight="1" x14ac:dyDescent="0.6">
      <c r="A681" s="440">
        <v>1846300840</v>
      </c>
      <c r="B681" s="120">
        <v>84</v>
      </c>
      <c r="C681" s="121" t="s">
        <v>24</v>
      </c>
      <c r="D681" s="121" t="s">
        <v>33</v>
      </c>
      <c r="E681" s="121"/>
      <c r="F681" s="121" t="s">
        <v>554</v>
      </c>
      <c r="G681" s="122">
        <v>17143</v>
      </c>
      <c r="H681" s="122">
        <v>20000</v>
      </c>
      <c r="I681" s="122">
        <v>12711.599999999999</v>
      </c>
      <c r="J681" s="122">
        <v>20000</v>
      </c>
      <c r="K681" s="122">
        <v>20000</v>
      </c>
      <c r="L681" s="123"/>
      <c r="M681" s="123"/>
      <c r="N681" s="123"/>
      <c r="O681" s="226">
        <v>15138</v>
      </c>
      <c r="P681" s="122">
        <v>16000</v>
      </c>
      <c r="Q681" s="122">
        <v>12</v>
      </c>
      <c r="R681" s="122">
        <v>12</v>
      </c>
      <c r="S681" s="441">
        <f t="shared" si="129"/>
        <v>16000</v>
      </c>
      <c r="T681" s="432">
        <f t="shared" si="131"/>
        <v>-4000</v>
      </c>
      <c r="U681" s="62">
        <f t="shared" si="132"/>
        <v>-4000</v>
      </c>
      <c r="V681" s="62">
        <f t="shared" si="133"/>
        <v>0</v>
      </c>
    </row>
    <row r="682" spans="1:23" ht="50.15" customHeight="1" x14ac:dyDescent="0.6">
      <c r="A682" s="440">
        <v>1846300841</v>
      </c>
      <c r="B682" s="120">
        <v>84</v>
      </c>
      <c r="C682" s="121" t="s">
        <v>24</v>
      </c>
      <c r="D682" s="121" t="s">
        <v>33</v>
      </c>
      <c r="E682" s="121"/>
      <c r="F682" s="121" t="s">
        <v>555</v>
      </c>
      <c r="G682" s="122">
        <v>0</v>
      </c>
      <c r="H682" s="122">
        <v>10000</v>
      </c>
      <c r="I682" s="122">
        <v>10000</v>
      </c>
      <c r="J682" s="122">
        <v>10000</v>
      </c>
      <c r="K682" s="122">
        <v>10000</v>
      </c>
      <c r="L682" s="123"/>
      <c r="M682" s="123"/>
      <c r="N682" s="123"/>
      <c r="O682" s="226"/>
      <c r="P682" s="122">
        <v>0</v>
      </c>
      <c r="Q682" s="122">
        <v>12</v>
      </c>
      <c r="R682" s="122">
        <v>12</v>
      </c>
      <c r="S682" s="441">
        <f t="shared" si="129"/>
        <v>0</v>
      </c>
      <c r="T682" s="432">
        <f t="shared" si="131"/>
        <v>-10000</v>
      </c>
      <c r="U682" s="62">
        <f t="shared" si="132"/>
        <v>-10000</v>
      </c>
      <c r="V682" s="62">
        <f t="shared" si="133"/>
        <v>0</v>
      </c>
    </row>
    <row r="683" spans="1:23" ht="50.15" customHeight="1" x14ac:dyDescent="0.6">
      <c r="A683" s="440">
        <v>1846400841</v>
      </c>
      <c r="B683" s="120">
        <v>84</v>
      </c>
      <c r="C683" s="121" t="s">
        <v>24</v>
      </c>
      <c r="D683" s="121" t="s">
        <v>33</v>
      </c>
      <c r="E683" s="121"/>
      <c r="F683" s="121" t="s">
        <v>187</v>
      </c>
      <c r="G683" s="122">
        <v>-5268</v>
      </c>
      <c r="H683" s="122">
        <v>0</v>
      </c>
      <c r="I683" s="122">
        <v>5378.4</v>
      </c>
      <c r="J683" s="122">
        <v>5300</v>
      </c>
      <c r="K683" s="122">
        <v>0</v>
      </c>
      <c r="L683" s="123"/>
      <c r="M683" s="123"/>
      <c r="N683" s="123"/>
      <c r="O683" s="226">
        <v>4482</v>
      </c>
      <c r="P683" s="122">
        <v>5000</v>
      </c>
      <c r="Q683" s="122">
        <v>12</v>
      </c>
      <c r="R683" s="122">
        <v>12</v>
      </c>
      <c r="S683" s="441">
        <f t="shared" si="129"/>
        <v>5000</v>
      </c>
      <c r="T683" s="432">
        <f t="shared" si="131"/>
        <v>5000</v>
      </c>
      <c r="U683" s="62">
        <f t="shared" si="132"/>
        <v>5000</v>
      </c>
      <c r="V683" s="62">
        <f t="shared" si="133"/>
        <v>0</v>
      </c>
    </row>
    <row r="684" spans="1:23" ht="50.15" customHeight="1" x14ac:dyDescent="0.6">
      <c r="A684" s="440">
        <v>1846500840</v>
      </c>
      <c r="B684" s="120">
        <v>84</v>
      </c>
      <c r="C684" s="121" t="s">
        <v>24</v>
      </c>
      <c r="D684" s="121" t="s">
        <v>33</v>
      </c>
      <c r="E684" s="121"/>
      <c r="F684" s="121" t="s">
        <v>188</v>
      </c>
      <c r="G684" s="122">
        <v>140400</v>
      </c>
      <c r="H684" s="122">
        <v>140400</v>
      </c>
      <c r="I684" s="122">
        <v>105480</v>
      </c>
      <c r="J684" s="122">
        <v>100000</v>
      </c>
      <c r="K684" s="122">
        <v>140400</v>
      </c>
      <c r="L684" s="123"/>
      <c r="M684" s="123"/>
      <c r="N684" s="123"/>
      <c r="O684" s="226">
        <v>87900</v>
      </c>
      <c r="P684" s="122">
        <v>88000</v>
      </c>
      <c r="Q684" s="122">
        <v>12</v>
      </c>
      <c r="R684" s="122">
        <v>12</v>
      </c>
      <c r="S684" s="441">
        <f t="shared" si="129"/>
        <v>88000</v>
      </c>
      <c r="T684" s="432">
        <f t="shared" si="131"/>
        <v>-52400</v>
      </c>
      <c r="U684" s="62">
        <f t="shared" si="132"/>
        <v>-52400</v>
      </c>
      <c r="V684" s="62">
        <f t="shared" si="133"/>
        <v>0</v>
      </c>
    </row>
    <row r="685" spans="1:23" ht="50.15" customHeight="1" x14ac:dyDescent="0.6">
      <c r="A685" s="440">
        <v>1846500842</v>
      </c>
      <c r="B685" s="120">
        <v>84</v>
      </c>
      <c r="C685" s="121" t="s">
        <v>24</v>
      </c>
      <c r="D685" s="121" t="s">
        <v>33</v>
      </c>
      <c r="E685" s="121"/>
      <c r="F685" s="121" t="s">
        <v>189</v>
      </c>
      <c r="G685" s="122">
        <v>2603604</v>
      </c>
      <c r="H685" s="122">
        <v>2350000</v>
      </c>
      <c r="I685" s="122">
        <v>2790253.2</v>
      </c>
      <c r="J685" s="122">
        <v>2800000</v>
      </c>
      <c r="K685" s="122">
        <v>2350000</v>
      </c>
      <c r="L685" s="123"/>
      <c r="M685" s="123"/>
      <c r="N685" s="123"/>
      <c r="O685" s="226">
        <v>2854774</v>
      </c>
      <c r="P685" s="122">
        <v>2800000</v>
      </c>
      <c r="Q685" s="122">
        <v>12</v>
      </c>
      <c r="R685" s="122">
        <v>12</v>
      </c>
      <c r="S685" s="441">
        <f t="shared" si="129"/>
        <v>2800000</v>
      </c>
      <c r="T685" s="432">
        <f t="shared" si="131"/>
        <v>450000</v>
      </c>
      <c r="U685" s="62">
        <f t="shared" si="132"/>
        <v>450000</v>
      </c>
      <c r="V685" s="62">
        <f t="shared" si="133"/>
        <v>0</v>
      </c>
    </row>
    <row r="686" spans="1:23" ht="50.15" customHeight="1" x14ac:dyDescent="0.6">
      <c r="A686" s="440">
        <v>1846500843</v>
      </c>
      <c r="B686" s="120">
        <v>84</v>
      </c>
      <c r="C686" s="121" t="s">
        <v>24</v>
      </c>
      <c r="D686" s="121" t="s">
        <v>33</v>
      </c>
      <c r="E686" s="121"/>
      <c r="F686" s="121" t="s">
        <v>190</v>
      </c>
      <c r="G686" s="122">
        <v>406664</v>
      </c>
      <c r="H686" s="122">
        <v>450000</v>
      </c>
      <c r="I686" s="122">
        <v>457322.39999999997</v>
      </c>
      <c r="J686" s="122">
        <v>450000</v>
      </c>
      <c r="K686" s="122">
        <v>450000</v>
      </c>
      <c r="L686" s="123"/>
      <c r="M686" s="123"/>
      <c r="N686" s="123"/>
      <c r="O686" s="226">
        <v>494755</v>
      </c>
      <c r="P686" s="122">
        <v>495000</v>
      </c>
      <c r="Q686" s="122">
        <v>12</v>
      </c>
      <c r="R686" s="122">
        <v>12</v>
      </c>
      <c r="S686" s="441">
        <f t="shared" si="129"/>
        <v>495000</v>
      </c>
      <c r="T686" s="432">
        <f t="shared" si="131"/>
        <v>45000</v>
      </c>
      <c r="U686" s="62">
        <f t="shared" si="132"/>
        <v>45000</v>
      </c>
      <c r="V686" s="62">
        <f t="shared" si="133"/>
        <v>0</v>
      </c>
    </row>
    <row r="687" spans="1:23" ht="50.15" customHeight="1" x14ac:dyDescent="0.6">
      <c r="A687" s="440">
        <v>1846700840</v>
      </c>
      <c r="B687" s="120">
        <v>84</v>
      </c>
      <c r="C687" s="121" t="s">
        <v>24</v>
      </c>
      <c r="D687" s="121" t="s">
        <v>33</v>
      </c>
      <c r="E687" s="121"/>
      <c r="F687" s="121" t="s">
        <v>193</v>
      </c>
      <c r="G687" s="122">
        <v>68789</v>
      </c>
      <c r="H687" s="122">
        <v>206000</v>
      </c>
      <c r="I687" s="122">
        <v>256945.19999999998</v>
      </c>
      <c r="J687" s="122">
        <v>206000</v>
      </c>
      <c r="K687" s="122">
        <v>206000</v>
      </c>
      <c r="L687" s="123"/>
      <c r="M687" s="123"/>
      <c r="N687" s="123"/>
      <c r="O687" s="226">
        <v>225980</v>
      </c>
      <c r="P687" s="122">
        <v>226000</v>
      </c>
      <c r="Q687" s="122">
        <v>12</v>
      </c>
      <c r="R687" s="122">
        <v>12</v>
      </c>
      <c r="S687" s="441">
        <f t="shared" si="129"/>
        <v>226000</v>
      </c>
      <c r="T687" s="432">
        <f t="shared" si="131"/>
        <v>20000</v>
      </c>
      <c r="U687" s="62">
        <f t="shared" si="132"/>
        <v>20000</v>
      </c>
      <c r="V687" s="62">
        <f t="shared" si="133"/>
        <v>0</v>
      </c>
    </row>
    <row r="688" spans="1:23" ht="50.15" customHeight="1" x14ac:dyDescent="0.6">
      <c r="A688" s="440">
        <v>1846700841</v>
      </c>
      <c r="B688" s="120">
        <v>84</v>
      </c>
      <c r="C688" s="121" t="s">
        <v>24</v>
      </c>
      <c r="D688" s="121" t="s">
        <v>33</v>
      </c>
      <c r="E688" s="121"/>
      <c r="F688" s="121" t="s">
        <v>194</v>
      </c>
      <c r="G688" s="122">
        <v>80520</v>
      </c>
      <c r="H688" s="122">
        <v>40000</v>
      </c>
      <c r="I688" s="122">
        <v>205460.40000000002</v>
      </c>
      <c r="J688" s="122">
        <v>200000</v>
      </c>
      <c r="K688" s="122">
        <v>40000</v>
      </c>
      <c r="L688" s="123"/>
      <c r="M688" s="123"/>
      <c r="N688" s="123"/>
      <c r="O688" s="226">
        <v>216522</v>
      </c>
      <c r="P688" s="122">
        <v>217000</v>
      </c>
      <c r="Q688" s="122">
        <v>12</v>
      </c>
      <c r="R688" s="122">
        <v>12</v>
      </c>
      <c r="S688" s="441">
        <f t="shared" si="129"/>
        <v>217000</v>
      </c>
      <c r="T688" s="432">
        <f t="shared" si="131"/>
        <v>177000</v>
      </c>
      <c r="U688" s="62">
        <f t="shared" si="132"/>
        <v>177000</v>
      </c>
      <c r="V688" s="62">
        <f t="shared" si="133"/>
        <v>0</v>
      </c>
    </row>
    <row r="689" spans="1:22" ht="50.15" customHeight="1" x14ac:dyDescent="0.6">
      <c r="A689" s="440">
        <v>1846700842</v>
      </c>
      <c r="B689" s="120">
        <v>84</v>
      </c>
      <c r="C689" s="121" t="s">
        <v>8</v>
      </c>
      <c r="D689" s="121" t="s">
        <v>33</v>
      </c>
      <c r="E689" s="121"/>
      <c r="F689" s="121" t="s">
        <v>195</v>
      </c>
      <c r="G689" s="122">
        <v>0</v>
      </c>
      <c r="H689" s="122" t="s">
        <v>8</v>
      </c>
      <c r="I689" s="122">
        <v>0</v>
      </c>
      <c r="J689" s="122">
        <v>0</v>
      </c>
      <c r="K689" s="122">
        <v>0</v>
      </c>
      <c r="L689" s="123"/>
      <c r="M689" s="123"/>
      <c r="N689" s="123"/>
      <c r="O689" s="122">
        <v>0</v>
      </c>
      <c r="P689" s="122">
        <v>0</v>
      </c>
      <c r="Q689" s="122">
        <v>12</v>
      </c>
      <c r="R689" s="122">
        <v>12</v>
      </c>
      <c r="S689" s="441">
        <f t="shared" si="129"/>
        <v>0</v>
      </c>
      <c r="T689" s="432">
        <f t="shared" si="131"/>
        <v>0</v>
      </c>
      <c r="U689" s="62">
        <f t="shared" si="132"/>
        <v>0</v>
      </c>
      <c r="V689" s="62">
        <f t="shared" si="133"/>
        <v>0</v>
      </c>
    </row>
    <row r="690" spans="1:22" ht="50.15" customHeight="1" x14ac:dyDescent="0.6">
      <c r="A690" s="440">
        <v>1846700843</v>
      </c>
      <c r="B690" s="120">
        <v>84</v>
      </c>
      <c r="C690" s="121" t="s">
        <v>24</v>
      </c>
      <c r="D690" s="121" t="s">
        <v>33</v>
      </c>
      <c r="E690" s="121"/>
      <c r="F690" s="121" t="s">
        <v>196</v>
      </c>
      <c r="G690" s="122">
        <v>863390</v>
      </c>
      <c r="H690" s="122">
        <v>700000</v>
      </c>
      <c r="I690" s="122">
        <v>1162227.6000000001</v>
      </c>
      <c r="J690" s="122">
        <v>1100000</v>
      </c>
      <c r="K690" s="122">
        <v>700000</v>
      </c>
      <c r="L690" s="123"/>
      <c r="M690" s="123"/>
      <c r="N690" s="123"/>
      <c r="O690" s="226">
        <v>1199956</v>
      </c>
      <c r="P690" s="122">
        <v>1200000</v>
      </c>
      <c r="Q690" s="122">
        <v>12</v>
      </c>
      <c r="R690" s="122">
        <v>12</v>
      </c>
      <c r="S690" s="441">
        <f t="shared" ref="S690:S727" si="134">P690*Q690/R690</f>
        <v>1200000</v>
      </c>
      <c r="T690" s="432">
        <f t="shared" si="131"/>
        <v>500000</v>
      </c>
      <c r="U690" s="62">
        <f t="shared" si="132"/>
        <v>500000</v>
      </c>
      <c r="V690" s="62">
        <f t="shared" ref="V690:V724" si="135">S690-P690</f>
        <v>0</v>
      </c>
    </row>
    <row r="691" spans="1:22" ht="50.15" customHeight="1" x14ac:dyDescent="0.6">
      <c r="A691" s="440">
        <v>1846700845</v>
      </c>
      <c r="B691" s="120">
        <v>84</v>
      </c>
      <c r="C691" s="121" t="s">
        <v>24</v>
      </c>
      <c r="D691" s="121" t="s">
        <v>33</v>
      </c>
      <c r="E691" s="121"/>
      <c r="F691" s="121" t="s">
        <v>197</v>
      </c>
      <c r="G691" s="122">
        <v>38607</v>
      </c>
      <c r="H691" s="122">
        <v>40000</v>
      </c>
      <c r="I691" s="122">
        <v>47355.600000000006</v>
      </c>
      <c r="J691" s="122">
        <v>50000</v>
      </c>
      <c r="K691" s="122">
        <v>40000</v>
      </c>
      <c r="L691" s="123"/>
      <c r="M691" s="123"/>
      <c r="N691" s="123"/>
      <c r="O691" s="226">
        <v>52507</v>
      </c>
      <c r="P691" s="122">
        <v>53000</v>
      </c>
      <c r="Q691" s="122">
        <v>12</v>
      </c>
      <c r="R691" s="122">
        <v>12</v>
      </c>
      <c r="S691" s="441">
        <f t="shared" si="134"/>
        <v>53000</v>
      </c>
      <c r="T691" s="432">
        <f t="shared" ref="T691:T724" si="136">P691-K691</f>
        <v>13000</v>
      </c>
      <c r="U691" s="62">
        <f t="shared" ref="U691:U724" si="137">S691-K691</f>
        <v>13000</v>
      </c>
      <c r="V691" s="62">
        <f t="shared" si="135"/>
        <v>0</v>
      </c>
    </row>
    <row r="692" spans="1:22" ht="50.15" customHeight="1" x14ac:dyDescent="0.6">
      <c r="A692" s="440">
        <v>1846700846</v>
      </c>
      <c r="B692" s="120">
        <v>84</v>
      </c>
      <c r="C692" s="121" t="s">
        <v>24</v>
      </c>
      <c r="D692" s="121" t="s">
        <v>33</v>
      </c>
      <c r="E692" s="121"/>
      <c r="F692" s="121" t="s">
        <v>198</v>
      </c>
      <c r="G692" s="122">
        <v>0</v>
      </c>
      <c r="H692" s="122">
        <v>210000</v>
      </c>
      <c r="I692" s="122">
        <v>0</v>
      </c>
      <c r="J692" s="122">
        <v>210000</v>
      </c>
      <c r="K692" s="122">
        <v>210000</v>
      </c>
      <c r="L692" s="123"/>
      <c r="M692" s="123"/>
      <c r="N692" s="123"/>
      <c r="O692" s="226">
        <v>21835</v>
      </c>
      <c r="P692" s="122">
        <v>22000</v>
      </c>
      <c r="Q692" s="122">
        <v>12</v>
      </c>
      <c r="R692" s="122">
        <v>12</v>
      </c>
      <c r="S692" s="441">
        <f t="shared" si="134"/>
        <v>22000</v>
      </c>
      <c r="T692" s="432">
        <f t="shared" si="136"/>
        <v>-188000</v>
      </c>
      <c r="U692" s="62">
        <f t="shared" si="137"/>
        <v>-188000</v>
      </c>
      <c r="V692" s="62">
        <f t="shared" si="135"/>
        <v>0</v>
      </c>
    </row>
    <row r="693" spans="1:22" ht="50.15" customHeight="1" x14ac:dyDescent="0.6">
      <c r="A693" s="440">
        <v>1846700847</v>
      </c>
      <c r="B693" s="120">
        <v>84</v>
      </c>
      <c r="C693" s="121" t="s">
        <v>24</v>
      </c>
      <c r="D693" s="121" t="s">
        <v>33</v>
      </c>
      <c r="E693" s="121"/>
      <c r="F693" s="121" t="s">
        <v>199</v>
      </c>
      <c r="G693" s="122">
        <v>93694</v>
      </c>
      <c r="H693" s="122">
        <v>85000</v>
      </c>
      <c r="I693" s="122">
        <v>125992.79999999999</v>
      </c>
      <c r="J693" s="122">
        <v>125000</v>
      </c>
      <c r="K693" s="122">
        <v>85000</v>
      </c>
      <c r="L693" s="123"/>
      <c r="M693" s="123"/>
      <c r="N693" s="123"/>
      <c r="O693" s="226">
        <v>110973</v>
      </c>
      <c r="P693" s="122">
        <v>111000</v>
      </c>
      <c r="Q693" s="122">
        <v>12</v>
      </c>
      <c r="R693" s="122">
        <v>12</v>
      </c>
      <c r="S693" s="441">
        <f t="shared" si="134"/>
        <v>111000</v>
      </c>
      <c r="T693" s="432">
        <f t="shared" si="136"/>
        <v>26000</v>
      </c>
      <c r="U693" s="62">
        <f t="shared" si="137"/>
        <v>26000</v>
      </c>
      <c r="V693" s="62">
        <f t="shared" si="135"/>
        <v>0</v>
      </c>
    </row>
    <row r="694" spans="1:22" ht="50.15" customHeight="1" x14ac:dyDescent="0.6">
      <c r="A694" s="440">
        <v>1846700848</v>
      </c>
      <c r="B694" s="120">
        <v>84</v>
      </c>
      <c r="C694" s="121" t="s">
        <v>24</v>
      </c>
      <c r="D694" s="121" t="s">
        <v>33</v>
      </c>
      <c r="E694" s="121"/>
      <c r="F694" s="121" t="s">
        <v>200</v>
      </c>
      <c r="G694" s="122">
        <v>71663</v>
      </c>
      <c r="H694" s="122">
        <v>70000</v>
      </c>
      <c r="I694" s="122">
        <v>68955.600000000006</v>
      </c>
      <c r="J694" s="122">
        <v>70000</v>
      </c>
      <c r="K694" s="122">
        <v>70000</v>
      </c>
      <c r="L694" s="123"/>
      <c r="M694" s="123"/>
      <c r="N694" s="123"/>
      <c r="O694" s="226">
        <v>69811</v>
      </c>
      <c r="P694" s="122">
        <v>70000</v>
      </c>
      <c r="Q694" s="122">
        <v>12</v>
      </c>
      <c r="R694" s="122">
        <v>12</v>
      </c>
      <c r="S694" s="441">
        <f t="shared" si="134"/>
        <v>70000</v>
      </c>
      <c r="T694" s="432">
        <f t="shared" si="136"/>
        <v>0</v>
      </c>
      <c r="U694" s="62">
        <f t="shared" si="137"/>
        <v>0</v>
      </c>
      <c r="V694" s="62">
        <f t="shared" si="135"/>
        <v>0</v>
      </c>
    </row>
    <row r="695" spans="1:22" ht="50.15" customHeight="1" x14ac:dyDescent="0.6">
      <c r="A695" s="440">
        <v>1846800840</v>
      </c>
      <c r="B695" s="120">
        <v>84</v>
      </c>
      <c r="C695" s="121" t="s">
        <v>24</v>
      </c>
      <c r="D695" s="121" t="s">
        <v>33</v>
      </c>
      <c r="E695" s="121"/>
      <c r="F695" s="121" t="s">
        <v>556</v>
      </c>
      <c r="G695" s="122">
        <v>-8361</v>
      </c>
      <c r="H695" s="122">
        <v>15000</v>
      </c>
      <c r="I695" s="122">
        <v>0</v>
      </c>
      <c r="J695" s="122"/>
      <c r="K695" s="122">
        <v>15000</v>
      </c>
      <c r="L695" s="123"/>
      <c r="M695" s="123"/>
      <c r="N695" s="123"/>
      <c r="O695" s="226">
        <v>1623</v>
      </c>
      <c r="P695" s="122">
        <v>2000</v>
      </c>
      <c r="Q695" s="122">
        <v>12</v>
      </c>
      <c r="R695" s="122">
        <v>12</v>
      </c>
      <c r="S695" s="441">
        <f t="shared" si="134"/>
        <v>2000</v>
      </c>
      <c r="T695" s="432">
        <f t="shared" si="136"/>
        <v>-13000</v>
      </c>
      <c r="U695" s="62">
        <f t="shared" si="137"/>
        <v>-13000</v>
      </c>
      <c r="V695" s="62">
        <f t="shared" si="135"/>
        <v>0</v>
      </c>
    </row>
    <row r="696" spans="1:22" ht="50.15" customHeight="1" x14ac:dyDescent="0.6">
      <c r="A696" s="440">
        <v>1846800841</v>
      </c>
      <c r="B696" s="120">
        <v>84</v>
      </c>
      <c r="C696" s="121" t="s">
        <v>24</v>
      </c>
      <c r="D696" s="121" t="s">
        <v>33</v>
      </c>
      <c r="E696" s="121"/>
      <c r="F696" s="121" t="s">
        <v>202</v>
      </c>
      <c r="G696" s="122">
        <v>16749</v>
      </c>
      <c r="H696" s="122">
        <v>6000</v>
      </c>
      <c r="I696" s="122">
        <v>32084.100000000002</v>
      </c>
      <c r="J696" s="122">
        <v>20000</v>
      </c>
      <c r="K696" s="122">
        <v>6000</v>
      </c>
      <c r="L696" s="123"/>
      <c r="M696" s="123"/>
      <c r="N696" s="123"/>
      <c r="O696" s="226">
        <v>42699.75</v>
      </c>
      <c r="P696" s="122">
        <v>43000</v>
      </c>
      <c r="Q696" s="122">
        <v>12</v>
      </c>
      <c r="R696" s="122">
        <v>12</v>
      </c>
      <c r="S696" s="441">
        <f t="shared" si="134"/>
        <v>43000</v>
      </c>
      <c r="T696" s="432">
        <f t="shared" si="136"/>
        <v>37000</v>
      </c>
      <c r="U696" s="62">
        <f t="shared" si="137"/>
        <v>37000</v>
      </c>
      <c r="V696" s="62">
        <f t="shared" si="135"/>
        <v>0</v>
      </c>
    </row>
    <row r="697" spans="1:22" ht="50.15" customHeight="1" x14ac:dyDescent="0.6">
      <c r="A697" s="440">
        <v>1846800843</v>
      </c>
      <c r="B697" s="120">
        <v>84</v>
      </c>
      <c r="C697" s="121" t="s">
        <v>24</v>
      </c>
      <c r="D697" s="121" t="s">
        <v>33</v>
      </c>
      <c r="E697" s="121"/>
      <c r="F697" s="121" t="s">
        <v>204</v>
      </c>
      <c r="G697" s="122">
        <v>0</v>
      </c>
      <c r="H697" s="122">
        <v>5000</v>
      </c>
      <c r="I697" s="122">
        <v>0</v>
      </c>
      <c r="J697" s="122"/>
      <c r="K697" s="122">
        <v>5000</v>
      </c>
      <c r="L697" s="123"/>
      <c r="M697" s="123"/>
      <c r="N697" s="123"/>
      <c r="O697" s="226"/>
      <c r="P697" s="122">
        <v>0</v>
      </c>
      <c r="Q697" s="122">
        <v>12</v>
      </c>
      <c r="R697" s="122">
        <v>12</v>
      </c>
      <c r="S697" s="441">
        <f t="shared" si="134"/>
        <v>0</v>
      </c>
      <c r="T697" s="432">
        <f t="shared" si="136"/>
        <v>-5000</v>
      </c>
      <c r="U697" s="62">
        <f t="shared" si="137"/>
        <v>-5000</v>
      </c>
      <c r="V697" s="62">
        <f t="shared" si="135"/>
        <v>0</v>
      </c>
    </row>
    <row r="698" spans="1:22" ht="50.15" customHeight="1" x14ac:dyDescent="0.6">
      <c r="A698" s="440">
        <v>1847100841</v>
      </c>
      <c r="B698" s="120">
        <v>84</v>
      </c>
      <c r="C698" s="121" t="s">
        <v>24</v>
      </c>
      <c r="D698" s="121" t="s">
        <v>33</v>
      </c>
      <c r="E698" s="121"/>
      <c r="F698" s="121" t="s">
        <v>205</v>
      </c>
      <c r="G698" s="122">
        <v>0</v>
      </c>
      <c r="H698" s="122">
        <v>20000</v>
      </c>
      <c r="I698" s="122">
        <v>0</v>
      </c>
      <c r="J698" s="122">
        <v>10000</v>
      </c>
      <c r="K698" s="122">
        <v>20000</v>
      </c>
      <c r="L698" s="123"/>
      <c r="M698" s="123"/>
      <c r="N698" s="123"/>
      <c r="O698" s="226"/>
      <c r="P698" s="122">
        <v>0</v>
      </c>
      <c r="Q698" s="122">
        <v>12</v>
      </c>
      <c r="R698" s="122">
        <v>12</v>
      </c>
      <c r="S698" s="441">
        <f t="shared" si="134"/>
        <v>0</v>
      </c>
      <c r="T698" s="432">
        <f t="shared" si="136"/>
        <v>-20000</v>
      </c>
      <c r="U698" s="62">
        <f t="shared" si="137"/>
        <v>-20000</v>
      </c>
      <c r="V698" s="62">
        <f t="shared" si="135"/>
        <v>0</v>
      </c>
    </row>
    <row r="699" spans="1:22" ht="50.15" customHeight="1" x14ac:dyDescent="0.6">
      <c r="A699" s="440">
        <v>1847100842</v>
      </c>
      <c r="B699" s="120">
        <v>84</v>
      </c>
      <c r="C699" s="121" t="s">
        <v>24</v>
      </c>
      <c r="D699" s="121" t="s">
        <v>33</v>
      </c>
      <c r="E699" s="121"/>
      <c r="F699" s="121" t="s">
        <v>206</v>
      </c>
      <c r="G699" s="122">
        <v>97</v>
      </c>
      <c r="H699" s="122">
        <v>12637</v>
      </c>
      <c r="I699" s="122">
        <v>36062.399999999994</v>
      </c>
      <c r="J699" s="122">
        <v>32000</v>
      </c>
      <c r="K699" s="122">
        <v>12637</v>
      </c>
      <c r="L699" s="123"/>
      <c r="M699" s="123"/>
      <c r="N699" s="123"/>
      <c r="O699" s="226">
        <v>30052</v>
      </c>
      <c r="P699" s="122">
        <v>32000</v>
      </c>
      <c r="Q699" s="122">
        <v>12</v>
      </c>
      <c r="R699" s="122">
        <v>12</v>
      </c>
      <c r="S699" s="441">
        <f t="shared" si="134"/>
        <v>32000</v>
      </c>
      <c r="T699" s="432">
        <f t="shared" si="136"/>
        <v>19363</v>
      </c>
      <c r="U699" s="62">
        <f t="shared" si="137"/>
        <v>19363</v>
      </c>
      <c r="V699" s="62">
        <f t="shared" si="135"/>
        <v>0</v>
      </c>
    </row>
    <row r="700" spans="1:22" ht="50.15" customHeight="1" x14ac:dyDescent="0.6">
      <c r="A700" s="440">
        <v>1847100845</v>
      </c>
      <c r="B700" s="120">
        <v>84</v>
      </c>
      <c r="C700" s="121" t="s">
        <v>24</v>
      </c>
      <c r="D700" s="121" t="s">
        <v>33</v>
      </c>
      <c r="E700" s="121"/>
      <c r="F700" s="121" t="s">
        <v>207</v>
      </c>
      <c r="G700" s="122">
        <v>0</v>
      </c>
      <c r="H700" s="122">
        <v>20000</v>
      </c>
      <c r="I700" s="122">
        <v>0</v>
      </c>
      <c r="J700" s="122">
        <v>30000</v>
      </c>
      <c r="K700" s="122">
        <v>20000</v>
      </c>
      <c r="L700" s="123"/>
      <c r="M700" s="123"/>
      <c r="N700" s="123"/>
      <c r="O700" s="226"/>
      <c r="P700" s="122">
        <v>0</v>
      </c>
      <c r="Q700" s="122">
        <v>12</v>
      </c>
      <c r="R700" s="122">
        <v>12</v>
      </c>
      <c r="S700" s="441">
        <f t="shared" si="134"/>
        <v>0</v>
      </c>
      <c r="T700" s="432">
        <f t="shared" si="136"/>
        <v>-20000</v>
      </c>
      <c r="U700" s="62">
        <f t="shared" si="137"/>
        <v>-20000</v>
      </c>
      <c r="V700" s="62">
        <f t="shared" si="135"/>
        <v>0</v>
      </c>
    </row>
    <row r="701" spans="1:22" ht="50.15" customHeight="1" x14ac:dyDescent="0.6">
      <c r="A701" s="440">
        <v>1847100846</v>
      </c>
      <c r="B701" s="120">
        <v>84</v>
      </c>
      <c r="C701" s="121" t="s">
        <v>24</v>
      </c>
      <c r="D701" s="121" t="s">
        <v>33</v>
      </c>
      <c r="E701" s="121"/>
      <c r="F701" s="121" t="s">
        <v>208</v>
      </c>
      <c r="G701" s="122">
        <v>267046</v>
      </c>
      <c r="H701" s="122">
        <v>272000</v>
      </c>
      <c r="I701" s="122">
        <v>295014</v>
      </c>
      <c r="J701" s="122">
        <v>272000</v>
      </c>
      <c r="K701" s="122">
        <v>272000</v>
      </c>
      <c r="L701" s="123"/>
      <c r="M701" s="123"/>
      <c r="N701" s="123"/>
      <c r="O701" s="226">
        <v>287747</v>
      </c>
      <c r="P701" s="122">
        <v>288000</v>
      </c>
      <c r="Q701" s="122">
        <v>12</v>
      </c>
      <c r="R701" s="122">
        <v>12</v>
      </c>
      <c r="S701" s="441">
        <f t="shared" si="134"/>
        <v>288000</v>
      </c>
      <c r="T701" s="432">
        <f t="shared" si="136"/>
        <v>16000</v>
      </c>
      <c r="U701" s="62">
        <f t="shared" si="137"/>
        <v>16000</v>
      </c>
      <c r="V701" s="62">
        <f t="shared" si="135"/>
        <v>0</v>
      </c>
    </row>
    <row r="702" spans="1:22" ht="50.15" customHeight="1" x14ac:dyDescent="0.6">
      <c r="A702" s="440">
        <v>1847100847</v>
      </c>
      <c r="B702" s="120">
        <v>84</v>
      </c>
      <c r="C702" s="121" t="s">
        <v>24</v>
      </c>
      <c r="D702" s="121" t="s">
        <v>33</v>
      </c>
      <c r="E702" s="121"/>
      <c r="F702" s="121" t="s">
        <v>209</v>
      </c>
      <c r="G702" s="122">
        <v>1210.1500000000001</v>
      </c>
      <c r="H702" s="122">
        <v>41000</v>
      </c>
      <c r="I702" s="122">
        <v>4823.6399999999994</v>
      </c>
      <c r="J702" s="122">
        <v>10000</v>
      </c>
      <c r="K702" s="122">
        <v>41000</v>
      </c>
      <c r="L702" s="123">
        <v>0</v>
      </c>
      <c r="M702" s="123">
        <v>0</v>
      </c>
      <c r="N702" s="123"/>
      <c r="O702" s="226">
        <v>4019.7</v>
      </c>
      <c r="P702" s="122">
        <v>5000</v>
      </c>
      <c r="Q702" s="122">
        <v>12</v>
      </c>
      <c r="R702" s="122">
        <v>12</v>
      </c>
      <c r="S702" s="441">
        <f t="shared" si="134"/>
        <v>5000</v>
      </c>
      <c r="T702" s="432">
        <f t="shared" si="136"/>
        <v>-36000</v>
      </c>
      <c r="U702" s="62">
        <f t="shared" si="137"/>
        <v>-36000</v>
      </c>
      <c r="V702" s="62">
        <f t="shared" si="135"/>
        <v>0</v>
      </c>
    </row>
    <row r="703" spans="1:22" ht="50.15" customHeight="1" x14ac:dyDescent="0.6">
      <c r="A703" s="440">
        <v>1847300840</v>
      </c>
      <c r="B703" s="120">
        <v>84</v>
      </c>
      <c r="C703" s="121" t="s">
        <v>24</v>
      </c>
      <c r="D703" s="121" t="s">
        <v>33</v>
      </c>
      <c r="E703" s="121"/>
      <c r="F703" s="121" t="s">
        <v>557</v>
      </c>
      <c r="G703" s="122">
        <v>2579.9</v>
      </c>
      <c r="H703" s="122">
        <v>3000</v>
      </c>
      <c r="I703" s="122">
        <v>3102</v>
      </c>
      <c r="J703" s="122">
        <v>3000</v>
      </c>
      <c r="K703" s="122">
        <v>3000</v>
      </c>
      <c r="L703" s="123"/>
      <c r="M703" s="123"/>
      <c r="N703" s="123"/>
      <c r="O703" s="226">
        <v>2585</v>
      </c>
      <c r="P703" s="122">
        <v>3000</v>
      </c>
      <c r="Q703" s="122">
        <v>12</v>
      </c>
      <c r="R703" s="122">
        <v>12</v>
      </c>
      <c r="S703" s="441">
        <f t="shared" si="134"/>
        <v>3000</v>
      </c>
      <c r="T703" s="432">
        <f t="shared" si="136"/>
        <v>0</v>
      </c>
      <c r="U703" s="62">
        <f t="shared" si="137"/>
        <v>0</v>
      </c>
      <c r="V703" s="62">
        <f t="shared" si="135"/>
        <v>0</v>
      </c>
    </row>
    <row r="704" spans="1:22" ht="50.15" customHeight="1" x14ac:dyDescent="0.6">
      <c r="A704" s="440">
        <v>1847300841</v>
      </c>
      <c r="B704" s="120">
        <v>84</v>
      </c>
      <c r="C704" s="121" t="s">
        <v>24</v>
      </c>
      <c r="D704" s="121" t="s">
        <v>33</v>
      </c>
      <c r="E704" s="121"/>
      <c r="F704" s="121" t="s">
        <v>211</v>
      </c>
      <c r="G704" s="122">
        <v>178365</v>
      </c>
      <c r="H704" s="122">
        <v>240000</v>
      </c>
      <c r="I704" s="122">
        <v>168381.59999999998</v>
      </c>
      <c r="J704" s="122"/>
      <c r="K704" s="122">
        <v>240000</v>
      </c>
      <c r="L704" s="123"/>
      <c r="M704" s="123"/>
      <c r="N704" s="123"/>
      <c r="O704" s="226">
        <v>140318</v>
      </c>
      <c r="P704" s="122">
        <v>140000</v>
      </c>
      <c r="Q704" s="122">
        <v>12</v>
      </c>
      <c r="R704" s="122">
        <v>12</v>
      </c>
      <c r="S704" s="441">
        <f t="shared" si="134"/>
        <v>140000</v>
      </c>
      <c r="T704" s="432">
        <f t="shared" si="136"/>
        <v>-100000</v>
      </c>
      <c r="U704" s="62">
        <f t="shared" si="137"/>
        <v>-100000</v>
      </c>
      <c r="V704" s="62">
        <f t="shared" si="135"/>
        <v>0</v>
      </c>
    </row>
    <row r="705" spans="1:22" ht="50.15" customHeight="1" x14ac:dyDescent="0.6">
      <c r="A705" s="440">
        <v>1847310840</v>
      </c>
      <c r="B705" s="120">
        <v>84</v>
      </c>
      <c r="C705" s="121" t="s">
        <v>8</v>
      </c>
      <c r="D705" s="121" t="s">
        <v>33</v>
      </c>
      <c r="E705" s="121"/>
      <c r="F705" s="121" t="s">
        <v>558</v>
      </c>
      <c r="G705" s="122">
        <v>0</v>
      </c>
      <c r="H705" s="122" t="s">
        <v>8</v>
      </c>
      <c r="I705" s="122">
        <v>0</v>
      </c>
      <c r="J705" s="122">
        <v>0</v>
      </c>
      <c r="K705" s="122">
        <v>0</v>
      </c>
      <c r="L705" s="123"/>
      <c r="M705" s="123"/>
      <c r="N705" s="123"/>
      <c r="O705" s="226"/>
      <c r="P705" s="122">
        <v>0</v>
      </c>
      <c r="Q705" s="122">
        <v>12</v>
      </c>
      <c r="R705" s="122">
        <v>12</v>
      </c>
      <c r="S705" s="441">
        <f t="shared" si="134"/>
        <v>0</v>
      </c>
      <c r="T705" s="432">
        <f t="shared" si="136"/>
        <v>0</v>
      </c>
      <c r="U705" s="62">
        <f t="shared" si="137"/>
        <v>0</v>
      </c>
      <c r="V705" s="62">
        <f t="shared" si="135"/>
        <v>0</v>
      </c>
    </row>
    <row r="706" spans="1:22" ht="50.15" customHeight="1" x14ac:dyDescent="0.6">
      <c r="A706" s="440">
        <v>1847400841</v>
      </c>
      <c r="B706" s="120">
        <v>84</v>
      </c>
      <c r="C706" s="121" t="s">
        <v>8</v>
      </c>
      <c r="D706" s="121" t="s">
        <v>33</v>
      </c>
      <c r="E706" s="121"/>
      <c r="F706" s="121" t="s">
        <v>212</v>
      </c>
      <c r="G706" s="122">
        <v>0</v>
      </c>
      <c r="H706" s="122" t="s">
        <v>8</v>
      </c>
      <c r="I706" s="122">
        <v>0</v>
      </c>
      <c r="J706" s="122">
        <v>0</v>
      </c>
      <c r="K706" s="122">
        <v>0</v>
      </c>
      <c r="L706" s="123"/>
      <c r="M706" s="123"/>
      <c r="N706" s="123"/>
      <c r="O706" s="122">
        <v>0</v>
      </c>
      <c r="P706" s="122">
        <v>0</v>
      </c>
      <c r="Q706" s="122">
        <v>12</v>
      </c>
      <c r="R706" s="122">
        <v>12</v>
      </c>
      <c r="S706" s="441">
        <f t="shared" si="134"/>
        <v>0</v>
      </c>
      <c r="T706" s="432">
        <f t="shared" si="136"/>
        <v>0</v>
      </c>
      <c r="U706" s="62">
        <f t="shared" si="137"/>
        <v>0</v>
      </c>
      <c r="V706" s="62">
        <f t="shared" si="135"/>
        <v>0</v>
      </c>
    </row>
    <row r="707" spans="1:22" ht="50.15" customHeight="1" x14ac:dyDescent="0.6">
      <c r="A707" s="440">
        <v>1848200840</v>
      </c>
      <c r="B707" s="120">
        <v>84</v>
      </c>
      <c r="C707" s="121" t="s">
        <v>24</v>
      </c>
      <c r="D707" s="121" t="s">
        <v>33</v>
      </c>
      <c r="E707" s="121"/>
      <c r="F707" s="121" t="s">
        <v>213</v>
      </c>
      <c r="G707" s="122">
        <v>4718.5</v>
      </c>
      <c r="H707" s="122">
        <v>4000</v>
      </c>
      <c r="I707" s="122">
        <v>4686.12</v>
      </c>
      <c r="J707" s="122">
        <v>4000</v>
      </c>
      <c r="K707" s="122">
        <v>4000</v>
      </c>
      <c r="L707" s="123"/>
      <c r="M707" s="123"/>
      <c r="N707" s="123"/>
      <c r="O707" s="226">
        <v>3905.1</v>
      </c>
      <c r="P707" s="122">
        <v>4000</v>
      </c>
      <c r="Q707" s="122">
        <v>12</v>
      </c>
      <c r="R707" s="122">
        <v>12</v>
      </c>
      <c r="S707" s="441">
        <f t="shared" si="134"/>
        <v>4000</v>
      </c>
      <c r="T707" s="432">
        <f t="shared" si="136"/>
        <v>0</v>
      </c>
      <c r="U707" s="62">
        <f t="shared" si="137"/>
        <v>0</v>
      </c>
      <c r="V707" s="62">
        <f t="shared" si="135"/>
        <v>0</v>
      </c>
    </row>
    <row r="708" spans="1:22" ht="50.15" customHeight="1" x14ac:dyDescent="0.6">
      <c r="A708" s="440">
        <v>1848300840</v>
      </c>
      <c r="B708" s="120">
        <v>84</v>
      </c>
      <c r="C708" s="121" t="s">
        <v>24</v>
      </c>
      <c r="D708" s="121" t="s">
        <v>33</v>
      </c>
      <c r="E708" s="121"/>
      <c r="F708" s="121" t="s">
        <v>559</v>
      </c>
      <c r="G708" s="122">
        <v>0</v>
      </c>
      <c r="H708" s="122">
        <v>5000</v>
      </c>
      <c r="I708" s="122">
        <v>0</v>
      </c>
      <c r="J708" s="122">
        <v>5000</v>
      </c>
      <c r="K708" s="122">
        <v>5000</v>
      </c>
      <c r="L708" s="123"/>
      <c r="M708" s="123"/>
      <c r="N708" s="123"/>
      <c r="O708" s="122">
        <v>0</v>
      </c>
      <c r="P708" s="122">
        <v>0</v>
      </c>
      <c r="Q708" s="122">
        <v>12</v>
      </c>
      <c r="R708" s="122">
        <v>12</v>
      </c>
      <c r="S708" s="441">
        <f t="shared" si="134"/>
        <v>0</v>
      </c>
      <c r="T708" s="432">
        <f t="shared" si="136"/>
        <v>-5000</v>
      </c>
      <c r="U708" s="62">
        <f t="shared" si="137"/>
        <v>-5000</v>
      </c>
      <c r="V708" s="62">
        <f t="shared" si="135"/>
        <v>0</v>
      </c>
    </row>
    <row r="709" spans="1:22" ht="50.15" customHeight="1" x14ac:dyDescent="0.6">
      <c r="A709" s="440">
        <v>1848400840</v>
      </c>
      <c r="B709" s="120">
        <v>84</v>
      </c>
      <c r="C709" s="121" t="s">
        <v>24</v>
      </c>
      <c r="D709" s="121" t="s">
        <v>33</v>
      </c>
      <c r="E709" s="121"/>
      <c r="F709" s="121" t="s">
        <v>560</v>
      </c>
      <c r="G709" s="122">
        <v>840</v>
      </c>
      <c r="H709" s="122" t="s">
        <v>8</v>
      </c>
      <c r="I709" s="122">
        <v>0</v>
      </c>
      <c r="J709" s="122">
        <v>0</v>
      </c>
      <c r="K709" s="122">
        <v>0</v>
      </c>
      <c r="L709" s="123"/>
      <c r="M709" s="123"/>
      <c r="N709" s="123"/>
      <c r="O709" s="122">
        <v>0</v>
      </c>
      <c r="P709" s="122">
        <v>0</v>
      </c>
      <c r="Q709" s="122">
        <v>12</v>
      </c>
      <c r="R709" s="122">
        <v>12</v>
      </c>
      <c r="S709" s="441">
        <f t="shared" si="134"/>
        <v>0</v>
      </c>
      <c r="T709" s="432">
        <f t="shared" si="136"/>
        <v>0</v>
      </c>
      <c r="U709" s="62">
        <f t="shared" si="137"/>
        <v>0</v>
      </c>
      <c r="V709" s="62">
        <f t="shared" si="135"/>
        <v>0</v>
      </c>
    </row>
    <row r="710" spans="1:22" ht="50.15" customHeight="1" x14ac:dyDescent="0.6">
      <c r="A710" s="440">
        <v>1848500110</v>
      </c>
      <c r="B710" s="120">
        <v>84</v>
      </c>
      <c r="C710" s="121" t="s">
        <v>8</v>
      </c>
      <c r="D710" s="121" t="s">
        <v>33</v>
      </c>
      <c r="E710" s="121"/>
      <c r="F710" s="121" t="s">
        <v>561</v>
      </c>
      <c r="G710" s="122">
        <v>0</v>
      </c>
      <c r="H710" s="122" t="s">
        <v>8</v>
      </c>
      <c r="I710" s="122">
        <v>0</v>
      </c>
      <c r="J710" s="122">
        <v>0</v>
      </c>
      <c r="K710" s="122">
        <v>0</v>
      </c>
      <c r="L710" s="123">
        <v>0</v>
      </c>
      <c r="M710" s="123">
        <v>0</v>
      </c>
      <c r="N710" s="123"/>
      <c r="O710" s="122">
        <v>0</v>
      </c>
      <c r="P710" s="122">
        <v>0</v>
      </c>
      <c r="Q710" s="122">
        <v>12</v>
      </c>
      <c r="R710" s="122">
        <v>12</v>
      </c>
      <c r="S710" s="441">
        <f t="shared" si="134"/>
        <v>0</v>
      </c>
      <c r="T710" s="432">
        <f t="shared" si="136"/>
        <v>0</v>
      </c>
      <c r="U710" s="62">
        <f t="shared" si="137"/>
        <v>0</v>
      </c>
      <c r="V710" s="62">
        <f t="shared" si="135"/>
        <v>0</v>
      </c>
    </row>
    <row r="711" spans="1:22" ht="50.15" customHeight="1" x14ac:dyDescent="0.6">
      <c r="A711" s="440">
        <v>1848500840</v>
      </c>
      <c r="B711" s="120">
        <v>84</v>
      </c>
      <c r="C711" s="121" t="s">
        <v>24</v>
      </c>
      <c r="D711" s="121" t="s">
        <v>33</v>
      </c>
      <c r="E711" s="121"/>
      <c r="F711" s="121" t="s">
        <v>562</v>
      </c>
      <c r="G711" s="122">
        <v>0</v>
      </c>
      <c r="H711" s="122" t="s">
        <v>8</v>
      </c>
      <c r="I711" s="122">
        <v>1544.3999999999999</v>
      </c>
      <c r="J711" s="122">
        <v>100000</v>
      </c>
      <c r="K711" s="122">
        <v>0</v>
      </c>
      <c r="L711" s="123"/>
      <c r="M711" s="123"/>
      <c r="N711" s="123"/>
      <c r="O711" s="226">
        <v>1287</v>
      </c>
      <c r="P711" s="122">
        <v>1300</v>
      </c>
      <c r="Q711" s="122">
        <v>12</v>
      </c>
      <c r="R711" s="122">
        <v>12</v>
      </c>
      <c r="S711" s="441">
        <f t="shared" si="134"/>
        <v>1300</v>
      </c>
      <c r="T711" s="432">
        <f t="shared" si="136"/>
        <v>1300</v>
      </c>
      <c r="U711" s="62">
        <f t="shared" si="137"/>
        <v>1300</v>
      </c>
      <c r="V711" s="62">
        <f t="shared" si="135"/>
        <v>0</v>
      </c>
    </row>
    <row r="712" spans="1:22" ht="50.15" customHeight="1" x14ac:dyDescent="0.6">
      <c r="A712" s="440">
        <v>1849000843</v>
      </c>
      <c r="B712" s="120">
        <v>84</v>
      </c>
      <c r="C712" s="121" t="s">
        <v>24</v>
      </c>
      <c r="D712" s="121" t="s">
        <v>33</v>
      </c>
      <c r="E712" s="121"/>
      <c r="F712" s="121" t="s">
        <v>215</v>
      </c>
      <c r="G712" s="122">
        <v>500</v>
      </c>
      <c r="H712" s="122">
        <v>10000</v>
      </c>
      <c r="I712" s="122">
        <v>1200</v>
      </c>
      <c r="J712" s="122">
        <v>5000</v>
      </c>
      <c r="K712" s="122">
        <v>10000</v>
      </c>
      <c r="L712" s="123"/>
      <c r="M712" s="123"/>
      <c r="N712" s="123"/>
      <c r="O712" s="226">
        <v>6900</v>
      </c>
      <c r="P712" s="122">
        <v>7000</v>
      </c>
      <c r="Q712" s="122">
        <v>12</v>
      </c>
      <c r="R712" s="122">
        <v>12</v>
      </c>
      <c r="S712" s="441">
        <f t="shared" si="134"/>
        <v>7000</v>
      </c>
      <c r="T712" s="432">
        <f t="shared" si="136"/>
        <v>-3000</v>
      </c>
      <c r="U712" s="62">
        <f t="shared" si="137"/>
        <v>-3000</v>
      </c>
      <c r="V712" s="62">
        <f t="shared" si="135"/>
        <v>0</v>
      </c>
    </row>
    <row r="713" spans="1:22" ht="50.15" customHeight="1" x14ac:dyDescent="0.6">
      <c r="A713" s="440">
        <v>1849000844</v>
      </c>
      <c r="B713" s="120">
        <v>84</v>
      </c>
      <c r="C713" s="121" t="s">
        <v>24</v>
      </c>
      <c r="D713" s="121" t="s">
        <v>33</v>
      </c>
      <c r="E713" s="121"/>
      <c r="F713" s="121" t="s">
        <v>216</v>
      </c>
      <c r="G713" s="122">
        <v>1000</v>
      </c>
      <c r="H713" s="122">
        <v>5000</v>
      </c>
      <c r="I713" s="122">
        <v>0</v>
      </c>
      <c r="J713" s="122">
        <v>5000</v>
      </c>
      <c r="K713" s="122">
        <v>5000</v>
      </c>
      <c r="L713" s="123"/>
      <c r="M713" s="123"/>
      <c r="N713" s="123"/>
      <c r="O713" s="122">
        <v>0</v>
      </c>
      <c r="P713" s="122">
        <v>0</v>
      </c>
      <c r="Q713" s="122">
        <v>12</v>
      </c>
      <c r="R713" s="122">
        <v>12</v>
      </c>
      <c r="S713" s="441">
        <f t="shared" si="134"/>
        <v>0</v>
      </c>
      <c r="T713" s="432">
        <f t="shared" si="136"/>
        <v>-5000</v>
      </c>
      <c r="U713" s="62">
        <f t="shared" si="137"/>
        <v>-5000</v>
      </c>
      <c r="V713" s="62">
        <f t="shared" si="135"/>
        <v>0</v>
      </c>
    </row>
    <row r="714" spans="1:22" ht="50.15" customHeight="1" x14ac:dyDescent="0.6">
      <c r="A714" s="440">
        <v>1849000845</v>
      </c>
      <c r="B714" s="120">
        <v>84</v>
      </c>
      <c r="C714" s="121" t="s">
        <v>24</v>
      </c>
      <c r="D714" s="121" t="s">
        <v>33</v>
      </c>
      <c r="E714" s="121"/>
      <c r="F714" s="121" t="s">
        <v>563</v>
      </c>
      <c r="G714" s="122">
        <v>32808</v>
      </c>
      <c r="H714" s="122">
        <v>10000</v>
      </c>
      <c r="I714" s="122">
        <v>16196.400000000001</v>
      </c>
      <c r="J714" s="122">
        <v>20000</v>
      </c>
      <c r="K714" s="122">
        <v>10000</v>
      </c>
      <c r="L714" s="123"/>
      <c r="M714" s="123"/>
      <c r="N714" s="123"/>
      <c r="O714" s="226">
        <v>64486</v>
      </c>
      <c r="P714" s="122">
        <v>65000</v>
      </c>
      <c r="Q714" s="122">
        <v>12</v>
      </c>
      <c r="R714" s="122">
        <v>12</v>
      </c>
      <c r="S714" s="441">
        <f t="shared" si="134"/>
        <v>65000</v>
      </c>
      <c r="T714" s="432">
        <f t="shared" si="136"/>
        <v>55000</v>
      </c>
      <c r="U714" s="62">
        <f t="shared" si="137"/>
        <v>55000</v>
      </c>
      <c r="V714" s="62">
        <f t="shared" si="135"/>
        <v>0</v>
      </c>
    </row>
    <row r="715" spans="1:22" ht="50.15" customHeight="1" x14ac:dyDescent="0.6">
      <c r="A715" s="440">
        <v>1849000846</v>
      </c>
      <c r="B715" s="120">
        <v>84</v>
      </c>
      <c r="C715" s="121" t="s">
        <v>24</v>
      </c>
      <c r="D715" s="121" t="s">
        <v>33</v>
      </c>
      <c r="E715" s="121"/>
      <c r="F715" s="121" t="s">
        <v>564</v>
      </c>
      <c r="G715" s="122">
        <v>55644</v>
      </c>
      <c r="H715" s="122">
        <v>0</v>
      </c>
      <c r="I715" s="122">
        <v>376267.19999999995</v>
      </c>
      <c r="J715" s="122">
        <v>370000</v>
      </c>
      <c r="K715" s="122">
        <v>0</v>
      </c>
      <c r="L715" s="123"/>
      <c r="M715" s="123"/>
      <c r="N715" s="123"/>
      <c r="O715" s="226">
        <v>383717</v>
      </c>
      <c r="P715" s="122">
        <v>384000</v>
      </c>
      <c r="Q715" s="122">
        <v>12</v>
      </c>
      <c r="R715" s="122">
        <v>12</v>
      </c>
      <c r="S715" s="441">
        <f t="shared" si="134"/>
        <v>384000</v>
      </c>
      <c r="T715" s="432">
        <f t="shared" si="136"/>
        <v>384000</v>
      </c>
      <c r="U715" s="62">
        <f t="shared" si="137"/>
        <v>384000</v>
      </c>
      <c r="V715" s="62">
        <f t="shared" si="135"/>
        <v>0</v>
      </c>
    </row>
    <row r="716" spans="1:22" ht="50.15" customHeight="1" x14ac:dyDescent="0.6">
      <c r="A716" s="440">
        <v>1849000847</v>
      </c>
      <c r="B716" s="120">
        <v>84</v>
      </c>
      <c r="C716" s="121" t="s">
        <v>24</v>
      </c>
      <c r="D716" s="121" t="s">
        <v>33</v>
      </c>
      <c r="E716" s="121"/>
      <c r="F716" s="121" t="s">
        <v>218</v>
      </c>
      <c r="G716" s="122">
        <v>0</v>
      </c>
      <c r="H716" s="122">
        <v>5000</v>
      </c>
      <c r="I716" s="122">
        <v>0</v>
      </c>
      <c r="J716" s="122">
        <v>5000</v>
      </c>
      <c r="K716" s="122">
        <v>5000</v>
      </c>
      <c r="L716" s="123"/>
      <c r="M716" s="123"/>
      <c r="N716" s="123"/>
      <c r="O716" s="122">
        <v>0</v>
      </c>
      <c r="P716" s="122">
        <v>0</v>
      </c>
      <c r="Q716" s="122">
        <v>12</v>
      </c>
      <c r="R716" s="122">
        <v>12</v>
      </c>
      <c r="S716" s="441">
        <f t="shared" si="134"/>
        <v>0</v>
      </c>
      <c r="T716" s="432">
        <f t="shared" si="136"/>
        <v>-5000</v>
      </c>
      <c r="U716" s="62">
        <f t="shared" si="137"/>
        <v>-5000</v>
      </c>
      <c r="V716" s="62">
        <f t="shared" si="135"/>
        <v>0</v>
      </c>
    </row>
    <row r="717" spans="1:22" ht="50.15" customHeight="1" x14ac:dyDescent="0.6">
      <c r="A717" s="440">
        <v>1849200840</v>
      </c>
      <c r="B717" s="120">
        <v>84</v>
      </c>
      <c r="C717" s="121" t="s">
        <v>24</v>
      </c>
      <c r="D717" s="121" t="s">
        <v>33</v>
      </c>
      <c r="E717" s="121"/>
      <c r="F717" s="121" t="s">
        <v>219</v>
      </c>
      <c r="G717" s="122">
        <v>13640</v>
      </c>
      <c r="H717" s="122">
        <v>33000</v>
      </c>
      <c r="I717" s="122">
        <v>0</v>
      </c>
      <c r="J717" s="122">
        <v>15000</v>
      </c>
      <c r="K717" s="122">
        <v>33000</v>
      </c>
      <c r="L717" s="123"/>
      <c r="M717" s="123"/>
      <c r="N717" s="123"/>
      <c r="O717" s="226">
        <v>9586</v>
      </c>
      <c r="P717" s="122">
        <v>10000</v>
      </c>
      <c r="Q717" s="122">
        <v>12</v>
      </c>
      <c r="R717" s="122">
        <v>12</v>
      </c>
      <c r="S717" s="441">
        <f t="shared" si="134"/>
        <v>10000</v>
      </c>
      <c r="T717" s="432">
        <f t="shared" si="136"/>
        <v>-23000</v>
      </c>
      <c r="U717" s="62">
        <f t="shared" si="137"/>
        <v>-23000</v>
      </c>
      <c r="V717" s="62">
        <f t="shared" si="135"/>
        <v>0</v>
      </c>
    </row>
    <row r="718" spans="1:22" ht="50.15" customHeight="1" x14ac:dyDescent="0.6">
      <c r="A718" s="440">
        <v>1849900750</v>
      </c>
      <c r="B718" s="120">
        <v>84</v>
      </c>
      <c r="C718" s="121" t="s">
        <v>24</v>
      </c>
      <c r="D718" s="121" t="s">
        <v>33</v>
      </c>
      <c r="E718" s="121"/>
      <c r="F718" s="121" t="s">
        <v>2159</v>
      </c>
      <c r="G718" s="122"/>
      <c r="H718" s="122">
        <v>0</v>
      </c>
      <c r="I718" s="122"/>
      <c r="J718" s="122"/>
      <c r="K718" s="122">
        <v>0</v>
      </c>
      <c r="L718" s="123"/>
      <c r="M718" s="123"/>
      <c r="N718" s="123"/>
      <c r="O718" s="282">
        <f>11115*12/2</f>
        <v>66690</v>
      </c>
      <c r="P718" s="282">
        <f>11115*12/2</f>
        <v>66690</v>
      </c>
      <c r="Q718" s="122">
        <v>12</v>
      </c>
      <c r="R718" s="122">
        <v>12</v>
      </c>
      <c r="S718" s="441">
        <f t="shared" si="134"/>
        <v>66690</v>
      </c>
      <c r="T718" s="432">
        <f t="shared" si="136"/>
        <v>66690</v>
      </c>
      <c r="U718" s="62">
        <f t="shared" si="137"/>
        <v>66690</v>
      </c>
      <c r="V718" s="62">
        <f t="shared" si="135"/>
        <v>0</v>
      </c>
    </row>
    <row r="719" spans="1:22" ht="50.15" customHeight="1" x14ac:dyDescent="0.6">
      <c r="A719" s="440" t="s">
        <v>1</v>
      </c>
      <c r="B719" s="120">
        <v>84</v>
      </c>
      <c r="C719" s="121" t="s">
        <v>30</v>
      </c>
      <c r="D719" s="121" t="s">
        <v>33</v>
      </c>
      <c r="E719" s="121"/>
      <c r="F719" s="121" t="s">
        <v>582</v>
      </c>
      <c r="G719" s="122" t="s">
        <v>8</v>
      </c>
      <c r="H719" s="122" t="s">
        <v>8</v>
      </c>
      <c r="I719" s="122">
        <v>0</v>
      </c>
      <c r="J719" s="122"/>
      <c r="K719" s="122">
        <v>600000</v>
      </c>
      <c r="L719" s="123"/>
      <c r="M719" s="123"/>
      <c r="N719" s="123"/>
      <c r="O719" s="122">
        <v>0</v>
      </c>
      <c r="P719" s="122"/>
      <c r="Q719" s="122">
        <v>12</v>
      </c>
      <c r="R719" s="122">
        <v>12</v>
      </c>
      <c r="S719" s="441">
        <f t="shared" si="134"/>
        <v>0</v>
      </c>
      <c r="T719" s="432">
        <f t="shared" si="136"/>
        <v>-600000</v>
      </c>
      <c r="U719" s="62">
        <f t="shared" si="137"/>
        <v>-600000</v>
      </c>
      <c r="V719" s="62">
        <f t="shared" si="135"/>
        <v>0</v>
      </c>
    </row>
    <row r="720" spans="1:22" ht="50.15" customHeight="1" x14ac:dyDescent="0.6">
      <c r="A720" s="440" t="s">
        <v>1</v>
      </c>
      <c r="B720" s="120">
        <v>84</v>
      </c>
      <c r="C720" s="121" t="s">
        <v>23</v>
      </c>
      <c r="D720" s="121" t="s">
        <v>33</v>
      </c>
      <c r="E720" s="121" t="s">
        <v>583</v>
      </c>
      <c r="F720" s="121" t="s">
        <v>584</v>
      </c>
      <c r="G720" s="122" t="s">
        <v>8</v>
      </c>
      <c r="H720" s="122" t="s">
        <v>8</v>
      </c>
      <c r="I720" s="122">
        <v>0</v>
      </c>
      <c r="J720" s="122"/>
      <c r="K720" s="122">
        <v>18914.220255885899</v>
      </c>
      <c r="L720" s="123"/>
      <c r="M720" s="123">
        <v>0</v>
      </c>
      <c r="N720" s="123"/>
      <c r="O720" s="122">
        <v>0</v>
      </c>
      <c r="P720" s="122"/>
      <c r="Q720" s="122">
        <v>12</v>
      </c>
      <c r="R720" s="122">
        <v>12</v>
      </c>
      <c r="S720" s="441">
        <f t="shared" si="134"/>
        <v>0</v>
      </c>
      <c r="T720" s="432">
        <f t="shared" si="136"/>
        <v>-18914.220255885899</v>
      </c>
      <c r="U720" s="62">
        <f t="shared" si="137"/>
        <v>-18914.220255885899</v>
      </c>
      <c r="V720" s="62">
        <f t="shared" si="135"/>
        <v>0</v>
      </c>
    </row>
    <row r="721" spans="1:24" ht="50.15" customHeight="1" x14ac:dyDescent="0.6">
      <c r="A721" s="440" t="s">
        <v>1</v>
      </c>
      <c r="B721" s="120">
        <v>84</v>
      </c>
      <c r="C721" s="121" t="s">
        <v>17</v>
      </c>
      <c r="D721" s="121" t="s">
        <v>33</v>
      </c>
      <c r="E721" s="121" t="s">
        <v>583</v>
      </c>
      <c r="F721" s="121" t="s">
        <v>132</v>
      </c>
      <c r="G721" s="122" t="s">
        <v>8</v>
      </c>
      <c r="H721" s="122" t="s">
        <v>8</v>
      </c>
      <c r="I721" s="122">
        <v>0</v>
      </c>
      <c r="J721" s="122"/>
      <c r="K721" s="122">
        <v>415190.7137813858</v>
      </c>
      <c r="L721" s="123"/>
      <c r="M721" s="123"/>
      <c r="N721" s="123"/>
      <c r="O721" s="122">
        <v>0</v>
      </c>
      <c r="P721" s="122"/>
      <c r="Q721" s="122">
        <v>12</v>
      </c>
      <c r="R721" s="122">
        <v>12</v>
      </c>
      <c r="S721" s="441">
        <f t="shared" si="134"/>
        <v>0</v>
      </c>
      <c r="T721" s="432">
        <f t="shared" si="136"/>
        <v>-415190.7137813858</v>
      </c>
      <c r="U721" s="62">
        <f t="shared" si="137"/>
        <v>-415190.7137813858</v>
      </c>
      <c r="V721" s="62">
        <f t="shared" si="135"/>
        <v>0</v>
      </c>
    </row>
    <row r="722" spans="1:24" ht="50.15" customHeight="1" x14ac:dyDescent="0.6">
      <c r="A722" s="440" t="s">
        <v>1</v>
      </c>
      <c r="B722" s="120">
        <v>84</v>
      </c>
      <c r="C722" s="121" t="s">
        <v>23</v>
      </c>
      <c r="D722" s="121" t="s">
        <v>33</v>
      </c>
      <c r="E722" s="121" t="s">
        <v>583</v>
      </c>
      <c r="F722" s="121" t="s">
        <v>602</v>
      </c>
      <c r="G722" s="122" t="s">
        <v>8</v>
      </c>
      <c r="H722" s="122" t="s">
        <v>8</v>
      </c>
      <c r="I722" s="122">
        <v>0</v>
      </c>
      <c r="J722" s="122"/>
      <c r="K722" s="122">
        <v>21059.124405822302</v>
      </c>
      <c r="L722" s="123"/>
      <c r="M722" s="123"/>
      <c r="N722" s="123"/>
      <c r="O722" s="122">
        <v>0</v>
      </c>
      <c r="P722" s="122"/>
      <c r="Q722" s="122">
        <v>12</v>
      </c>
      <c r="R722" s="122">
        <v>12</v>
      </c>
      <c r="S722" s="441">
        <f t="shared" si="134"/>
        <v>0</v>
      </c>
      <c r="T722" s="432">
        <f t="shared" si="136"/>
        <v>-21059.124405822302</v>
      </c>
      <c r="U722" s="62">
        <f t="shared" si="137"/>
        <v>-21059.124405822302</v>
      </c>
      <c r="V722" s="62">
        <f t="shared" si="135"/>
        <v>0</v>
      </c>
    </row>
    <row r="723" spans="1:24" ht="50.15" customHeight="1" x14ac:dyDescent="0.6">
      <c r="A723" s="440" t="s">
        <v>1</v>
      </c>
      <c r="B723" s="120">
        <v>84</v>
      </c>
      <c r="C723" s="121" t="s">
        <v>23</v>
      </c>
      <c r="D723" s="121" t="s">
        <v>33</v>
      </c>
      <c r="E723" s="121" t="s">
        <v>583</v>
      </c>
      <c r="F723" s="121" t="s">
        <v>602</v>
      </c>
      <c r="G723" s="122" t="s">
        <v>8</v>
      </c>
      <c r="H723" s="122" t="s">
        <v>8</v>
      </c>
      <c r="I723" s="122">
        <v>0</v>
      </c>
      <c r="J723" s="122"/>
      <c r="K723" s="122">
        <v>3632.7646455801</v>
      </c>
      <c r="L723" s="123"/>
      <c r="M723" s="123"/>
      <c r="N723" s="123"/>
      <c r="O723" s="122">
        <v>0</v>
      </c>
      <c r="P723" s="122"/>
      <c r="Q723" s="122">
        <v>12</v>
      </c>
      <c r="R723" s="122">
        <v>12</v>
      </c>
      <c r="S723" s="441">
        <f t="shared" si="134"/>
        <v>0</v>
      </c>
      <c r="T723" s="432">
        <f t="shared" si="136"/>
        <v>-3632.7646455801</v>
      </c>
      <c r="U723" s="62">
        <f t="shared" si="137"/>
        <v>-3632.7646455801</v>
      </c>
      <c r="V723" s="62">
        <f t="shared" si="135"/>
        <v>0</v>
      </c>
    </row>
    <row r="724" spans="1:24" ht="50.15" customHeight="1" thickBot="1" x14ac:dyDescent="0.65">
      <c r="A724" s="472" t="s">
        <v>1</v>
      </c>
      <c r="B724" s="120">
        <v>84</v>
      </c>
      <c r="C724" s="335" t="s">
        <v>23</v>
      </c>
      <c r="D724" s="335" t="s">
        <v>33</v>
      </c>
      <c r="E724" s="335" t="s">
        <v>583</v>
      </c>
      <c r="F724" s="335" t="s">
        <v>603</v>
      </c>
      <c r="G724" s="281" t="s">
        <v>8</v>
      </c>
      <c r="H724" s="281" t="s">
        <v>8</v>
      </c>
      <c r="I724" s="281">
        <v>0</v>
      </c>
      <c r="J724" s="281"/>
      <c r="K724" s="281">
        <v>4665.2469041702007</v>
      </c>
      <c r="L724" s="280"/>
      <c r="M724" s="280"/>
      <c r="N724" s="280"/>
      <c r="O724" s="281">
        <v>0</v>
      </c>
      <c r="P724" s="281"/>
      <c r="Q724" s="281">
        <v>12</v>
      </c>
      <c r="R724" s="281">
        <v>12</v>
      </c>
      <c r="S724" s="473">
        <f t="shared" si="134"/>
        <v>0</v>
      </c>
      <c r="T724" s="432">
        <f t="shared" si="136"/>
        <v>-4665.2469041702007</v>
      </c>
      <c r="U724" s="62">
        <f t="shared" si="137"/>
        <v>-4665.2469041702007</v>
      </c>
      <c r="V724" s="62">
        <f t="shared" si="135"/>
        <v>0</v>
      </c>
    </row>
    <row r="725" spans="1:24" ht="50.15" customHeight="1" thickBot="1" x14ac:dyDescent="0.65">
      <c r="A725" s="407"/>
      <c r="B725" s="64"/>
      <c r="C725" s="65"/>
      <c r="D725" s="65"/>
      <c r="E725" s="65"/>
      <c r="F725" s="65"/>
      <c r="G725" s="66">
        <f t="shared" ref="G725:N725" si="138">SUM(G626:G724)</f>
        <v>31305663.459999993</v>
      </c>
      <c r="H725" s="66">
        <f t="shared" si="138"/>
        <v>31346934.16</v>
      </c>
      <c r="I725" s="66">
        <f t="shared" si="138"/>
        <v>31978014.976719998</v>
      </c>
      <c r="J725" s="66">
        <f t="shared" si="138"/>
        <v>31385591.309250001</v>
      </c>
      <c r="K725" s="66">
        <f t="shared" si="138"/>
        <v>32051638.603698816</v>
      </c>
      <c r="L725" s="66">
        <f t="shared" si="138"/>
        <v>48.07889999999999</v>
      </c>
      <c r="M725" s="66">
        <f t="shared" si="138"/>
        <v>46.128900000000002</v>
      </c>
      <c r="N725" s="66">
        <f t="shared" si="138"/>
        <v>47.446666666666665</v>
      </c>
      <c r="O725" s="66">
        <f t="shared" ref="O725:U725" si="139">SUM(O626:O724)</f>
        <v>32665908.399999999</v>
      </c>
      <c r="P725" s="66">
        <f t="shared" si="139"/>
        <v>32622868.120000001</v>
      </c>
      <c r="Q725" s="66">
        <f t="shared" si="139"/>
        <v>1188</v>
      </c>
      <c r="R725" s="66">
        <f t="shared" si="139"/>
        <v>1188</v>
      </c>
      <c r="S725" s="66">
        <f t="shared" si="139"/>
        <v>32622868.120000001</v>
      </c>
      <c r="T725" s="398">
        <f t="shared" si="139"/>
        <v>571229.51630118629</v>
      </c>
      <c r="U725" s="393">
        <f t="shared" si="139"/>
        <v>571229.51630118536</v>
      </c>
      <c r="V725" s="393">
        <f>SUM(V626:V724)</f>
        <v>0</v>
      </c>
    </row>
    <row r="726" spans="1:24" ht="50.15" customHeight="1" x14ac:dyDescent="0.35">
      <c r="A726" s="474" t="s">
        <v>659</v>
      </c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333"/>
      <c r="N726" s="118"/>
      <c r="O726" s="118"/>
      <c r="P726" s="318"/>
      <c r="Q726" s="118"/>
      <c r="R726" s="118"/>
      <c r="S726" s="466"/>
      <c r="T726" s="461"/>
      <c r="U726" s="391"/>
      <c r="V726" s="391"/>
    </row>
    <row r="727" spans="1:24" ht="50.15" customHeight="1" x14ac:dyDescent="0.6">
      <c r="A727" s="59">
        <v>1851000810</v>
      </c>
      <c r="B727" s="60">
        <v>85</v>
      </c>
      <c r="C727" s="61" t="s">
        <v>18</v>
      </c>
      <c r="D727" s="61" t="s">
        <v>33</v>
      </c>
      <c r="E727" s="61"/>
      <c r="F727" s="61" t="s">
        <v>565</v>
      </c>
      <c r="G727" s="62">
        <v>1582116</v>
      </c>
      <c r="H727" s="62">
        <v>1378118</v>
      </c>
      <c r="I727" s="62">
        <v>1378632</v>
      </c>
      <c r="J727" s="62">
        <v>1378118</v>
      </c>
      <c r="K727" s="62">
        <v>1582118</v>
      </c>
      <c r="L727" s="63"/>
      <c r="M727" s="63"/>
      <c r="N727" s="63"/>
      <c r="O727" s="242">
        <v>1378632</v>
      </c>
      <c r="P727" s="62">
        <v>1378118</v>
      </c>
      <c r="Q727" s="62">
        <v>12</v>
      </c>
      <c r="R727" s="62">
        <v>12</v>
      </c>
      <c r="S727" s="467">
        <f t="shared" si="134"/>
        <v>1378118</v>
      </c>
      <c r="T727" s="432">
        <f>P727-K727</f>
        <v>-204000</v>
      </c>
      <c r="U727" s="62">
        <f>S727-K727</f>
        <v>-204000</v>
      </c>
      <c r="V727" s="62">
        <f>S727-P727</f>
        <v>0</v>
      </c>
    </row>
    <row r="728" spans="1:24" ht="50.15" customHeight="1" thickBot="1" x14ac:dyDescent="0.65">
      <c r="A728" s="468">
        <v>1859000980</v>
      </c>
      <c r="B728" s="404">
        <v>85</v>
      </c>
      <c r="C728" s="61" t="s">
        <v>18</v>
      </c>
      <c r="D728" s="121" t="s">
        <v>33</v>
      </c>
      <c r="E728" s="405"/>
      <c r="F728" s="405" t="s">
        <v>566</v>
      </c>
      <c r="G728" s="399">
        <v>0</v>
      </c>
      <c r="H728" s="399" t="s">
        <v>8</v>
      </c>
      <c r="I728" s="399">
        <v>0</v>
      </c>
      <c r="J728" s="399">
        <v>0</v>
      </c>
      <c r="K728" s="399">
        <v>0</v>
      </c>
      <c r="L728" s="427"/>
      <c r="M728" s="427"/>
      <c r="N728" s="427"/>
      <c r="O728" s="399">
        <v>0</v>
      </c>
      <c r="P728" s="399">
        <v>0</v>
      </c>
      <c r="Q728" s="399">
        <v>0</v>
      </c>
      <c r="R728" s="399">
        <v>0</v>
      </c>
      <c r="S728" s="469">
        <v>0</v>
      </c>
      <c r="T728" s="432">
        <f>P728-K728</f>
        <v>0</v>
      </c>
      <c r="U728" s="62">
        <f>S728-K728</f>
        <v>0</v>
      </c>
      <c r="V728" s="62">
        <f>S728-P728</f>
        <v>0</v>
      </c>
    </row>
    <row r="729" spans="1:24" ht="50.15" customHeight="1" thickBot="1" x14ac:dyDescent="0.65">
      <c r="A729" s="407"/>
      <c r="B729" s="64"/>
      <c r="C729" s="65"/>
      <c r="D729" s="65"/>
      <c r="E729" s="65"/>
      <c r="F729" s="65"/>
      <c r="G729" s="66">
        <f t="shared" ref="G729:N729" si="140">SUM(G727:G728)</f>
        <v>1582116</v>
      </c>
      <c r="H729" s="66">
        <f t="shared" si="140"/>
        <v>1378118</v>
      </c>
      <c r="I729" s="66">
        <f t="shared" si="140"/>
        <v>1378632</v>
      </c>
      <c r="J729" s="66">
        <f t="shared" si="140"/>
        <v>1378118</v>
      </c>
      <c r="K729" s="66">
        <f t="shared" si="140"/>
        <v>1582118</v>
      </c>
      <c r="L729" s="66">
        <f t="shared" si="140"/>
        <v>0</v>
      </c>
      <c r="M729" s="66">
        <f t="shared" si="140"/>
        <v>0</v>
      </c>
      <c r="N729" s="66">
        <f t="shared" si="140"/>
        <v>0</v>
      </c>
      <c r="O729" s="66">
        <f t="shared" ref="O729:U729" si="141">SUM(O727:O728)</f>
        <v>1378632</v>
      </c>
      <c r="P729" s="66">
        <f t="shared" si="141"/>
        <v>1378118</v>
      </c>
      <c r="Q729" s="66">
        <f t="shared" si="141"/>
        <v>12</v>
      </c>
      <c r="R729" s="66">
        <f t="shared" si="141"/>
        <v>12</v>
      </c>
      <c r="S729" s="66">
        <f t="shared" si="141"/>
        <v>1378118</v>
      </c>
      <c r="T729" s="398">
        <f t="shared" si="141"/>
        <v>-204000</v>
      </c>
      <c r="U729" s="393">
        <f t="shared" si="141"/>
        <v>-204000</v>
      </c>
      <c r="V729" s="393">
        <f>SUM(V727:V728)</f>
        <v>0</v>
      </c>
    </row>
    <row r="730" spans="1:24" ht="50.15" customHeight="1" x14ac:dyDescent="0.35">
      <c r="A730" s="474" t="s">
        <v>665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333"/>
      <c r="N730" s="118"/>
      <c r="O730" s="118"/>
      <c r="P730" s="318"/>
      <c r="Q730" s="118"/>
      <c r="R730" s="118"/>
      <c r="S730" s="466"/>
      <c r="T730" s="461"/>
      <c r="U730" s="391"/>
      <c r="V730" s="391"/>
    </row>
    <row r="731" spans="1:24" ht="50.15" customHeight="1" x14ac:dyDescent="0.6">
      <c r="A731" s="440">
        <v>1861000110</v>
      </c>
      <c r="B731" s="120">
        <v>86</v>
      </c>
      <c r="C731" s="121" t="s">
        <v>17</v>
      </c>
      <c r="D731" s="121" t="s">
        <v>33</v>
      </c>
      <c r="E731" s="121" t="s">
        <v>583</v>
      </c>
      <c r="F731" s="121" t="s">
        <v>567</v>
      </c>
      <c r="G731" s="122">
        <v>67755.42</v>
      </c>
      <c r="H731" s="122">
        <v>69225.710000000006</v>
      </c>
      <c r="I731" s="122">
        <v>75912</v>
      </c>
      <c r="J731" s="122">
        <v>77050.964199999988</v>
      </c>
      <c r="K731" s="122">
        <v>70727.9105777238</v>
      </c>
      <c r="L731" s="123">
        <v>0.75</v>
      </c>
      <c r="M731" s="123">
        <v>0.75</v>
      </c>
      <c r="N731" s="123">
        <f>ריכוז!K106</f>
        <v>0.75</v>
      </c>
      <c r="O731" s="226">
        <v>75953.22</v>
      </c>
      <c r="P731" s="122">
        <f>ריכוז!M106</f>
        <v>77636</v>
      </c>
      <c r="Q731" s="122">
        <v>12</v>
      </c>
      <c r="R731" s="122">
        <v>12</v>
      </c>
      <c r="S731" s="441">
        <f>P731*Q731/R731</f>
        <v>77636</v>
      </c>
      <c r="T731" s="432">
        <f>P731-K731</f>
        <v>6908.0894222761999</v>
      </c>
      <c r="U731" s="62">
        <f>S731-K731</f>
        <v>6908.0894222761999</v>
      </c>
      <c r="V731" s="62">
        <f>S731-P731</f>
        <v>0</v>
      </c>
    </row>
    <row r="732" spans="1:24" ht="50.15" customHeight="1" x14ac:dyDescent="0.6">
      <c r="A732" s="472">
        <v>1862000780</v>
      </c>
      <c r="B732" s="334">
        <v>86</v>
      </c>
      <c r="C732" s="335" t="s">
        <v>18</v>
      </c>
      <c r="D732" s="121" t="s">
        <v>33</v>
      </c>
      <c r="E732" s="335"/>
      <c r="F732" s="335" t="s">
        <v>3549</v>
      </c>
      <c r="G732" s="281"/>
      <c r="H732" s="281"/>
      <c r="I732" s="281"/>
      <c r="J732" s="281"/>
      <c r="K732" s="281"/>
      <c r="L732" s="280"/>
      <c r="M732" s="280"/>
      <c r="N732" s="280"/>
      <c r="O732" s="426"/>
      <c r="P732" s="281">
        <v>30000</v>
      </c>
      <c r="Q732" s="122">
        <v>12</v>
      </c>
      <c r="R732" s="122">
        <v>12</v>
      </c>
      <c r="S732" s="441">
        <f>P732*Q732/R732</f>
        <v>30000</v>
      </c>
      <c r="T732" s="432"/>
      <c r="U732" s="62"/>
      <c r="V732" s="62"/>
    </row>
    <row r="733" spans="1:24" ht="50.15" customHeight="1" x14ac:dyDescent="0.6">
      <c r="A733" s="472">
        <v>1861100780</v>
      </c>
      <c r="B733" s="334">
        <v>86</v>
      </c>
      <c r="C733" s="335" t="s">
        <v>30</v>
      </c>
      <c r="D733" s="335" t="s">
        <v>33</v>
      </c>
      <c r="E733" s="335"/>
      <c r="F733" s="335" t="s">
        <v>3569</v>
      </c>
      <c r="G733" s="281">
        <v>403917</v>
      </c>
      <c r="H733" s="281">
        <v>0</v>
      </c>
      <c r="I733" s="281">
        <v>68884.799999999988</v>
      </c>
      <c r="J733" s="281">
        <v>150000</v>
      </c>
      <c r="K733" s="281">
        <v>0</v>
      </c>
      <c r="L733" s="280"/>
      <c r="M733" s="280"/>
      <c r="N733" s="280"/>
      <c r="O733" s="426">
        <v>0</v>
      </c>
      <c r="P733" s="281">
        <v>0</v>
      </c>
      <c r="Q733" s="281">
        <v>12</v>
      </c>
      <c r="R733" s="281">
        <v>12</v>
      </c>
      <c r="S733" s="473">
        <v>50000</v>
      </c>
      <c r="T733" s="432">
        <f>P733-K733</f>
        <v>0</v>
      </c>
      <c r="U733" s="62">
        <f>S733-K733</f>
        <v>50000</v>
      </c>
      <c r="V733" s="62">
        <f>S733-P733</f>
        <v>50000</v>
      </c>
      <c r="W733" s="338"/>
      <c r="X733" s="497" t="s">
        <v>3559</v>
      </c>
    </row>
    <row r="734" spans="1:24" ht="50.15" customHeight="1" thickBot="1" x14ac:dyDescent="0.65">
      <c r="A734" s="472">
        <v>1861000780</v>
      </c>
      <c r="B734" s="334">
        <v>86</v>
      </c>
      <c r="C734" s="335" t="s">
        <v>18</v>
      </c>
      <c r="D734" s="335" t="s">
        <v>33</v>
      </c>
      <c r="E734" s="335"/>
      <c r="F734" s="335" t="s">
        <v>568</v>
      </c>
      <c r="G734" s="281">
        <v>403917</v>
      </c>
      <c r="H734" s="281">
        <v>400000</v>
      </c>
      <c r="I734" s="281">
        <v>68884.799999999988</v>
      </c>
      <c r="J734" s="281">
        <v>150000</v>
      </c>
      <c r="K734" s="281">
        <v>400000</v>
      </c>
      <c r="L734" s="280"/>
      <c r="M734" s="280"/>
      <c r="N734" s="280"/>
      <c r="O734" s="426">
        <v>118137</v>
      </c>
      <c r="P734" s="281">
        <v>150000</v>
      </c>
      <c r="Q734" s="281">
        <v>12</v>
      </c>
      <c r="R734" s="281">
        <v>12</v>
      </c>
      <c r="S734" s="473">
        <f>P734*Q734/R734</f>
        <v>150000</v>
      </c>
      <c r="T734" s="432">
        <f>P734-K734</f>
        <v>-250000</v>
      </c>
      <c r="U734" s="62">
        <f>S734-K734</f>
        <v>-250000</v>
      </c>
      <c r="V734" s="62">
        <f>S734-P734</f>
        <v>0</v>
      </c>
      <c r="W734" s="338" t="s">
        <v>906</v>
      </c>
      <c r="X734" s="243"/>
    </row>
    <row r="735" spans="1:24" ht="50.15" customHeight="1" thickBot="1" x14ac:dyDescent="0.65">
      <c r="A735" s="407"/>
      <c r="B735" s="64"/>
      <c r="C735" s="65"/>
      <c r="D735" s="65"/>
      <c r="E735" s="65"/>
      <c r="F735" s="65"/>
      <c r="G735" s="66">
        <f t="shared" ref="G735:V735" si="142">SUM(G731:G734)</f>
        <v>875589.41999999993</v>
      </c>
      <c r="H735" s="66">
        <f t="shared" si="142"/>
        <v>469225.71</v>
      </c>
      <c r="I735" s="66">
        <f t="shared" si="142"/>
        <v>213681.59999999998</v>
      </c>
      <c r="J735" s="66">
        <f t="shared" si="142"/>
        <v>377050.96419999999</v>
      </c>
      <c r="K735" s="66">
        <f t="shared" si="142"/>
        <v>470727.91057772381</v>
      </c>
      <c r="L735" s="66">
        <f t="shared" si="142"/>
        <v>0.75</v>
      </c>
      <c r="M735" s="66">
        <f t="shared" si="142"/>
        <v>0.75</v>
      </c>
      <c r="N735" s="66">
        <f t="shared" si="142"/>
        <v>0.75</v>
      </c>
      <c r="O735" s="66">
        <f t="shared" si="142"/>
        <v>194090.22</v>
      </c>
      <c r="P735" s="66">
        <f t="shared" si="142"/>
        <v>257636</v>
      </c>
      <c r="Q735" s="66">
        <f t="shared" si="142"/>
        <v>48</v>
      </c>
      <c r="R735" s="66">
        <f t="shared" si="142"/>
        <v>48</v>
      </c>
      <c r="S735" s="66">
        <f t="shared" si="142"/>
        <v>307636</v>
      </c>
      <c r="T735" s="398">
        <f t="shared" si="142"/>
        <v>-243091.91057772381</v>
      </c>
      <c r="U735" s="393">
        <f t="shared" si="142"/>
        <v>-193091.91057772381</v>
      </c>
      <c r="V735" s="393">
        <f t="shared" si="142"/>
        <v>50000</v>
      </c>
    </row>
    <row r="736" spans="1:24" ht="50.15" customHeight="1" x14ac:dyDescent="0.35">
      <c r="A736" s="474" t="s">
        <v>571</v>
      </c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333"/>
      <c r="N736" s="118"/>
      <c r="O736" s="118"/>
      <c r="P736" s="318"/>
      <c r="Q736" s="118"/>
      <c r="R736" s="118"/>
      <c r="S736" s="466"/>
      <c r="T736" s="461"/>
      <c r="U736" s="391"/>
      <c r="V736" s="391"/>
    </row>
    <row r="737" spans="1:24" ht="50.15" customHeight="1" x14ac:dyDescent="0.6">
      <c r="A737" s="440">
        <v>1871000110</v>
      </c>
      <c r="B737" s="120">
        <v>87</v>
      </c>
      <c r="C737" s="121" t="s">
        <v>17</v>
      </c>
      <c r="D737" s="121" t="s">
        <v>33</v>
      </c>
      <c r="E737" s="121" t="s">
        <v>583</v>
      </c>
      <c r="F737" s="121" t="s">
        <v>569</v>
      </c>
      <c r="G737" s="122">
        <v>428457.15</v>
      </c>
      <c r="H737" s="122">
        <v>489330.51</v>
      </c>
      <c r="I737" s="122">
        <v>684000</v>
      </c>
      <c r="J737" s="122">
        <v>728545.72559999977</v>
      </c>
      <c r="K737" s="122">
        <v>499948.98010533617</v>
      </c>
      <c r="L737" s="123">
        <v>3.83</v>
      </c>
      <c r="M737" s="123">
        <v>3.7942</v>
      </c>
      <c r="N737" s="123">
        <f>ריכוז!K107</f>
        <v>4</v>
      </c>
      <c r="O737" s="226">
        <v>681554</v>
      </c>
      <c r="P737" s="122">
        <f>ריכוז!M107</f>
        <v>719987.64</v>
      </c>
      <c r="Q737" s="122">
        <v>12</v>
      </c>
      <c r="R737" s="122">
        <v>12</v>
      </c>
      <c r="S737" s="441">
        <f>P737*Q737/R737</f>
        <v>719987.64</v>
      </c>
      <c r="T737" s="432">
        <f>P737-K737</f>
        <v>220038.65989466384</v>
      </c>
      <c r="U737" s="62">
        <f>S737-K737</f>
        <v>220038.65989466384</v>
      </c>
      <c r="V737" s="62">
        <f>S737-P737</f>
        <v>0</v>
      </c>
      <c r="W737" s="153" t="s">
        <v>930</v>
      </c>
    </row>
    <row r="738" spans="1:24" ht="50.15" customHeight="1" x14ac:dyDescent="0.6">
      <c r="A738" s="440">
        <v>1871000750</v>
      </c>
      <c r="B738" s="120">
        <v>87</v>
      </c>
      <c r="C738" s="121" t="s">
        <v>18</v>
      </c>
      <c r="D738" s="121" t="s">
        <v>33</v>
      </c>
      <c r="E738" s="121"/>
      <c r="F738" s="121" t="s">
        <v>570</v>
      </c>
      <c r="G738" s="122">
        <v>246331</v>
      </c>
      <c r="H738" s="122">
        <v>200000</v>
      </c>
      <c r="I738" s="122">
        <v>406962.74399999995</v>
      </c>
      <c r="J738" s="122">
        <v>416300</v>
      </c>
      <c r="K738" s="122">
        <v>200000</v>
      </c>
      <c r="L738" s="123"/>
      <c r="M738" s="123"/>
      <c r="N738" s="123"/>
      <c r="O738" s="122">
        <v>406962.74399999995</v>
      </c>
      <c r="P738" s="122">
        <v>416300</v>
      </c>
      <c r="Q738" s="122">
        <v>12</v>
      </c>
      <c r="R738" s="122">
        <v>12</v>
      </c>
      <c r="S738" s="441">
        <f>P738*Q738/R738</f>
        <v>416300</v>
      </c>
      <c r="T738" s="432">
        <f>P738-K738</f>
        <v>216300</v>
      </c>
      <c r="U738" s="62">
        <f>S738-K738</f>
        <v>216300</v>
      </c>
      <c r="V738" s="62">
        <f>S738-P738</f>
        <v>0</v>
      </c>
      <c r="W738" s="153" t="s">
        <v>812</v>
      </c>
    </row>
    <row r="739" spans="1:24" ht="50.15" customHeight="1" thickBot="1" x14ac:dyDescent="0.65">
      <c r="A739" s="472">
        <v>1871000780</v>
      </c>
      <c r="B739" s="334">
        <v>87</v>
      </c>
      <c r="C739" s="335" t="s">
        <v>18</v>
      </c>
      <c r="D739" s="335" t="s">
        <v>33</v>
      </c>
      <c r="E739" s="335"/>
      <c r="F739" s="335" t="s">
        <v>571</v>
      </c>
      <c r="G739" s="281">
        <v>0</v>
      </c>
      <c r="H739" s="281">
        <v>20000</v>
      </c>
      <c r="I739" s="281">
        <v>15262.800000000001</v>
      </c>
      <c r="J739" s="281">
        <v>35000</v>
      </c>
      <c r="K739" s="281">
        <v>20000</v>
      </c>
      <c r="L739" s="280"/>
      <c r="M739" s="280"/>
      <c r="N739" s="280"/>
      <c r="O739" s="426">
        <v>14818.2</v>
      </c>
      <c r="P739" s="281">
        <v>20000</v>
      </c>
      <c r="Q739" s="281">
        <v>12</v>
      </c>
      <c r="R739" s="281">
        <v>12</v>
      </c>
      <c r="S739" s="473">
        <f>P739*Q739/R739</f>
        <v>20000</v>
      </c>
      <c r="T739" s="432">
        <f>P739-K739</f>
        <v>0</v>
      </c>
      <c r="U739" s="62">
        <f>S739-K739</f>
        <v>0</v>
      </c>
      <c r="V739" s="62">
        <f>S739-P739</f>
        <v>0</v>
      </c>
      <c r="W739" s="338" t="s">
        <v>907</v>
      </c>
    </row>
    <row r="740" spans="1:24" ht="50.15" customHeight="1" thickBot="1" x14ac:dyDescent="0.65">
      <c r="A740" s="407"/>
      <c r="B740" s="64"/>
      <c r="C740" s="65"/>
      <c r="D740" s="65"/>
      <c r="E740" s="65"/>
      <c r="F740" s="65"/>
      <c r="G740" s="66">
        <f t="shared" ref="G740:N740" si="143">SUM(G737:G739)</f>
        <v>674788.15</v>
      </c>
      <c r="H740" s="66">
        <f t="shared" si="143"/>
        <v>709330.51</v>
      </c>
      <c r="I740" s="66">
        <f t="shared" si="143"/>
        <v>1106225.544</v>
      </c>
      <c r="J740" s="66">
        <f t="shared" si="143"/>
        <v>1179845.7255999998</v>
      </c>
      <c r="K740" s="66">
        <f t="shared" si="143"/>
        <v>719948.98010533617</v>
      </c>
      <c r="L740" s="66">
        <f t="shared" si="143"/>
        <v>3.83</v>
      </c>
      <c r="M740" s="66">
        <f t="shared" si="143"/>
        <v>3.7942</v>
      </c>
      <c r="N740" s="66">
        <f t="shared" si="143"/>
        <v>4</v>
      </c>
      <c r="O740" s="66">
        <f t="shared" ref="O740:U740" si="144">SUM(O737:O739)</f>
        <v>1103334.9439999999</v>
      </c>
      <c r="P740" s="66">
        <f t="shared" si="144"/>
        <v>1156287.6400000001</v>
      </c>
      <c r="Q740" s="66">
        <f t="shared" si="144"/>
        <v>36</v>
      </c>
      <c r="R740" s="66">
        <f t="shared" si="144"/>
        <v>36</v>
      </c>
      <c r="S740" s="66">
        <f t="shared" si="144"/>
        <v>1156287.6400000001</v>
      </c>
      <c r="T740" s="398">
        <f t="shared" si="144"/>
        <v>436338.65989466384</v>
      </c>
      <c r="U740" s="393">
        <f t="shared" si="144"/>
        <v>436338.65989466384</v>
      </c>
      <c r="V740" s="393">
        <f>SUM(V737:V739)</f>
        <v>0</v>
      </c>
    </row>
    <row r="741" spans="1:24" ht="50.15" customHeight="1" x14ac:dyDescent="0.35">
      <c r="A741" s="474" t="s">
        <v>676</v>
      </c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333"/>
      <c r="N741" s="118"/>
      <c r="O741" s="118"/>
      <c r="P741" s="318"/>
      <c r="Q741" s="118"/>
      <c r="R741" s="118"/>
      <c r="S741" s="466"/>
      <c r="T741" s="461"/>
      <c r="U741" s="391"/>
      <c r="V741" s="391"/>
    </row>
    <row r="742" spans="1:24" ht="50.15" customHeight="1" x14ac:dyDescent="0.6">
      <c r="A742" s="440">
        <v>1913300990</v>
      </c>
      <c r="B742" s="120">
        <v>91</v>
      </c>
      <c r="C742" s="121" t="s">
        <v>8</v>
      </c>
      <c r="D742" s="121" t="s">
        <v>33</v>
      </c>
      <c r="E742" s="121"/>
      <c r="F742" s="121" t="s">
        <v>572</v>
      </c>
      <c r="G742" s="122">
        <v>0</v>
      </c>
      <c r="H742" s="122" t="s">
        <v>8</v>
      </c>
      <c r="I742" s="122">
        <v>0</v>
      </c>
      <c r="J742" s="122">
        <v>0</v>
      </c>
      <c r="K742" s="122">
        <v>0</v>
      </c>
      <c r="L742" s="123"/>
      <c r="M742" s="123"/>
      <c r="N742" s="123"/>
      <c r="O742" s="122">
        <v>0</v>
      </c>
      <c r="P742" s="122">
        <v>0</v>
      </c>
      <c r="Q742" s="122">
        <v>12</v>
      </c>
      <c r="R742" s="122">
        <v>12</v>
      </c>
      <c r="S742" s="441">
        <f t="shared" ref="S742:S754" si="145">P742*Q742/R742</f>
        <v>0</v>
      </c>
      <c r="T742" s="432">
        <f>P742-K742</f>
        <v>0</v>
      </c>
      <c r="U742" s="62">
        <f>S742-K742</f>
        <v>0</v>
      </c>
      <c r="V742" s="62">
        <f t="shared" ref="V742:V754" si="146">S742-P742</f>
        <v>0</v>
      </c>
    </row>
    <row r="743" spans="1:24" ht="50.15" customHeight="1" x14ac:dyDescent="0.6">
      <c r="A743" s="440">
        <v>1932000420</v>
      </c>
      <c r="B743" s="120">
        <v>93</v>
      </c>
      <c r="C743" s="121" t="s">
        <v>18</v>
      </c>
      <c r="D743" s="121" t="s">
        <v>33</v>
      </c>
      <c r="E743" s="121"/>
      <c r="F743" s="121" t="s">
        <v>251</v>
      </c>
      <c r="G743" s="122">
        <v>7798.88</v>
      </c>
      <c r="H743" s="122">
        <v>11000</v>
      </c>
      <c r="I743" s="122">
        <v>8396.4000000000015</v>
      </c>
      <c r="J743" s="122">
        <v>11000</v>
      </c>
      <c r="K743" s="122">
        <v>11000</v>
      </c>
      <c r="L743" s="123"/>
      <c r="M743" s="123"/>
      <c r="N743" s="123"/>
      <c r="O743" s="226">
        <v>14743.17</v>
      </c>
      <c r="P743" s="122">
        <v>15000</v>
      </c>
      <c r="Q743" s="122">
        <v>12</v>
      </c>
      <c r="R743" s="122">
        <v>12</v>
      </c>
      <c r="S743" s="441">
        <f t="shared" si="145"/>
        <v>15000</v>
      </c>
      <c r="T743" s="432">
        <f t="shared" ref="T743:T754" si="147">P743-K743</f>
        <v>4000</v>
      </c>
      <c r="U743" s="62">
        <f t="shared" ref="U743:U754" si="148">S743-K743</f>
        <v>4000</v>
      </c>
      <c r="V743" s="62">
        <f t="shared" si="146"/>
        <v>0</v>
      </c>
    </row>
    <row r="744" spans="1:24" ht="50.15" customHeight="1" x14ac:dyDescent="0.6">
      <c r="A744" s="440">
        <v>1932000780</v>
      </c>
      <c r="B744" s="120">
        <v>93</v>
      </c>
      <c r="C744" s="121" t="s">
        <v>18</v>
      </c>
      <c r="D744" s="121" t="s">
        <v>33</v>
      </c>
      <c r="E744" s="121"/>
      <c r="F744" s="121" t="s">
        <v>228</v>
      </c>
      <c r="G744" s="122">
        <v>28754</v>
      </c>
      <c r="H744" s="122">
        <v>39000</v>
      </c>
      <c r="I744" s="122">
        <v>23502</v>
      </c>
      <c r="J744" s="122">
        <v>38724</v>
      </c>
      <c r="K744" s="122">
        <v>39000</v>
      </c>
      <c r="L744" s="123"/>
      <c r="M744" s="123"/>
      <c r="N744" s="123"/>
      <c r="O744" s="226">
        <v>19732</v>
      </c>
      <c r="P744" s="122">
        <v>20000</v>
      </c>
      <c r="Q744" s="122">
        <v>12</v>
      </c>
      <c r="R744" s="122">
        <v>12</v>
      </c>
      <c r="S744" s="441">
        <f t="shared" si="145"/>
        <v>20000</v>
      </c>
      <c r="T744" s="432">
        <f t="shared" si="147"/>
        <v>-19000</v>
      </c>
      <c r="U744" s="62">
        <f t="shared" si="148"/>
        <v>-19000</v>
      </c>
      <c r="V744" s="62">
        <f t="shared" si="146"/>
        <v>0</v>
      </c>
    </row>
    <row r="745" spans="1:24" ht="50.15" customHeight="1" x14ac:dyDescent="0.6">
      <c r="A745" s="440">
        <v>1972000110</v>
      </c>
      <c r="B745" s="120">
        <v>97</v>
      </c>
      <c r="C745" s="121" t="s">
        <v>17</v>
      </c>
      <c r="D745" s="121" t="s">
        <v>33</v>
      </c>
      <c r="E745" s="121" t="s">
        <v>583</v>
      </c>
      <c r="F745" s="121" t="s">
        <v>573</v>
      </c>
      <c r="G745" s="122">
        <v>12881.53</v>
      </c>
      <c r="H745" s="122" t="s">
        <v>8</v>
      </c>
      <c r="I745" s="122">
        <v>0</v>
      </c>
      <c r="J745" s="122">
        <v>0</v>
      </c>
      <c r="K745" s="122">
        <v>0</v>
      </c>
      <c r="L745" s="123">
        <v>0</v>
      </c>
      <c r="M745" s="123">
        <v>0</v>
      </c>
      <c r="N745" s="123"/>
      <c r="O745" s="122">
        <v>0</v>
      </c>
      <c r="P745" s="122">
        <v>0</v>
      </c>
      <c r="Q745" s="122">
        <v>12</v>
      </c>
      <c r="R745" s="122">
        <v>12</v>
      </c>
      <c r="S745" s="441">
        <f t="shared" si="145"/>
        <v>0</v>
      </c>
      <c r="T745" s="432">
        <f t="shared" si="147"/>
        <v>0</v>
      </c>
      <c r="U745" s="62">
        <f t="shared" si="148"/>
        <v>0</v>
      </c>
      <c r="V745" s="62">
        <f t="shared" si="146"/>
        <v>0</v>
      </c>
    </row>
    <row r="746" spans="1:24" ht="50.15" customHeight="1" x14ac:dyDescent="0.6">
      <c r="A746" s="440">
        <v>1972000694</v>
      </c>
      <c r="B746" s="120">
        <v>97</v>
      </c>
      <c r="C746" s="121" t="s">
        <v>25</v>
      </c>
      <c r="D746" s="121" t="s">
        <v>33</v>
      </c>
      <c r="E746" s="121"/>
      <c r="F746" s="121" t="s">
        <v>574</v>
      </c>
      <c r="G746" s="122">
        <v>781529.16</v>
      </c>
      <c r="H746" s="122">
        <v>821704.96</v>
      </c>
      <c r="I746" s="122">
        <v>912223.44</v>
      </c>
      <c r="J746" s="122">
        <v>0</v>
      </c>
      <c r="K746" s="122">
        <v>0</v>
      </c>
      <c r="L746" s="123"/>
      <c r="M746" s="123"/>
      <c r="N746" s="123"/>
      <c r="O746" s="122">
        <f>191000*4</f>
        <v>764000</v>
      </c>
      <c r="P746" s="122">
        <v>0</v>
      </c>
      <c r="Q746" s="122">
        <v>12</v>
      </c>
      <c r="R746" s="122">
        <v>12</v>
      </c>
      <c r="S746" s="441">
        <f t="shared" si="145"/>
        <v>0</v>
      </c>
      <c r="T746" s="432">
        <f t="shared" si="147"/>
        <v>0</v>
      </c>
      <c r="U746" s="62">
        <f t="shared" si="148"/>
        <v>0</v>
      </c>
      <c r="V746" s="62">
        <f t="shared" si="146"/>
        <v>0</v>
      </c>
    </row>
    <row r="747" spans="1:24" ht="50.15" customHeight="1" x14ac:dyDescent="0.6">
      <c r="A747" s="440">
        <v>1972000751</v>
      </c>
      <c r="B747" s="120">
        <v>97</v>
      </c>
      <c r="C747" s="121" t="s">
        <v>18</v>
      </c>
      <c r="D747" s="121" t="s">
        <v>33</v>
      </c>
      <c r="E747" s="121"/>
      <c r="F747" s="121" t="s">
        <v>575</v>
      </c>
      <c r="G747" s="122">
        <v>56640</v>
      </c>
      <c r="H747" s="122">
        <v>75000</v>
      </c>
      <c r="I747" s="122">
        <v>56160</v>
      </c>
      <c r="J747" s="122">
        <v>66160</v>
      </c>
      <c r="K747" s="122">
        <v>75000</v>
      </c>
      <c r="L747" s="123"/>
      <c r="M747" s="123"/>
      <c r="N747" s="123"/>
      <c r="O747" s="226">
        <v>51480</v>
      </c>
      <c r="P747" s="122">
        <v>55000</v>
      </c>
      <c r="Q747" s="122">
        <v>12</v>
      </c>
      <c r="R747" s="122">
        <v>12</v>
      </c>
      <c r="S747" s="441">
        <f t="shared" si="145"/>
        <v>55000</v>
      </c>
      <c r="T747" s="432">
        <f t="shared" si="147"/>
        <v>-20000</v>
      </c>
      <c r="U747" s="62">
        <f t="shared" si="148"/>
        <v>-20000</v>
      </c>
      <c r="V747" s="62">
        <f t="shared" si="146"/>
        <v>0</v>
      </c>
    </row>
    <row r="748" spans="1:24" ht="50.15" customHeight="1" x14ac:dyDescent="0.6">
      <c r="A748" s="440">
        <v>1990000210</v>
      </c>
      <c r="B748" s="120">
        <v>99</v>
      </c>
      <c r="C748" s="121" t="s">
        <v>17</v>
      </c>
      <c r="D748" s="121" t="s">
        <v>33</v>
      </c>
      <c r="E748" s="121" t="s">
        <v>583</v>
      </c>
      <c r="F748" s="121" t="s">
        <v>576</v>
      </c>
      <c r="G748" s="122">
        <v>-112975</v>
      </c>
      <c r="H748" s="122">
        <v>0</v>
      </c>
      <c r="I748" s="122"/>
      <c r="J748" s="122"/>
      <c r="K748" s="122">
        <v>0</v>
      </c>
      <c r="L748" s="123"/>
      <c r="M748" s="123"/>
      <c r="N748" s="123"/>
      <c r="O748" s="122"/>
      <c r="P748" s="122"/>
      <c r="Q748" s="122">
        <v>12</v>
      </c>
      <c r="R748" s="122">
        <v>12</v>
      </c>
      <c r="S748" s="441">
        <f t="shared" si="145"/>
        <v>0</v>
      </c>
      <c r="T748" s="432">
        <f t="shared" si="147"/>
        <v>0</v>
      </c>
      <c r="U748" s="62">
        <f t="shared" si="148"/>
        <v>0</v>
      </c>
      <c r="V748" s="62">
        <f t="shared" si="146"/>
        <v>0</v>
      </c>
    </row>
    <row r="749" spans="1:24" ht="50.15" customHeight="1" x14ac:dyDescent="0.6">
      <c r="A749" s="440">
        <v>1990000310</v>
      </c>
      <c r="B749" s="120">
        <v>99</v>
      </c>
      <c r="C749" s="121" t="s">
        <v>26</v>
      </c>
      <c r="D749" s="121" t="s">
        <v>33</v>
      </c>
      <c r="E749" s="121" t="s">
        <v>583</v>
      </c>
      <c r="F749" s="121" t="s">
        <v>577</v>
      </c>
      <c r="G749" s="122">
        <v>22586806.629999999</v>
      </c>
      <c r="H749" s="122">
        <v>23382621.739999998</v>
      </c>
      <c r="I749" s="122">
        <v>23175695.531999998</v>
      </c>
      <c r="J749" s="122">
        <v>25022911.760071699</v>
      </c>
      <c r="K749" s="122">
        <v>26278745.476479296</v>
      </c>
      <c r="L749" s="123">
        <v>191.61</v>
      </c>
      <c r="M749" s="123">
        <v>197.96129999999982</v>
      </c>
      <c r="N749" s="123">
        <f>ריכוז!K110</f>
        <v>200.09873333333337</v>
      </c>
      <c r="O749" s="122">
        <v>23337640</v>
      </c>
      <c r="P749" s="122">
        <f>ריכוז!M110</f>
        <v>24354527.540000029</v>
      </c>
      <c r="Q749" s="122">
        <v>12</v>
      </c>
      <c r="R749" s="122">
        <v>12</v>
      </c>
      <c r="S749" s="441">
        <f t="shared" si="145"/>
        <v>24354527.540000033</v>
      </c>
      <c r="T749" s="432">
        <f t="shared" si="147"/>
        <v>-1924217.9364792667</v>
      </c>
      <c r="U749" s="62">
        <f t="shared" si="148"/>
        <v>-1924217.936479263</v>
      </c>
      <c r="V749" s="62">
        <f t="shared" si="146"/>
        <v>0</v>
      </c>
      <c r="W749" s="153" t="s">
        <v>931</v>
      </c>
    </row>
    <row r="750" spans="1:24" ht="50.15" customHeight="1" x14ac:dyDescent="0.6">
      <c r="A750" s="440">
        <v>1991000320</v>
      </c>
      <c r="B750" s="120">
        <v>99</v>
      </c>
      <c r="C750" s="121" t="s">
        <v>27</v>
      </c>
      <c r="D750" s="121" t="s">
        <v>33</v>
      </c>
      <c r="E750" s="121"/>
      <c r="F750" s="121" t="s">
        <v>578</v>
      </c>
      <c r="G750" s="122">
        <v>757466.86</v>
      </c>
      <c r="H750" s="122">
        <v>5274114.5599999996</v>
      </c>
      <c r="I750" s="122">
        <f>1554000+350000</f>
        <v>1904000</v>
      </c>
      <c r="J750" s="122">
        <f>5274115-1904000</f>
        <v>3370115</v>
      </c>
      <c r="K750" s="122">
        <v>770000</v>
      </c>
      <c r="L750" s="123"/>
      <c r="M750" s="123"/>
      <c r="N750" s="123"/>
      <c r="O750" s="226">
        <v>1554441.39</v>
      </c>
      <c r="P750" s="122">
        <f>770000+5274115-1554441</f>
        <v>4489674</v>
      </c>
      <c r="Q750" s="122">
        <v>12</v>
      </c>
      <c r="R750" s="122">
        <v>12</v>
      </c>
      <c r="S750" s="441">
        <f t="shared" si="145"/>
        <v>4489674</v>
      </c>
      <c r="T750" s="432">
        <f t="shared" si="147"/>
        <v>3719674</v>
      </c>
      <c r="U750" s="62">
        <f t="shared" si="148"/>
        <v>3719674</v>
      </c>
      <c r="V750" s="62">
        <f t="shared" si="146"/>
        <v>0</v>
      </c>
    </row>
    <row r="751" spans="1:24" ht="50.15" customHeight="1" x14ac:dyDescent="0.6">
      <c r="A751" s="440">
        <v>1994000980</v>
      </c>
      <c r="B751" s="120">
        <v>99</v>
      </c>
      <c r="C751" s="121" t="s">
        <v>27</v>
      </c>
      <c r="D751" s="121" t="s">
        <v>33</v>
      </c>
      <c r="E751" s="121"/>
      <c r="F751" s="121" t="s">
        <v>579</v>
      </c>
      <c r="G751" s="122">
        <v>9926.51</v>
      </c>
      <c r="H751" s="122">
        <v>1300000</v>
      </c>
      <c r="I751" s="122">
        <f>220000+481835+739000</f>
        <v>1440835</v>
      </c>
      <c r="J751" s="122">
        <v>300000</v>
      </c>
      <c r="K751" s="122">
        <v>300000</v>
      </c>
      <c r="L751" s="123"/>
      <c r="M751" s="123"/>
      <c r="N751" s="123"/>
      <c r="O751" s="226">
        <v>1321835.1000000001</v>
      </c>
      <c r="P751" s="122">
        <f>300000+1100000+180000+80000+152500+75000</f>
        <v>1887500</v>
      </c>
      <c r="Q751" s="122">
        <v>12</v>
      </c>
      <c r="R751" s="122">
        <v>12</v>
      </c>
      <c r="S751" s="441">
        <f>P751*Q751/R751+200000</f>
        <v>2087500</v>
      </c>
      <c r="T751" s="432">
        <f t="shared" si="147"/>
        <v>1587500</v>
      </c>
      <c r="U751" s="62">
        <f t="shared" si="148"/>
        <v>1787500</v>
      </c>
      <c r="V751" s="62">
        <f t="shared" si="146"/>
        <v>200000</v>
      </c>
      <c r="W751" s="338" t="s">
        <v>2153</v>
      </c>
    </row>
    <row r="752" spans="1:24" ht="50.15" customHeight="1" x14ac:dyDescent="0.6">
      <c r="A752" s="440">
        <v>1995000860</v>
      </c>
      <c r="B752" s="120">
        <v>99</v>
      </c>
      <c r="C752" s="121" t="s">
        <v>28</v>
      </c>
      <c r="D752" s="121" t="s">
        <v>33</v>
      </c>
      <c r="E752" s="121"/>
      <c r="F752" s="121" t="s">
        <v>3</v>
      </c>
      <c r="G752" s="122">
        <v>11570877</v>
      </c>
      <c r="H752" s="122">
        <v>11665641</v>
      </c>
      <c r="I752" s="122">
        <v>11867022</v>
      </c>
      <c r="J752" s="122">
        <v>11959000</v>
      </c>
      <c r="K752" s="122">
        <v>12957480.021881904</v>
      </c>
      <c r="L752" s="123"/>
      <c r="M752" s="123"/>
      <c r="N752" s="123"/>
      <c r="O752" s="122">
        <f>O6</f>
        <v>12466175</v>
      </c>
      <c r="P752" s="122">
        <f>P6</f>
        <v>13000000</v>
      </c>
      <c r="Q752" s="122">
        <v>12</v>
      </c>
      <c r="R752" s="122">
        <v>12</v>
      </c>
      <c r="S752" s="441">
        <f>S6</f>
        <v>18600000</v>
      </c>
      <c r="T752" s="432">
        <f t="shared" si="147"/>
        <v>42519.978118095547</v>
      </c>
      <c r="U752" s="62">
        <f t="shared" si="148"/>
        <v>5642519.9781180955</v>
      </c>
      <c r="V752" s="62">
        <f t="shared" si="146"/>
        <v>5600000</v>
      </c>
      <c r="W752" s="341" t="str">
        <f>W6</f>
        <v xml:space="preserve">לפי אחוז ביצוע 2019 </v>
      </c>
      <c r="X752" s="116" t="str">
        <f>X6</f>
        <v>עלייה בגובה  צפי הפטור וההנחות בתקופת המשבר</v>
      </c>
    </row>
    <row r="753" spans="1:22" ht="50.15" customHeight="1" x14ac:dyDescent="0.6">
      <c r="A753" s="440">
        <v>1999000310</v>
      </c>
      <c r="B753" s="120">
        <v>99</v>
      </c>
      <c r="C753" s="121" t="s">
        <v>26</v>
      </c>
      <c r="D753" s="121" t="s">
        <v>33</v>
      </c>
      <c r="E753" s="121" t="s">
        <v>583</v>
      </c>
      <c r="F753" s="121" t="s">
        <v>580</v>
      </c>
      <c r="G753" s="122">
        <v>88633.81</v>
      </c>
      <c r="H753" s="122">
        <v>87707.02</v>
      </c>
      <c r="I753" s="122">
        <v>119419.77599999998</v>
      </c>
      <c r="J753" s="122">
        <v>88154.688649999996</v>
      </c>
      <c r="K753" s="122">
        <v>89610.261455338012</v>
      </c>
      <c r="L753" s="123">
        <v>0.8899999999999999</v>
      </c>
      <c r="M753" s="123">
        <v>0.8899999999999999</v>
      </c>
      <c r="N753" s="123"/>
      <c r="O753" s="226"/>
      <c r="P753" s="122">
        <f>ריכוז!M111</f>
        <v>0</v>
      </c>
      <c r="Q753" s="122">
        <v>12</v>
      </c>
      <c r="R753" s="122">
        <v>12</v>
      </c>
      <c r="S753" s="441">
        <f t="shared" si="145"/>
        <v>0</v>
      </c>
      <c r="T753" s="432">
        <f t="shared" si="147"/>
        <v>-89610.261455338012</v>
      </c>
      <c r="U753" s="62">
        <f t="shared" si="148"/>
        <v>-89610.261455338012</v>
      </c>
      <c r="V753" s="62">
        <f t="shared" si="146"/>
        <v>0</v>
      </c>
    </row>
    <row r="754" spans="1:22" ht="50.15" customHeight="1" thickBot="1" x14ac:dyDescent="0.65">
      <c r="A754" s="472">
        <v>1999100980</v>
      </c>
      <c r="B754" s="334">
        <v>99</v>
      </c>
      <c r="C754" s="335" t="s">
        <v>16</v>
      </c>
      <c r="D754" s="335" t="s">
        <v>33</v>
      </c>
      <c r="E754" s="335"/>
      <c r="F754" s="335" t="s">
        <v>16</v>
      </c>
      <c r="G754" s="281">
        <v>5500000</v>
      </c>
      <c r="H754" s="281">
        <v>12000000</v>
      </c>
      <c r="I754" s="281">
        <v>8259000</v>
      </c>
      <c r="J754" s="281">
        <v>0</v>
      </c>
      <c r="K754" s="281">
        <v>0</v>
      </c>
      <c r="L754" s="280"/>
      <c r="M754" s="280"/>
      <c r="N754" s="280"/>
      <c r="O754" s="281">
        <v>8259000</v>
      </c>
      <c r="P754" s="281">
        <v>0</v>
      </c>
      <c r="Q754" s="281">
        <v>12</v>
      </c>
      <c r="R754" s="281">
        <v>12</v>
      </c>
      <c r="S754" s="473">
        <f t="shared" si="145"/>
        <v>0</v>
      </c>
      <c r="T754" s="432">
        <f t="shared" si="147"/>
        <v>0</v>
      </c>
      <c r="U754" s="62">
        <f t="shared" si="148"/>
        <v>0</v>
      </c>
      <c r="V754" s="399">
        <f t="shared" si="146"/>
        <v>0</v>
      </c>
    </row>
    <row r="755" spans="1:22" ht="50.15" customHeight="1" thickBot="1" x14ac:dyDescent="0.65">
      <c r="A755" s="407"/>
      <c r="B755" s="64"/>
      <c r="C755" s="402"/>
      <c r="D755" s="65"/>
      <c r="E755" s="65"/>
      <c r="F755" s="403"/>
      <c r="G755" s="408">
        <f t="shared" ref="G755:S755" si="149">SUM(G742:G754)</f>
        <v>41288339.380000003</v>
      </c>
      <c r="H755" s="66">
        <f t="shared" si="149"/>
        <v>54656789.280000001</v>
      </c>
      <c r="I755" s="66">
        <f t="shared" si="149"/>
        <v>47766254.147999994</v>
      </c>
      <c r="J755" s="66">
        <f t="shared" si="149"/>
        <v>40856065.448721692</v>
      </c>
      <c r="K755" s="66">
        <f t="shared" si="149"/>
        <v>40520835.759816535</v>
      </c>
      <c r="L755" s="66">
        <f t="shared" si="149"/>
        <v>192.5</v>
      </c>
      <c r="M755" s="66">
        <f t="shared" si="149"/>
        <v>198.85129999999981</v>
      </c>
      <c r="N755" s="66">
        <f t="shared" si="149"/>
        <v>200.09873333333337</v>
      </c>
      <c r="O755" s="66">
        <f t="shared" si="149"/>
        <v>47789046.660000004</v>
      </c>
      <c r="P755" s="66">
        <f t="shared" si="149"/>
        <v>43821701.540000029</v>
      </c>
      <c r="Q755" s="66">
        <f t="shared" si="149"/>
        <v>156</v>
      </c>
      <c r="R755" s="66">
        <f t="shared" si="149"/>
        <v>156</v>
      </c>
      <c r="S755" s="66">
        <f t="shared" si="149"/>
        <v>49621701.540000036</v>
      </c>
      <c r="T755" s="398">
        <f>SUM(T742:T754)</f>
        <v>3300865.7801834908</v>
      </c>
      <c r="U755" s="393">
        <f>SUM(U742:U754)</f>
        <v>9100865.7801834941</v>
      </c>
      <c r="V755" s="66">
        <f>SUM(V742:V754)</f>
        <v>5800000</v>
      </c>
    </row>
    <row r="756" spans="1:22" ht="50.15" customHeight="1" thickBot="1" x14ac:dyDescent="0.65">
      <c r="A756" s="449"/>
      <c r="B756" s="450"/>
      <c r="C756" s="451"/>
      <c r="D756" s="451"/>
      <c r="E756" s="451"/>
      <c r="F756" s="451" t="s">
        <v>618</v>
      </c>
      <c r="G756" s="452">
        <f t="shared" ref="G756:V756" si="150">G755+G740+G735+G729+G725+G624+G619+G587+G452+G441+G433+G425+G419+G394+G380+G357+G327+G324+G319+G300</f>
        <v>192272568.61999997</v>
      </c>
      <c r="H756" s="452">
        <f t="shared" si="150"/>
        <v>206576172.40999997</v>
      </c>
      <c r="I756" s="452">
        <f t="shared" si="150"/>
        <v>204129639.87175995</v>
      </c>
      <c r="J756" s="452">
        <f t="shared" si="150"/>
        <v>193005459.50061157</v>
      </c>
      <c r="K756" s="452">
        <f t="shared" si="150"/>
        <v>183975950.21253306</v>
      </c>
      <c r="L756" s="452">
        <f t="shared" si="150"/>
        <v>582.80200000000002</v>
      </c>
      <c r="M756" s="453">
        <f t="shared" si="150"/>
        <v>585.23619999999983</v>
      </c>
      <c r="N756" s="453">
        <f t="shared" si="150"/>
        <v>577.87540000000013</v>
      </c>
      <c r="O756" s="452">
        <f t="shared" si="150"/>
        <v>203577079.73192006</v>
      </c>
      <c r="P756" s="452">
        <f t="shared" si="150"/>
        <v>194886201.38201058</v>
      </c>
      <c r="Q756" s="452">
        <f t="shared" si="150"/>
        <v>5525.5</v>
      </c>
      <c r="R756" s="452">
        <f t="shared" si="150"/>
        <v>5575</v>
      </c>
      <c r="S756" s="453">
        <f t="shared" si="150"/>
        <v>199231178.34034395</v>
      </c>
      <c r="T756" s="448">
        <f t="shared" si="150"/>
        <v>10880251.169477537</v>
      </c>
      <c r="U756" s="394">
        <f t="shared" si="150"/>
        <v>14725228.127810873</v>
      </c>
      <c r="V756" s="409">
        <f t="shared" si="150"/>
        <v>3844976.958333333</v>
      </c>
    </row>
    <row r="757" spans="1:22" ht="50.15" customHeight="1" thickBot="1" x14ac:dyDescent="0.6">
      <c r="A757" s="483"/>
      <c r="B757" s="484"/>
      <c r="C757" s="485"/>
      <c r="D757" s="485"/>
      <c r="E757" s="485"/>
      <c r="F757" s="485"/>
      <c r="G757" s="486"/>
      <c r="H757" s="486"/>
      <c r="I757" s="486"/>
      <c r="J757" s="486"/>
      <c r="K757" s="486"/>
      <c r="L757" s="487"/>
      <c r="M757" s="487"/>
      <c r="N757" s="487"/>
      <c r="O757" s="486"/>
      <c r="P757" s="486"/>
      <c r="Q757" s="486"/>
      <c r="R757" s="486"/>
      <c r="S757" s="488"/>
      <c r="T757" s="464"/>
    </row>
    <row r="758" spans="1:22" ht="50.15" customHeight="1" thickBot="1" x14ac:dyDescent="0.65">
      <c r="A758" s="454"/>
      <c r="B758" s="455"/>
      <c r="C758" s="456"/>
      <c r="D758" s="456"/>
      <c r="E758" s="456"/>
      <c r="F758" s="456" t="s">
        <v>3545</v>
      </c>
      <c r="G758" s="452">
        <f t="shared" ref="G758:M758" si="151">G245-G756</f>
        <v>-12854500.119999975</v>
      </c>
      <c r="H758" s="452">
        <f t="shared" si="151"/>
        <v>-17957896.479999959</v>
      </c>
      <c r="I758" s="452">
        <f t="shared" si="151"/>
        <v>-14167304.759759933</v>
      </c>
      <c r="J758" s="452">
        <f t="shared" si="151"/>
        <v>-6678167.4911597967</v>
      </c>
      <c r="K758" s="452">
        <f t="shared" si="151"/>
        <v>-3260312.1157862842</v>
      </c>
      <c r="L758" s="457">
        <f t="shared" si="151"/>
        <v>-582.80200000000002</v>
      </c>
      <c r="M758" s="457">
        <f t="shared" si="151"/>
        <v>-585.23619999999983</v>
      </c>
      <c r="N758" s="457"/>
      <c r="O758" s="452">
        <f t="shared" ref="O758:V758" si="152">O245-O756</f>
        <v>-13813168.55392006</v>
      </c>
      <c r="P758" s="452">
        <f t="shared" si="152"/>
        <v>-6934822.6573355794</v>
      </c>
      <c r="Q758" s="452">
        <f t="shared" si="152"/>
        <v>-3028.9490000000001</v>
      </c>
      <c r="R758" s="452">
        <f t="shared" si="152"/>
        <v>-3043</v>
      </c>
      <c r="S758" s="453">
        <f t="shared" si="152"/>
        <v>-8598607.6156689525</v>
      </c>
      <c r="T758" s="448">
        <f t="shared" si="152"/>
        <v>-3644510.5415493175</v>
      </c>
      <c r="U758" s="394">
        <f t="shared" si="152"/>
        <v>-5308295.4998826534</v>
      </c>
      <c r="V758" s="394">
        <f t="shared" si="152"/>
        <v>-1663784.958333333</v>
      </c>
    </row>
    <row r="759" spans="1:22" x14ac:dyDescent="0.55000000000000004">
      <c r="V759" s="76"/>
    </row>
    <row r="760" spans="1:22" x14ac:dyDescent="0.55000000000000004">
      <c r="V760" s="239"/>
    </row>
    <row r="761" spans="1:22" x14ac:dyDescent="0.55000000000000004">
      <c r="V761" s="239"/>
    </row>
    <row r="762" spans="1:22" x14ac:dyDescent="0.55000000000000004">
      <c r="V762" s="239"/>
    </row>
    <row r="763" spans="1:22" x14ac:dyDescent="0.55000000000000004">
      <c r="V763" s="239"/>
    </row>
    <row r="764" spans="1:22" x14ac:dyDescent="0.55000000000000004">
      <c r="V764" s="239"/>
    </row>
    <row r="765" spans="1:22" x14ac:dyDescent="0.55000000000000004">
      <c r="V765" s="239"/>
    </row>
    <row r="766" spans="1:22" x14ac:dyDescent="0.55000000000000004">
      <c r="V766" s="239"/>
    </row>
    <row r="767" spans="1:22" x14ac:dyDescent="0.55000000000000004">
      <c r="V767" s="239"/>
    </row>
    <row r="768" spans="1:22" x14ac:dyDescent="0.55000000000000004">
      <c r="V768" s="239"/>
    </row>
    <row r="769" spans="22:22" x14ac:dyDescent="0.55000000000000004">
      <c r="V769" s="239"/>
    </row>
    <row r="770" spans="22:22" x14ac:dyDescent="0.55000000000000004">
      <c r="V770" s="239"/>
    </row>
    <row r="771" spans="22:22" x14ac:dyDescent="0.55000000000000004">
      <c r="V771" s="239"/>
    </row>
    <row r="772" spans="22:22" x14ac:dyDescent="0.55000000000000004">
      <c r="V772" s="239"/>
    </row>
    <row r="773" spans="22:22" x14ac:dyDescent="0.55000000000000004">
      <c r="V773" s="239"/>
    </row>
    <row r="774" spans="22:22" x14ac:dyDescent="0.55000000000000004">
      <c r="V774" s="239"/>
    </row>
    <row r="775" spans="22:22" x14ac:dyDescent="0.55000000000000004">
      <c r="V775" s="239"/>
    </row>
    <row r="776" spans="22:22" x14ac:dyDescent="0.55000000000000004">
      <c r="V776" s="239"/>
    </row>
    <row r="777" spans="22:22" x14ac:dyDescent="0.55000000000000004">
      <c r="V777" s="239"/>
    </row>
    <row r="778" spans="22:22" x14ac:dyDescent="0.55000000000000004">
      <c r="V778" s="239"/>
    </row>
    <row r="779" spans="22:22" x14ac:dyDescent="0.55000000000000004">
      <c r="V779" s="239"/>
    </row>
    <row r="780" spans="22:22" x14ac:dyDescent="0.55000000000000004">
      <c r="V780" s="239"/>
    </row>
    <row r="781" spans="22:22" x14ac:dyDescent="0.55000000000000004">
      <c r="V781" s="239"/>
    </row>
    <row r="782" spans="22:22" x14ac:dyDescent="0.55000000000000004">
      <c r="V782" s="239"/>
    </row>
    <row r="783" spans="22:22" x14ac:dyDescent="0.55000000000000004">
      <c r="V783" s="239"/>
    </row>
    <row r="784" spans="22:22" x14ac:dyDescent="0.55000000000000004">
      <c r="V784" s="239"/>
    </row>
    <row r="785" spans="22:22" x14ac:dyDescent="0.55000000000000004">
      <c r="V785" s="239"/>
    </row>
    <row r="786" spans="22:22" x14ac:dyDescent="0.55000000000000004">
      <c r="V786" s="239"/>
    </row>
    <row r="787" spans="22:22" x14ac:dyDescent="0.55000000000000004">
      <c r="V787" s="239"/>
    </row>
    <row r="788" spans="22:22" x14ac:dyDescent="0.55000000000000004">
      <c r="V788" s="239"/>
    </row>
    <row r="789" spans="22:22" x14ac:dyDescent="0.55000000000000004">
      <c r="V789" s="239"/>
    </row>
    <row r="790" spans="22:22" x14ac:dyDescent="0.55000000000000004">
      <c r="V790" s="239"/>
    </row>
    <row r="791" spans="22:22" x14ac:dyDescent="0.55000000000000004">
      <c r="V791" s="239"/>
    </row>
    <row r="792" spans="22:22" x14ac:dyDescent="0.55000000000000004">
      <c r="V792" s="239"/>
    </row>
    <row r="793" spans="22:22" x14ac:dyDescent="0.55000000000000004">
      <c r="V793" s="239"/>
    </row>
    <row r="794" spans="22:22" x14ac:dyDescent="0.55000000000000004">
      <c r="V794" s="239"/>
    </row>
    <row r="795" spans="22:22" x14ac:dyDescent="0.55000000000000004">
      <c r="V795" s="239"/>
    </row>
    <row r="796" spans="22:22" x14ac:dyDescent="0.55000000000000004">
      <c r="V796" s="239"/>
    </row>
    <row r="797" spans="22:22" x14ac:dyDescent="0.55000000000000004">
      <c r="V797" s="239"/>
    </row>
    <row r="798" spans="22:22" x14ac:dyDescent="0.55000000000000004">
      <c r="V798" s="239"/>
    </row>
    <row r="799" spans="22:22" x14ac:dyDescent="0.55000000000000004">
      <c r="V799" s="239"/>
    </row>
    <row r="800" spans="22:22" x14ac:dyDescent="0.55000000000000004">
      <c r="V800" s="239"/>
    </row>
    <row r="801" spans="22:22" x14ac:dyDescent="0.55000000000000004">
      <c r="V801" s="239"/>
    </row>
    <row r="802" spans="22:22" x14ac:dyDescent="0.55000000000000004">
      <c r="V802" s="239"/>
    </row>
    <row r="803" spans="22:22" x14ac:dyDescent="0.55000000000000004">
      <c r="V803" s="239"/>
    </row>
    <row r="804" spans="22:22" x14ac:dyDescent="0.55000000000000004">
      <c r="V804" s="239"/>
    </row>
    <row r="805" spans="22:22" x14ac:dyDescent="0.55000000000000004">
      <c r="V805" s="239"/>
    </row>
    <row r="806" spans="22:22" x14ac:dyDescent="0.55000000000000004">
      <c r="V806" s="239"/>
    </row>
    <row r="807" spans="22:22" x14ac:dyDescent="0.55000000000000004">
      <c r="V807" s="239"/>
    </row>
    <row r="808" spans="22:22" x14ac:dyDescent="0.55000000000000004">
      <c r="V808" s="239"/>
    </row>
    <row r="809" spans="22:22" x14ac:dyDescent="0.55000000000000004">
      <c r="V809" s="239"/>
    </row>
    <row r="810" spans="22:22" x14ac:dyDescent="0.55000000000000004">
      <c r="V810" s="239"/>
    </row>
    <row r="811" spans="22:22" x14ac:dyDescent="0.55000000000000004">
      <c r="V811" s="239"/>
    </row>
    <row r="812" spans="22:22" x14ac:dyDescent="0.55000000000000004">
      <c r="V812" s="239"/>
    </row>
    <row r="813" spans="22:22" x14ac:dyDescent="0.55000000000000004">
      <c r="V813" s="239"/>
    </row>
    <row r="814" spans="22:22" x14ac:dyDescent="0.55000000000000004">
      <c r="V814" s="239"/>
    </row>
    <row r="815" spans="22:22" x14ac:dyDescent="0.55000000000000004">
      <c r="V815" s="239"/>
    </row>
    <row r="816" spans="22:22" x14ac:dyDescent="0.55000000000000004">
      <c r="V816" s="239"/>
    </row>
    <row r="817" spans="22:22" x14ac:dyDescent="0.55000000000000004">
      <c r="V817" s="239"/>
    </row>
    <row r="818" spans="22:22" x14ac:dyDescent="0.55000000000000004">
      <c r="V818" s="239"/>
    </row>
    <row r="819" spans="22:22" x14ac:dyDescent="0.55000000000000004">
      <c r="V819" s="239"/>
    </row>
    <row r="820" spans="22:22" x14ac:dyDescent="0.55000000000000004">
      <c r="V820" s="239"/>
    </row>
    <row r="821" spans="22:22" x14ac:dyDescent="0.55000000000000004">
      <c r="V821" s="239"/>
    </row>
    <row r="822" spans="22:22" x14ac:dyDescent="0.55000000000000004">
      <c r="V822" s="239"/>
    </row>
    <row r="823" spans="22:22" x14ac:dyDescent="0.55000000000000004">
      <c r="V823" s="239"/>
    </row>
    <row r="824" spans="22:22" x14ac:dyDescent="0.55000000000000004">
      <c r="V824" s="239"/>
    </row>
    <row r="825" spans="22:22" x14ac:dyDescent="0.55000000000000004">
      <c r="V825" s="239"/>
    </row>
    <row r="826" spans="22:22" x14ac:dyDescent="0.55000000000000004">
      <c r="V826" s="239"/>
    </row>
    <row r="827" spans="22:22" x14ac:dyDescent="0.55000000000000004">
      <c r="V827" s="239"/>
    </row>
    <row r="828" spans="22:22" x14ac:dyDescent="0.55000000000000004">
      <c r="V828" s="239"/>
    </row>
    <row r="829" spans="22:22" x14ac:dyDescent="0.55000000000000004">
      <c r="V829" s="239"/>
    </row>
    <row r="830" spans="22:22" x14ac:dyDescent="0.55000000000000004">
      <c r="V830" s="239"/>
    </row>
    <row r="831" spans="22:22" x14ac:dyDescent="0.55000000000000004">
      <c r="V831" s="239"/>
    </row>
    <row r="832" spans="22:22" x14ac:dyDescent="0.55000000000000004">
      <c r="V832" s="239"/>
    </row>
    <row r="833" spans="22:22" x14ac:dyDescent="0.55000000000000004">
      <c r="V833" s="239"/>
    </row>
    <row r="834" spans="22:22" x14ac:dyDescent="0.55000000000000004">
      <c r="V834" s="239"/>
    </row>
    <row r="835" spans="22:22" x14ac:dyDescent="0.55000000000000004">
      <c r="V835" s="239"/>
    </row>
    <row r="836" spans="22:22" x14ac:dyDescent="0.55000000000000004">
      <c r="V836" s="239"/>
    </row>
    <row r="837" spans="22:22" x14ac:dyDescent="0.55000000000000004">
      <c r="V837" s="239"/>
    </row>
    <row r="838" spans="22:22" x14ac:dyDescent="0.55000000000000004">
      <c r="V838" s="239"/>
    </row>
    <row r="839" spans="22:22" x14ac:dyDescent="0.55000000000000004">
      <c r="V839" s="239"/>
    </row>
    <row r="840" spans="22:22" x14ac:dyDescent="0.55000000000000004">
      <c r="V840" s="239"/>
    </row>
    <row r="841" spans="22:22" x14ac:dyDescent="0.55000000000000004">
      <c r="V841" s="239"/>
    </row>
    <row r="842" spans="22:22" x14ac:dyDescent="0.55000000000000004">
      <c r="V842" s="239"/>
    </row>
    <row r="843" spans="22:22" x14ac:dyDescent="0.55000000000000004">
      <c r="V843" s="239"/>
    </row>
    <row r="844" spans="22:22" x14ac:dyDescent="0.55000000000000004">
      <c r="V844" s="239"/>
    </row>
    <row r="845" spans="22:22" x14ac:dyDescent="0.55000000000000004">
      <c r="V845" s="239"/>
    </row>
    <row r="846" spans="22:22" x14ac:dyDescent="0.55000000000000004">
      <c r="V846" s="239"/>
    </row>
    <row r="847" spans="22:22" x14ac:dyDescent="0.55000000000000004">
      <c r="V847" s="239"/>
    </row>
    <row r="848" spans="22:22" x14ac:dyDescent="0.55000000000000004">
      <c r="V848" s="239"/>
    </row>
    <row r="849" spans="22:22" x14ac:dyDescent="0.55000000000000004">
      <c r="V849" s="239"/>
    </row>
    <row r="850" spans="22:22" x14ac:dyDescent="0.55000000000000004">
      <c r="V850" s="239"/>
    </row>
    <row r="851" spans="22:22" x14ac:dyDescent="0.55000000000000004">
      <c r="V851" s="239"/>
    </row>
    <row r="852" spans="22:22" x14ac:dyDescent="0.55000000000000004">
      <c r="V852" s="239"/>
    </row>
    <row r="853" spans="22:22" x14ac:dyDescent="0.55000000000000004">
      <c r="V853" s="239"/>
    </row>
    <row r="854" spans="22:22" x14ac:dyDescent="0.55000000000000004">
      <c r="V854" s="239"/>
    </row>
    <row r="855" spans="22:22" x14ac:dyDescent="0.55000000000000004">
      <c r="V855" s="239"/>
    </row>
    <row r="856" spans="22:22" x14ac:dyDescent="0.55000000000000004">
      <c r="V856" s="239"/>
    </row>
    <row r="857" spans="22:22" x14ac:dyDescent="0.55000000000000004">
      <c r="V857" s="239"/>
    </row>
    <row r="858" spans="22:22" x14ac:dyDescent="0.55000000000000004">
      <c r="V858" s="239"/>
    </row>
    <row r="859" spans="22:22" x14ac:dyDescent="0.55000000000000004">
      <c r="V859" s="239"/>
    </row>
    <row r="860" spans="22:22" x14ac:dyDescent="0.55000000000000004">
      <c r="V860" s="239"/>
    </row>
    <row r="861" spans="22:22" x14ac:dyDescent="0.55000000000000004">
      <c r="V861" s="239"/>
    </row>
    <row r="862" spans="22:22" x14ac:dyDescent="0.55000000000000004">
      <c r="V862" s="239"/>
    </row>
    <row r="863" spans="22:22" x14ac:dyDescent="0.55000000000000004">
      <c r="V863" s="239"/>
    </row>
    <row r="864" spans="22:22" x14ac:dyDescent="0.55000000000000004">
      <c r="V864" s="239"/>
    </row>
    <row r="865" spans="22:22" x14ac:dyDescent="0.55000000000000004">
      <c r="V865" s="239"/>
    </row>
    <row r="866" spans="22:22" x14ac:dyDescent="0.55000000000000004">
      <c r="V866" s="239"/>
    </row>
    <row r="867" spans="22:22" x14ac:dyDescent="0.55000000000000004">
      <c r="V867" s="239"/>
    </row>
    <row r="868" spans="22:22" x14ac:dyDescent="0.55000000000000004">
      <c r="V868" s="239"/>
    </row>
    <row r="869" spans="22:22" x14ac:dyDescent="0.55000000000000004">
      <c r="V869" s="239"/>
    </row>
    <row r="870" spans="22:22" x14ac:dyDescent="0.55000000000000004">
      <c r="V870" s="239"/>
    </row>
    <row r="871" spans="22:22" x14ac:dyDescent="0.55000000000000004">
      <c r="V871" s="239"/>
    </row>
    <row r="872" spans="22:22" x14ac:dyDescent="0.55000000000000004">
      <c r="V872" s="239"/>
    </row>
    <row r="873" spans="22:22" x14ac:dyDescent="0.55000000000000004">
      <c r="V873" s="239"/>
    </row>
    <row r="874" spans="22:22" x14ac:dyDescent="0.55000000000000004">
      <c r="V874" s="239"/>
    </row>
    <row r="875" spans="22:22" x14ac:dyDescent="0.55000000000000004">
      <c r="V875" s="239"/>
    </row>
    <row r="876" spans="22:22" x14ac:dyDescent="0.55000000000000004">
      <c r="V876" s="239"/>
    </row>
    <row r="877" spans="22:22" x14ac:dyDescent="0.55000000000000004">
      <c r="V877" s="239"/>
    </row>
    <row r="878" spans="22:22" x14ac:dyDescent="0.55000000000000004">
      <c r="V878" s="239"/>
    </row>
    <row r="879" spans="22:22" x14ac:dyDescent="0.55000000000000004">
      <c r="V879" s="239"/>
    </row>
    <row r="880" spans="22:22" x14ac:dyDescent="0.55000000000000004">
      <c r="V880" s="239"/>
    </row>
    <row r="881" spans="22:22" x14ac:dyDescent="0.55000000000000004">
      <c r="V881" s="239"/>
    </row>
    <row r="882" spans="22:22" x14ac:dyDescent="0.55000000000000004">
      <c r="V882" s="239"/>
    </row>
    <row r="883" spans="22:22" x14ac:dyDescent="0.55000000000000004">
      <c r="V883" s="239"/>
    </row>
    <row r="884" spans="22:22" x14ac:dyDescent="0.55000000000000004">
      <c r="V884" s="239"/>
    </row>
    <row r="885" spans="22:22" x14ac:dyDescent="0.55000000000000004">
      <c r="V885" s="239"/>
    </row>
    <row r="886" spans="22:22" x14ac:dyDescent="0.55000000000000004">
      <c r="V886" s="239"/>
    </row>
    <row r="887" spans="22:22" x14ac:dyDescent="0.55000000000000004">
      <c r="V887" s="239"/>
    </row>
    <row r="888" spans="22:22" x14ac:dyDescent="0.55000000000000004">
      <c r="V888" s="239"/>
    </row>
    <row r="889" spans="22:22" x14ac:dyDescent="0.55000000000000004">
      <c r="V889" s="239"/>
    </row>
    <row r="890" spans="22:22" x14ac:dyDescent="0.55000000000000004">
      <c r="V890" s="239"/>
    </row>
    <row r="891" spans="22:22" x14ac:dyDescent="0.55000000000000004">
      <c r="V891" s="239"/>
    </row>
    <row r="892" spans="22:22" x14ac:dyDescent="0.55000000000000004">
      <c r="V892" s="239"/>
    </row>
    <row r="893" spans="22:22" x14ac:dyDescent="0.55000000000000004">
      <c r="V893" s="239"/>
    </row>
    <row r="894" spans="22:22" x14ac:dyDescent="0.55000000000000004">
      <c r="V894" s="239"/>
    </row>
    <row r="895" spans="22:22" x14ac:dyDescent="0.55000000000000004">
      <c r="V895" s="239"/>
    </row>
    <row r="896" spans="22:22" x14ac:dyDescent="0.55000000000000004">
      <c r="V896" s="239"/>
    </row>
    <row r="897" spans="22:22" x14ac:dyDescent="0.55000000000000004">
      <c r="V897" s="239"/>
    </row>
    <row r="898" spans="22:22" x14ac:dyDescent="0.55000000000000004">
      <c r="V898" s="239"/>
    </row>
    <row r="899" spans="22:22" x14ac:dyDescent="0.55000000000000004">
      <c r="V899" s="239"/>
    </row>
    <row r="900" spans="22:22" x14ac:dyDescent="0.55000000000000004">
      <c r="V900" s="239"/>
    </row>
    <row r="901" spans="22:22" x14ac:dyDescent="0.55000000000000004">
      <c r="V901" s="239"/>
    </row>
    <row r="902" spans="22:22" x14ac:dyDescent="0.55000000000000004">
      <c r="V902" s="239"/>
    </row>
    <row r="903" spans="22:22" x14ac:dyDescent="0.55000000000000004">
      <c r="V903" s="239"/>
    </row>
    <row r="904" spans="22:22" x14ac:dyDescent="0.55000000000000004">
      <c r="V904" s="239"/>
    </row>
    <row r="905" spans="22:22" x14ac:dyDescent="0.55000000000000004">
      <c r="V905" s="239"/>
    </row>
    <row r="906" spans="22:22" x14ac:dyDescent="0.55000000000000004">
      <c r="V906" s="239"/>
    </row>
    <row r="907" spans="22:22" x14ac:dyDescent="0.55000000000000004">
      <c r="V907" s="239"/>
    </row>
    <row r="908" spans="22:22" x14ac:dyDescent="0.55000000000000004">
      <c r="V908" s="239"/>
    </row>
    <row r="909" spans="22:22" x14ac:dyDescent="0.55000000000000004">
      <c r="V909" s="239"/>
    </row>
    <row r="910" spans="22:22" x14ac:dyDescent="0.55000000000000004">
      <c r="V910" s="239"/>
    </row>
    <row r="911" spans="22:22" x14ac:dyDescent="0.55000000000000004">
      <c r="V911" s="239"/>
    </row>
    <row r="912" spans="22:22" x14ac:dyDescent="0.55000000000000004">
      <c r="V912" s="239"/>
    </row>
    <row r="913" spans="22:22" x14ac:dyDescent="0.55000000000000004">
      <c r="V913" s="239"/>
    </row>
    <row r="914" spans="22:22" x14ac:dyDescent="0.55000000000000004">
      <c r="V914" s="239"/>
    </row>
    <row r="915" spans="22:22" x14ac:dyDescent="0.55000000000000004">
      <c r="V915" s="239"/>
    </row>
    <row r="916" spans="22:22" x14ac:dyDescent="0.55000000000000004">
      <c r="V916" s="239"/>
    </row>
    <row r="917" spans="22:22" x14ac:dyDescent="0.55000000000000004">
      <c r="V917" s="239"/>
    </row>
    <row r="918" spans="22:22" x14ac:dyDescent="0.55000000000000004">
      <c r="V918" s="239"/>
    </row>
    <row r="919" spans="22:22" x14ac:dyDescent="0.55000000000000004">
      <c r="V919" s="239"/>
    </row>
    <row r="920" spans="22:22" x14ac:dyDescent="0.55000000000000004">
      <c r="V920" s="239"/>
    </row>
    <row r="921" spans="22:22" x14ac:dyDescent="0.55000000000000004">
      <c r="V921" s="239"/>
    </row>
    <row r="922" spans="22:22" x14ac:dyDescent="0.55000000000000004">
      <c r="V922" s="239"/>
    </row>
    <row r="923" spans="22:22" x14ac:dyDescent="0.55000000000000004">
      <c r="V923" s="239"/>
    </row>
    <row r="924" spans="22:22" x14ac:dyDescent="0.55000000000000004">
      <c r="V924" s="239"/>
    </row>
    <row r="925" spans="22:22" x14ac:dyDescent="0.55000000000000004">
      <c r="V925" s="239"/>
    </row>
    <row r="926" spans="22:22" x14ac:dyDescent="0.55000000000000004">
      <c r="V926" s="239"/>
    </row>
    <row r="927" spans="22:22" x14ac:dyDescent="0.55000000000000004">
      <c r="V927" s="239"/>
    </row>
    <row r="928" spans="22:22" x14ac:dyDescent="0.55000000000000004">
      <c r="V928" s="239"/>
    </row>
    <row r="929" spans="22:22" x14ac:dyDescent="0.55000000000000004">
      <c r="V929" s="239"/>
    </row>
    <row r="930" spans="22:22" x14ac:dyDescent="0.55000000000000004">
      <c r="V930" s="239"/>
    </row>
    <row r="931" spans="22:22" x14ac:dyDescent="0.55000000000000004">
      <c r="V931" s="239"/>
    </row>
    <row r="932" spans="22:22" x14ac:dyDescent="0.55000000000000004">
      <c r="V932" s="239"/>
    </row>
    <row r="933" spans="22:22" x14ac:dyDescent="0.55000000000000004">
      <c r="V933" s="239"/>
    </row>
    <row r="934" spans="22:22" x14ac:dyDescent="0.55000000000000004">
      <c r="V934" s="239"/>
    </row>
    <row r="935" spans="22:22" x14ac:dyDescent="0.55000000000000004">
      <c r="V935" s="239"/>
    </row>
    <row r="936" spans="22:22" x14ac:dyDescent="0.55000000000000004">
      <c r="V936" s="239"/>
    </row>
    <row r="937" spans="22:22" x14ac:dyDescent="0.55000000000000004">
      <c r="V937" s="239"/>
    </row>
    <row r="938" spans="22:22" x14ac:dyDescent="0.55000000000000004">
      <c r="V938" s="239"/>
    </row>
    <row r="939" spans="22:22" x14ac:dyDescent="0.55000000000000004">
      <c r="V939" s="239"/>
    </row>
    <row r="940" spans="22:22" x14ac:dyDescent="0.55000000000000004">
      <c r="V940" s="239"/>
    </row>
    <row r="941" spans="22:22" x14ac:dyDescent="0.55000000000000004">
      <c r="V941" s="239"/>
    </row>
    <row r="942" spans="22:22" x14ac:dyDescent="0.55000000000000004">
      <c r="V942" s="239"/>
    </row>
    <row r="943" spans="22:22" x14ac:dyDescent="0.55000000000000004">
      <c r="V943" s="239"/>
    </row>
    <row r="944" spans="22:22" x14ac:dyDescent="0.55000000000000004">
      <c r="V944" s="239"/>
    </row>
    <row r="945" spans="22:22" x14ac:dyDescent="0.55000000000000004">
      <c r="V945" s="239"/>
    </row>
    <row r="946" spans="22:22" x14ac:dyDescent="0.55000000000000004">
      <c r="V946" s="239"/>
    </row>
    <row r="947" spans="22:22" x14ac:dyDescent="0.55000000000000004">
      <c r="V947" s="239"/>
    </row>
    <row r="948" spans="22:22" x14ac:dyDescent="0.55000000000000004">
      <c r="V948" s="239"/>
    </row>
    <row r="949" spans="22:22" x14ac:dyDescent="0.55000000000000004">
      <c r="V949" s="239"/>
    </row>
    <row r="950" spans="22:22" x14ac:dyDescent="0.55000000000000004">
      <c r="V950" s="239"/>
    </row>
    <row r="951" spans="22:22" x14ac:dyDescent="0.55000000000000004">
      <c r="V951" s="239"/>
    </row>
    <row r="952" spans="22:22" x14ac:dyDescent="0.55000000000000004">
      <c r="V952" s="239"/>
    </row>
    <row r="953" spans="22:22" x14ac:dyDescent="0.55000000000000004">
      <c r="V953" s="239"/>
    </row>
    <row r="954" spans="22:22" x14ac:dyDescent="0.55000000000000004">
      <c r="V954" s="239"/>
    </row>
    <row r="955" spans="22:22" x14ac:dyDescent="0.55000000000000004">
      <c r="V955" s="239"/>
    </row>
    <row r="956" spans="22:22" x14ac:dyDescent="0.55000000000000004">
      <c r="V956" s="239"/>
    </row>
    <row r="957" spans="22:22" x14ac:dyDescent="0.55000000000000004">
      <c r="V957" s="239"/>
    </row>
    <row r="958" spans="22:22" x14ac:dyDescent="0.55000000000000004">
      <c r="V958" s="239"/>
    </row>
    <row r="959" spans="22:22" x14ac:dyDescent="0.55000000000000004">
      <c r="V959" s="239"/>
    </row>
    <row r="960" spans="22:22" x14ac:dyDescent="0.55000000000000004">
      <c r="V960" s="239"/>
    </row>
    <row r="961" spans="22:22" x14ac:dyDescent="0.55000000000000004">
      <c r="V961" s="239"/>
    </row>
    <row r="962" spans="22:22" x14ac:dyDescent="0.55000000000000004">
      <c r="V962" s="239"/>
    </row>
    <row r="963" spans="22:22" x14ac:dyDescent="0.55000000000000004">
      <c r="V963" s="239"/>
    </row>
    <row r="964" spans="22:22" x14ac:dyDescent="0.55000000000000004">
      <c r="V964" s="239"/>
    </row>
    <row r="965" spans="22:22" x14ac:dyDescent="0.55000000000000004">
      <c r="V965" s="239"/>
    </row>
    <row r="966" spans="22:22" x14ac:dyDescent="0.55000000000000004">
      <c r="V966" s="239"/>
    </row>
    <row r="967" spans="22:22" x14ac:dyDescent="0.55000000000000004">
      <c r="V967" s="239"/>
    </row>
    <row r="968" spans="22:22" x14ac:dyDescent="0.55000000000000004">
      <c r="V968" s="239"/>
    </row>
    <row r="969" spans="22:22" x14ac:dyDescent="0.55000000000000004">
      <c r="V969" s="239"/>
    </row>
    <row r="970" spans="22:22" x14ac:dyDescent="0.55000000000000004">
      <c r="V970" s="239"/>
    </row>
    <row r="971" spans="22:22" x14ac:dyDescent="0.55000000000000004">
      <c r="V971" s="239"/>
    </row>
    <row r="972" spans="22:22" x14ac:dyDescent="0.55000000000000004">
      <c r="V972" s="239"/>
    </row>
    <row r="973" spans="22:22" x14ac:dyDescent="0.55000000000000004">
      <c r="V973" s="239"/>
    </row>
    <row r="974" spans="22:22" x14ac:dyDescent="0.55000000000000004">
      <c r="V974" s="239"/>
    </row>
    <row r="975" spans="22:22" x14ac:dyDescent="0.55000000000000004">
      <c r="V975" s="239"/>
    </row>
    <row r="976" spans="22:22" x14ac:dyDescent="0.55000000000000004">
      <c r="V976" s="239"/>
    </row>
    <row r="977" spans="22:22" x14ac:dyDescent="0.55000000000000004">
      <c r="V977" s="239"/>
    </row>
    <row r="978" spans="22:22" x14ac:dyDescent="0.55000000000000004">
      <c r="V978" s="239"/>
    </row>
    <row r="979" spans="22:22" x14ac:dyDescent="0.55000000000000004">
      <c r="V979" s="239"/>
    </row>
    <row r="980" spans="22:22" x14ac:dyDescent="0.55000000000000004">
      <c r="V980" s="239"/>
    </row>
    <row r="981" spans="22:22" x14ac:dyDescent="0.55000000000000004">
      <c r="V981" s="239"/>
    </row>
    <row r="982" spans="22:22" x14ac:dyDescent="0.55000000000000004">
      <c r="V982" s="239"/>
    </row>
    <row r="983" spans="22:22" x14ac:dyDescent="0.55000000000000004">
      <c r="V983" s="239"/>
    </row>
    <row r="984" spans="22:22" x14ac:dyDescent="0.55000000000000004">
      <c r="V984" s="239"/>
    </row>
    <row r="985" spans="22:22" x14ac:dyDescent="0.55000000000000004">
      <c r="V985" s="239"/>
    </row>
    <row r="986" spans="22:22" x14ac:dyDescent="0.55000000000000004">
      <c r="V986" s="239"/>
    </row>
    <row r="987" spans="22:22" x14ac:dyDescent="0.55000000000000004">
      <c r="V987" s="239"/>
    </row>
    <row r="988" spans="22:22" x14ac:dyDescent="0.55000000000000004">
      <c r="V988" s="239"/>
    </row>
    <row r="989" spans="22:22" x14ac:dyDescent="0.55000000000000004">
      <c r="V989" s="239"/>
    </row>
    <row r="990" spans="22:22" x14ac:dyDescent="0.55000000000000004">
      <c r="V990" s="239"/>
    </row>
    <row r="991" spans="22:22" x14ac:dyDescent="0.55000000000000004">
      <c r="V991" s="239"/>
    </row>
    <row r="992" spans="22:22" x14ac:dyDescent="0.55000000000000004">
      <c r="V992" s="239"/>
    </row>
    <row r="993" spans="22:22" x14ac:dyDescent="0.55000000000000004">
      <c r="V993" s="239"/>
    </row>
    <row r="994" spans="22:22" x14ac:dyDescent="0.55000000000000004">
      <c r="V994" s="239"/>
    </row>
    <row r="995" spans="22:22" x14ac:dyDescent="0.55000000000000004">
      <c r="V995" s="239"/>
    </row>
    <row r="996" spans="22:22" x14ac:dyDescent="0.55000000000000004">
      <c r="V996" s="239"/>
    </row>
    <row r="997" spans="22:22" x14ac:dyDescent="0.55000000000000004">
      <c r="V997" s="239"/>
    </row>
    <row r="998" spans="22:22" x14ac:dyDescent="0.55000000000000004">
      <c r="V998" s="239"/>
    </row>
    <row r="999" spans="22:22" x14ac:dyDescent="0.55000000000000004">
      <c r="V999" s="239"/>
    </row>
    <row r="1000" spans="22:22" x14ac:dyDescent="0.55000000000000004">
      <c r="V1000" s="239"/>
    </row>
    <row r="1001" spans="22:22" x14ac:dyDescent="0.55000000000000004">
      <c r="V1001" s="239"/>
    </row>
    <row r="1002" spans="22:22" x14ac:dyDescent="0.55000000000000004">
      <c r="V1002" s="239"/>
    </row>
    <row r="1003" spans="22:22" x14ac:dyDescent="0.55000000000000004">
      <c r="V1003" s="239"/>
    </row>
    <row r="1004" spans="22:22" x14ac:dyDescent="0.55000000000000004">
      <c r="V1004" s="239"/>
    </row>
    <row r="1005" spans="22:22" x14ac:dyDescent="0.55000000000000004">
      <c r="V1005" s="239"/>
    </row>
    <row r="1006" spans="22:22" x14ac:dyDescent="0.55000000000000004">
      <c r="V1006" s="239"/>
    </row>
    <row r="1007" spans="22:22" x14ac:dyDescent="0.55000000000000004">
      <c r="V1007" s="239"/>
    </row>
    <row r="1008" spans="22:22" x14ac:dyDescent="0.55000000000000004">
      <c r="V1008" s="239"/>
    </row>
    <row r="1009" spans="22:22" x14ac:dyDescent="0.55000000000000004">
      <c r="V1009" s="239"/>
    </row>
    <row r="1010" spans="22:22" x14ac:dyDescent="0.55000000000000004">
      <c r="V1010" s="239"/>
    </row>
    <row r="1011" spans="22:22" x14ac:dyDescent="0.55000000000000004">
      <c r="V1011" s="239"/>
    </row>
    <row r="1012" spans="22:22" x14ac:dyDescent="0.55000000000000004">
      <c r="V1012" s="239"/>
    </row>
    <row r="1013" spans="22:22" x14ac:dyDescent="0.55000000000000004">
      <c r="V1013" s="239"/>
    </row>
    <row r="1014" spans="22:22" x14ac:dyDescent="0.55000000000000004">
      <c r="V1014" s="239"/>
    </row>
    <row r="1015" spans="22:22" x14ac:dyDescent="0.55000000000000004">
      <c r="V1015" s="239"/>
    </row>
    <row r="1016" spans="22:22" x14ac:dyDescent="0.55000000000000004">
      <c r="V1016" s="239"/>
    </row>
    <row r="1017" spans="22:22" x14ac:dyDescent="0.55000000000000004">
      <c r="V1017" s="239"/>
    </row>
    <row r="1018" spans="22:22" x14ac:dyDescent="0.55000000000000004">
      <c r="V1018" s="239"/>
    </row>
    <row r="1019" spans="22:22" x14ac:dyDescent="0.55000000000000004">
      <c r="V1019" s="239"/>
    </row>
    <row r="1020" spans="22:22" x14ac:dyDescent="0.55000000000000004">
      <c r="V1020" s="239"/>
    </row>
    <row r="1021" spans="22:22" x14ac:dyDescent="0.55000000000000004">
      <c r="V1021" s="239"/>
    </row>
    <row r="1022" spans="22:22" x14ac:dyDescent="0.55000000000000004">
      <c r="V1022" s="239"/>
    </row>
    <row r="1023" spans="22:22" x14ac:dyDescent="0.55000000000000004">
      <c r="V1023" s="239"/>
    </row>
    <row r="1024" spans="22:22" x14ac:dyDescent="0.55000000000000004">
      <c r="V1024" s="239"/>
    </row>
    <row r="1025" spans="22:22" x14ac:dyDescent="0.55000000000000004">
      <c r="V1025" s="239"/>
    </row>
    <row r="1026" spans="22:22" x14ac:dyDescent="0.55000000000000004">
      <c r="V1026" s="239"/>
    </row>
    <row r="1027" spans="22:22" x14ac:dyDescent="0.55000000000000004">
      <c r="V1027" s="239"/>
    </row>
    <row r="1028" spans="22:22" x14ac:dyDescent="0.55000000000000004">
      <c r="V1028" s="239"/>
    </row>
    <row r="1029" spans="22:22" x14ac:dyDescent="0.55000000000000004">
      <c r="V1029" s="239"/>
    </row>
    <row r="1030" spans="22:22" x14ac:dyDescent="0.55000000000000004">
      <c r="V1030" s="239"/>
    </row>
    <row r="1031" spans="22:22" x14ac:dyDescent="0.55000000000000004">
      <c r="V1031" s="239"/>
    </row>
    <row r="1032" spans="22:22" x14ac:dyDescent="0.55000000000000004">
      <c r="V1032" s="239"/>
    </row>
    <row r="1033" spans="22:22" x14ac:dyDescent="0.55000000000000004">
      <c r="V1033" s="239"/>
    </row>
    <row r="1034" spans="22:22" x14ac:dyDescent="0.55000000000000004">
      <c r="V1034" s="239"/>
    </row>
    <row r="1035" spans="22:22" x14ac:dyDescent="0.55000000000000004">
      <c r="V1035" s="239"/>
    </row>
    <row r="1036" spans="22:22" x14ac:dyDescent="0.55000000000000004">
      <c r="V1036" s="239"/>
    </row>
    <row r="1037" spans="22:22" x14ac:dyDescent="0.55000000000000004">
      <c r="V1037" s="239"/>
    </row>
    <row r="1038" spans="22:22" x14ac:dyDescent="0.55000000000000004">
      <c r="V1038" s="239"/>
    </row>
    <row r="1039" spans="22:22" x14ac:dyDescent="0.55000000000000004">
      <c r="V1039" s="239"/>
    </row>
    <row r="1040" spans="22:22" x14ac:dyDescent="0.55000000000000004">
      <c r="V1040" s="239"/>
    </row>
    <row r="1041" spans="22:22" x14ac:dyDescent="0.55000000000000004">
      <c r="V1041" s="239"/>
    </row>
    <row r="1042" spans="22:22" x14ac:dyDescent="0.55000000000000004">
      <c r="V1042" s="239"/>
    </row>
    <row r="1043" spans="22:22" x14ac:dyDescent="0.55000000000000004">
      <c r="V1043" s="239"/>
    </row>
    <row r="1044" spans="22:22" x14ac:dyDescent="0.55000000000000004">
      <c r="V1044" s="239"/>
    </row>
    <row r="1045" spans="22:22" x14ac:dyDescent="0.55000000000000004">
      <c r="V1045" s="239"/>
    </row>
    <row r="1046" spans="22:22" x14ac:dyDescent="0.55000000000000004">
      <c r="V1046" s="239"/>
    </row>
    <row r="1047" spans="22:22" x14ac:dyDescent="0.55000000000000004">
      <c r="V1047" s="239"/>
    </row>
    <row r="1048" spans="22:22" x14ac:dyDescent="0.55000000000000004">
      <c r="V1048" s="239"/>
    </row>
    <row r="1049" spans="22:22" x14ac:dyDescent="0.55000000000000004">
      <c r="V1049" s="239"/>
    </row>
    <row r="1050" spans="22:22" x14ac:dyDescent="0.55000000000000004">
      <c r="V1050" s="239"/>
    </row>
    <row r="1051" spans="22:22" x14ac:dyDescent="0.55000000000000004">
      <c r="V1051" s="239"/>
    </row>
    <row r="1052" spans="22:22" x14ac:dyDescent="0.55000000000000004">
      <c r="V1052" s="239"/>
    </row>
    <row r="1053" spans="22:22" x14ac:dyDescent="0.55000000000000004">
      <c r="V1053" s="239"/>
    </row>
    <row r="1054" spans="22:22" x14ac:dyDescent="0.55000000000000004">
      <c r="V1054" s="239"/>
    </row>
    <row r="1055" spans="22:22" x14ac:dyDescent="0.55000000000000004">
      <c r="V1055" s="239"/>
    </row>
    <row r="1056" spans="22:22" x14ac:dyDescent="0.55000000000000004">
      <c r="V1056" s="239"/>
    </row>
    <row r="1057" spans="22:22" x14ac:dyDescent="0.55000000000000004">
      <c r="V1057" s="239"/>
    </row>
    <row r="1058" spans="22:22" x14ac:dyDescent="0.55000000000000004">
      <c r="V1058" s="239"/>
    </row>
    <row r="1059" spans="22:22" x14ac:dyDescent="0.55000000000000004">
      <c r="V1059" s="239"/>
    </row>
    <row r="1060" spans="22:22" x14ac:dyDescent="0.55000000000000004">
      <c r="V1060" s="239"/>
    </row>
    <row r="1061" spans="22:22" x14ac:dyDescent="0.55000000000000004">
      <c r="V1061" s="239"/>
    </row>
    <row r="1062" spans="22:22" x14ac:dyDescent="0.55000000000000004">
      <c r="V1062" s="239"/>
    </row>
    <row r="1063" spans="22:22" x14ac:dyDescent="0.55000000000000004">
      <c r="V1063" s="239"/>
    </row>
    <row r="1064" spans="22:22" x14ac:dyDescent="0.55000000000000004">
      <c r="V1064" s="239"/>
    </row>
    <row r="1065" spans="22:22" x14ac:dyDescent="0.55000000000000004">
      <c r="V1065" s="239"/>
    </row>
    <row r="1066" spans="22:22" x14ac:dyDescent="0.55000000000000004">
      <c r="V1066" s="239"/>
    </row>
    <row r="1067" spans="22:22" x14ac:dyDescent="0.55000000000000004">
      <c r="V1067" s="239"/>
    </row>
    <row r="1068" spans="22:22" x14ac:dyDescent="0.55000000000000004">
      <c r="V1068" s="239"/>
    </row>
    <row r="1069" spans="22:22" x14ac:dyDescent="0.55000000000000004">
      <c r="V1069" s="239"/>
    </row>
    <row r="1070" spans="22:22" x14ac:dyDescent="0.55000000000000004">
      <c r="V1070" s="239"/>
    </row>
    <row r="1071" spans="22:22" x14ac:dyDescent="0.55000000000000004">
      <c r="V1071" s="239"/>
    </row>
    <row r="1072" spans="22:22" x14ac:dyDescent="0.55000000000000004">
      <c r="V1072" s="239"/>
    </row>
    <row r="1073" spans="22:22" x14ac:dyDescent="0.55000000000000004">
      <c r="V1073" s="239"/>
    </row>
    <row r="1074" spans="22:22" x14ac:dyDescent="0.55000000000000004">
      <c r="V1074" s="239"/>
    </row>
    <row r="1075" spans="22:22" x14ac:dyDescent="0.55000000000000004">
      <c r="V1075" s="239"/>
    </row>
    <row r="1076" spans="22:22" x14ac:dyDescent="0.55000000000000004">
      <c r="V1076" s="239"/>
    </row>
    <row r="1077" spans="22:22" x14ac:dyDescent="0.55000000000000004">
      <c r="V1077" s="239"/>
    </row>
    <row r="1078" spans="22:22" x14ac:dyDescent="0.55000000000000004">
      <c r="V1078" s="239"/>
    </row>
    <row r="1079" spans="22:22" x14ac:dyDescent="0.55000000000000004">
      <c r="V1079" s="239"/>
    </row>
    <row r="1080" spans="22:22" x14ac:dyDescent="0.55000000000000004">
      <c r="V1080" s="239"/>
    </row>
    <row r="1081" spans="22:22" x14ac:dyDescent="0.55000000000000004">
      <c r="V1081" s="239"/>
    </row>
    <row r="1082" spans="22:22" x14ac:dyDescent="0.55000000000000004">
      <c r="V1082" s="239"/>
    </row>
    <row r="1083" spans="22:22" x14ac:dyDescent="0.55000000000000004">
      <c r="V1083" s="239"/>
    </row>
    <row r="1084" spans="22:22" x14ac:dyDescent="0.55000000000000004">
      <c r="V1084" s="239"/>
    </row>
    <row r="1085" spans="22:22" x14ac:dyDescent="0.55000000000000004">
      <c r="V1085" s="239"/>
    </row>
    <row r="1086" spans="22:22" x14ac:dyDescent="0.55000000000000004">
      <c r="V1086" s="239"/>
    </row>
    <row r="1087" spans="22:22" x14ac:dyDescent="0.55000000000000004">
      <c r="V1087" s="239"/>
    </row>
    <row r="1088" spans="22:22" x14ac:dyDescent="0.55000000000000004">
      <c r="V1088" s="239"/>
    </row>
    <row r="1089" spans="22:22" x14ac:dyDescent="0.55000000000000004">
      <c r="V1089" s="239"/>
    </row>
    <row r="1090" spans="22:22" x14ac:dyDescent="0.55000000000000004">
      <c r="V1090" s="239"/>
    </row>
    <row r="1091" spans="22:22" x14ac:dyDescent="0.55000000000000004">
      <c r="V1091" s="239"/>
    </row>
    <row r="1092" spans="22:22" x14ac:dyDescent="0.55000000000000004">
      <c r="V1092" s="239"/>
    </row>
    <row r="1093" spans="22:22" x14ac:dyDescent="0.55000000000000004">
      <c r="V1093" s="239"/>
    </row>
    <row r="1094" spans="22:22" x14ac:dyDescent="0.55000000000000004">
      <c r="V1094" s="239"/>
    </row>
    <row r="1095" spans="22:22" x14ac:dyDescent="0.55000000000000004">
      <c r="V1095" s="239"/>
    </row>
    <row r="1096" spans="22:22" x14ac:dyDescent="0.55000000000000004">
      <c r="V1096" s="239"/>
    </row>
    <row r="1097" spans="22:22" x14ac:dyDescent="0.55000000000000004">
      <c r="V1097" s="239"/>
    </row>
    <row r="1098" spans="22:22" x14ac:dyDescent="0.55000000000000004">
      <c r="V1098" s="239"/>
    </row>
    <row r="1099" spans="22:22" x14ac:dyDescent="0.55000000000000004">
      <c r="V1099" s="239"/>
    </row>
    <row r="1100" spans="22:22" x14ac:dyDescent="0.55000000000000004">
      <c r="V1100" s="239"/>
    </row>
    <row r="1101" spans="22:22" x14ac:dyDescent="0.55000000000000004">
      <c r="V1101" s="239"/>
    </row>
    <row r="1102" spans="22:22" x14ac:dyDescent="0.55000000000000004">
      <c r="V1102" s="239"/>
    </row>
    <row r="1103" spans="22:22" x14ac:dyDescent="0.55000000000000004">
      <c r="V1103" s="239"/>
    </row>
    <row r="1104" spans="22:22" x14ac:dyDescent="0.55000000000000004">
      <c r="V1104" s="239"/>
    </row>
    <row r="1105" spans="22:22" x14ac:dyDescent="0.55000000000000004">
      <c r="V1105" s="239"/>
    </row>
    <row r="1106" spans="22:22" x14ac:dyDescent="0.55000000000000004">
      <c r="V1106" s="239"/>
    </row>
    <row r="1107" spans="22:22" x14ac:dyDescent="0.55000000000000004">
      <c r="V1107" s="239"/>
    </row>
    <row r="1108" spans="22:22" x14ac:dyDescent="0.55000000000000004">
      <c r="V1108" s="239"/>
    </row>
    <row r="1109" spans="22:22" x14ac:dyDescent="0.55000000000000004">
      <c r="V1109" s="239"/>
    </row>
    <row r="1110" spans="22:22" x14ac:dyDescent="0.55000000000000004">
      <c r="V1110" s="239"/>
    </row>
    <row r="1111" spans="22:22" x14ac:dyDescent="0.55000000000000004">
      <c r="V1111" s="239"/>
    </row>
    <row r="1112" spans="22:22" x14ac:dyDescent="0.55000000000000004">
      <c r="V1112" s="239"/>
    </row>
    <row r="1113" spans="22:22" x14ac:dyDescent="0.55000000000000004">
      <c r="V1113" s="239"/>
    </row>
    <row r="1114" spans="22:22" x14ac:dyDescent="0.55000000000000004">
      <c r="V1114" s="239"/>
    </row>
    <row r="1115" spans="22:22" x14ac:dyDescent="0.55000000000000004">
      <c r="V1115" s="239"/>
    </row>
    <row r="1116" spans="22:22" x14ac:dyDescent="0.55000000000000004">
      <c r="V1116" s="239"/>
    </row>
    <row r="1117" spans="22:22" x14ac:dyDescent="0.55000000000000004">
      <c r="V1117" s="239"/>
    </row>
    <row r="1118" spans="22:22" x14ac:dyDescent="0.55000000000000004">
      <c r="V1118" s="239"/>
    </row>
    <row r="1119" spans="22:22" x14ac:dyDescent="0.55000000000000004">
      <c r="V1119" s="239"/>
    </row>
    <row r="1120" spans="22:22" x14ac:dyDescent="0.55000000000000004">
      <c r="V1120" s="239"/>
    </row>
    <row r="1121" spans="22:22" x14ac:dyDescent="0.55000000000000004">
      <c r="V1121" s="239"/>
    </row>
    <row r="1122" spans="22:22" x14ac:dyDescent="0.55000000000000004">
      <c r="V1122" s="239"/>
    </row>
    <row r="1123" spans="22:22" x14ac:dyDescent="0.55000000000000004">
      <c r="V1123" s="239"/>
    </row>
    <row r="1124" spans="22:22" x14ac:dyDescent="0.55000000000000004">
      <c r="V1124" s="239"/>
    </row>
    <row r="1125" spans="22:22" x14ac:dyDescent="0.55000000000000004">
      <c r="V1125" s="239"/>
    </row>
    <row r="1126" spans="22:22" x14ac:dyDescent="0.55000000000000004">
      <c r="V1126" s="239"/>
    </row>
    <row r="1127" spans="22:22" x14ac:dyDescent="0.55000000000000004">
      <c r="V1127" s="239"/>
    </row>
    <row r="1128" spans="22:22" x14ac:dyDescent="0.55000000000000004">
      <c r="V1128" s="239"/>
    </row>
    <row r="1129" spans="22:22" x14ac:dyDescent="0.55000000000000004">
      <c r="V1129" s="239"/>
    </row>
    <row r="1130" spans="22:22" x14ac:dyDescent="0.55000000000000004">
      <c r="V1130" s="239"/>
    </row>
    <row r="1131" spans="22:22" x14ac:dyDescent="0.55000000000000004">
      <c r="V1131" s="239"/>
    </row>
    <row r="1132" spans="22:22" x14ac:dyDescent="0.55000000000000004">
      <c r="V1132" s="239"/>
    </row>
    <row r="1133" spans="22:22" x14ac:dyDescent="0.55000000000000004">
      <c r="V1133" s="239"/>
    </row>
    <row r="1134" spans="22:22" x14ac:dyDescent="0.55000000000000004">
      <c r="V1134" s="239"/>
    </row>
    <row r="1135" spans="22:22" x14ac:dyDescent="0.55000000000000004">
      <c r="V1135" s="239"/>
    </row>
    <row r="1136" spans="22:22" x14ac:dyDescent="0.55000000000000004">
      <c r="V1136" s="239"/>
    </row>
    <row r="1137" spans="22:22" x14ac:dyDescent="0.55000000000000004">
      <c r="V1137" s="239"/>
    </row>
    <row r="1138" spans="22:22" x14ac:dyDescent="0.55000000000000004">
      <c r="V1138" s="239"/>
    </row>
    <row r="1139" spans="22:22" x14ac:dyDescent="0.55000000000000004">
      <c r="V1139" s="239"/>
    </row>
    <row r="1140" spans="22:22" x14ac:dyDescent="0.55000000000000004">
      <c r="V1140" s="239"/>
    </row>
    <row r="1141" spans="22:22" x14ac:dyDescent="0.55000000000000004">
      <c r="V1141" s="239"/>
    </row>
    <row r="1142" spans="22:22" x14ac:dyDescent="0.55000000000000004">
      <c r="V1142" s="239"/>
    </row>
    <row r="1143" spans="22:22" x14ac:dyDescent="0.55000000000000004">
      <c r="V1143" s="239"/>
    </row>
    <row r="1144" spans="22:22" x14ac:dyDescent="0.55000000000000004">
      <c r="V1144" s="239"/>
    </row>
    <row r="1145" spans="22:22" x14ac:dyDescent="0.55000000000000004">
      <c r="V1145" s="239"/>
    </row>
    <row r="1146" spans="22:22" x14ac:dyDescent="0.55000000000000004">
      <c r="V1146" s="239"/>
    </row>
    <row r="1147" spans="22:22" x14ac:dyDescent="0.55000000000000004">
      <c r="V1147" s="239"/>
    </row>
    <row r="1148" spans="22:22" x14ac:dyDescent="0.55000000000000004">
      <c r="V1148" s="239"/>
    </row>
    <row r="1149" spans="22:22" x14ac:dyDescent="0.55000000000000004">
      <c r="V1149" s="239"/>
    </row>
    <row r="1150" spans="22:22" x14ac:dyDescent="0.55000000000000004">
      <c r="V1150" s="239"/>
    </row>
    <row r="1151" spans="22:22" x14ac:dyDescent="0.55000000000000004">
      <c r="V1151" s="239"/>
    </row>
    <row r="1152" spans="22:22" x14ac:dyDescent="0.55000000000000004">
      <c r="V1152" s="239"/>
    </row>
    <row r="1153" spans="22:22" x14ac:dyDescent="0.55000000000000004">
      <c r="V1153" s="239"/>
    </row>
    <row r="1154" spans="22:22" x14ac:dyDescent="0.55000000000000004">
      <c r="V1154" s="239"/>
    </row>
    <row r="1155" spans="22:22" x14ac:dyDescent="0.55000000000000004">
      <c r="V1155" s="239"/>
    </row>
    <row r="1156" spans="22:22" x14ac:dyDescent="0.55000000000000004">
      <c r="V1156" s="239"/>
    </row>
    <row r="1157" spans="22:22" x14ac:dyDescent="0.55000000000000004">
      <c r="V1157" s="239"/>
    </row>
    <row r="1158" spans="22:22" x14ac:dyDescent="0.55000000000000004">
      <c r="V1158" s="239"/>
    </row>
    <row r="1159" spans="22:22" x14ac:dyDescent="0.55000000000000004">
      <c r="V1159" s="239"/>
    </row>
    <row r="1160" spans="22:22" x14ac:dyDescent="0.55000000000000004">
      <c r="V1160" s="239"/>
    </row>
    <row r="1161" spans="22:22" x14ac:dyDescent="0.55000000000000004">
      <c r="V1161" s="239"/>
    </row>
    <row r="1162" spans="22:22" x14ac:dyDescent="0.55000000000000004">
      <c r="V1162" s="239"/>
    </row>
    <row r="1163" spans="22:22" x14ac:dyDescent="0.55000000000000004">
      <c r="V1163" s="239"/>
    </row>
    <row r="1164" spans="22:22" x14ac:dyDescent="0.55000000000000004">
      <c r="V1164" s="239"/>
    </row>
    <row r="1165" spans="22:22" x14ac:dyDescent="0.55000000000000004">
      <c r="V1165" s="239"/>
    </row>
    <row r="1166" spans="22:22" x14ac:dyDescent="0.55000000000000004">
      <c r="V1166" s="239"/>
    </row>
    <row r="1167" spans="22:22" x14ac:dyDescent="0.55000000000000004">
      <c r="V1167" s="239"/>
    </row>
    <row r="1168" spans="22:22" x14ac:dyDescent="0.55000000000000004">
      <c r="V1168" s="239"/>
    </row>
    <row r="1169" spans="22:22" x14ac:dyDescent="0.55000000000000004">
      <c r="V1169" s="239"/>
    </row>
    <row r="1170" spans="22:22" x14ac:dyDescent="0.55000000000000004">
      <c r="V1170" s="239"/>
    </row>
    <row r="1171" spans="22:22" x14ac:dyDescent="0.55000000000000004">
      <c r="V1171" s="239"/>
    </row>
    <row r="1172" spans="22:22" x14ac:dyDescent="0.55000000000000004">
      <c r="V1172" s="239"/>
    </row>
    <row r="1173" spans="22:22" x14ac:dyDescent="0.55000000000000004">
      <c r="V1173" s="239"/>
    </row>
    <row r="1174" spans="22:22" x14ac:dyDescent="0.55000000000000004">
      <c r="V1174" s="239"/>
    </row>
    <row r="1175" spans="22:22" x14ac:dyDescent="0.55000000000000004">
      <c r="V1175" s="239"/>
    </row>
    <row r="1176" spans="22:22" x14ac:dyDescent="0.55000000000000004">
      <c r="V1176" s="239"/>
    </row>
    <row r="1177" spans="22:22" x14ac:dyDescent="0.55000000000000004">
      <c r="V1177" s="239"/>
    </row>
    <row r="1178" spans="22:22" x14ac:dyDescent="0.55000000000000004">
      <c r="V1178" s="239"/>
    </row>
    <row r="1179" spans="22:22" x14ac:dyDescent="0.55000000000000004">
      <c r="V1179" s="239"/>
    </row>
    <row r="1180" spans="22:22" x14ac:dyDescent="0.55000000000000004">
      <c r="V1180" s="239"/>
    </row>
    <row r="1181" spans="22:22" x14ac:dyDescent="0.55000000000000004">
      <c r="V1181" s="239"/>
    </row>
    <row r="1182" spans="22:22" x14ac:dyDescent="0.55000000000000004">
      <c r="V1182" s="239"/>
    </row>
    <row r="1183" spans="22:22" x14ac:dyDescent="0.55000000000000004">
      <c r="V1183" s="239"/>
    </row>
    <row r="1184" spans="22:22" x14ac:dyDescent="0.55000000000000004">
      <c r="V1184" s="239"/>
    </row>
    <row r="1185" spans="22:22" x14ac:dyDescent="0.55000000000000004">
      <c r="V1185" s="239"/>
    </row>
    <row r="1186" spans="22:22" x14ac:dyDescent="0.55000000000000004">
      <c r="V1186" s="239"/>
    </row>
    <row r="1187" spans="22:22" x14ac:dyDescent="0.55000000000000004">
      <c r="V1187" s="239"/>
    </row>
    <row r="1188" spans="22:22" x14ac:dyDescent="0.55000000000000004">
      <c r="V1188" s="239"/>
    </row>
    <row r="1189" spans="22:22" x14ac:dyDescent="0.55000000000000004">
      <c r="V1189" s="239"/>
    </row>
    <row r="1190" spans="22:22" x14ac:dyDescent="0.55000000000000004">
      <c r="V1190" s="239"/>
    </row>
    <row r="1191" spans="22:22" x14ac:dyDescent="0.55000000000000004">
      <c r="V1191" s="239"/>
    </row>
    <row r="1192" spans="22:22" x14ac:dyDescent="0.55000000000000004">
      <c r="V1192" s="239"/>
    </row>
    <row r="1193" spans="22:22" x14ac:dyDescent="0.55000000000000004">
      <c r="V1193" s="239"/>
    </row>
    <row r="1194" spans="22:22" x14ac:dyDescent="0.55000000000000004">
      <c r="V1194" s="239"/>
    </row>
    <row r="1195" spans="22:22" x14ac:dyDescent="0.55000000000000004">
      <c r="V1195" s="239"/>
    </row>
    <row r="1196" spans="22:22" x14ac:dyDescent="0.55000000000000004">
      <c r="V1196" s="239"/>
    </row>
    <row r="1197" spans="22:22" x14ac:dyDescent="0.55000000000000004">
      <c r="V1197" s="239"/>
    </row>
    <row r="1198" spans="22:22" x14ac:dyDescent="0.55000000000000004">
      <c r="V1198" s="239"/>
    </row>
    <row r="1199" spans="22:22" x14ac:dyDescent="0.55000000000000004">
      <c r="V1199" s="239"/>
    </row>
    <row r="1200" spans="22:22" x14ac:dyDescent="0.55000000000000004">
      <c r="V1200" s="239"/>
    </row>
    <row r="1201" spans="22:22" x14ac:dyDescent="0.55000000000000004">
      <c r="V1201" s="239"/>
    </row>
    <row r="1202" spans="22:22" x14ac:dyDescent="0.55000000000000004">
      <c r="V1202" s="239"/>
    </row>
    <row r="1203" spans="22:22" x14ac:dyDescent="0.55000000000000004">
      <c r="V1203" s="239"/>
    </row>
    <row r="1204" spans="22:22" x14ac:dyDescent="0.55000000000000004">
      <c r="V1204" s="239"/>
    </row>
    <row r="1205" spans="22:22" x14ac:dyDescent="0.55000000000000004">
      <c r="V1205" s="239"/>
    </row>
    <row r="1206" spans="22:22" x14ac:dyDescent="0.55000000000000004">
      <c r="V1206" s="239"/>
    </row>
    <row r="1207" spans="22:22" x14ac:dyDescent="0.55000000000000004">
      <c r="V1207" s="239"/>
    </row>
    <row r="1208" spans="22:22" x14ac:dyDescent="0.55000000000000004">
      <c r="V1208" s="239"/>
    </row>
    <row r="1209" spans="22:22" x14ac:dyDescent="0.55000000000000004">
      <c r="V1209" s="239"/>
    </row>
    <row r="1210" spans="22:22" x14ac:dyDescent="0.55000000000000004">
      <c r="V1210" s="239"/>
    </row>
    <row r="1211" spans="22:22" x14ac:dyDescent="0.55000000000000004">
      <c r="V1211" s="239"/>
    </row>
    <row r="1212" spans="22:22" x14ac:dyDescent="0.55000000000000004">
      <c r="V1212" s="239"/>
    </row>
    <row r="1213" spans="22:22" x14ac:dyDescent="0.55000000000000004">
      <c r="V1213" s="239"/>
    </row>
    <row r="1214" spans="22:22" x14ac:dyDescent="0.55000000000000004">
      <c r="V1214" s="239"/>
    </row>
    <row r="1215" spans="22:22" x14ac:dyDescent="0.55000000000000004">
      <c r="V1215" s="239"/>
    </row>
    <row r="1216" spans="22:22" x14ac:dyDescent="0.55000000000000004">
      <c r="V1216" s="239"/>
    </row>
    <row r="1217" spans="22:22" x14ac:dyDescent="0.55000000000000004">
      <c r="V1217" s="239"/>
    </row>
    <row r="1218" spans="22:22" x14ac:dyDescent="0.55000000000000004">
      <c r="V1218" s="239"/>
    </row>
    <row r="1219" spans="22:22" x14ac:dyDescent="0.55000000000000004">
      <c r="V1219" s="239"/>
    </row>
    <row r="1220" spans="22:22" x14ac:dyDescent="0.55000000000000004">
      <c r="V1220" s="239"/>
    </row>
    <row r="1221" spans="22:22" x14ac:dyDescent="0.55000000000000004">
      <c r="V1221" s="239"/>
    </row>
    <row r="1222" spans="22:22" x14ac:dyDescent="0.55000000000000004">
      <c r="V1222" s="239"/>
    </row>
    <row r="1223" spans="22:22" x14ac:dyDescent="0.55000000000000004">
      <c r="V1223" s="239"/>
    </row>
    <row r="1224" spans="22:22" x14ac:dyDescent="0.55000000000000004">
      <c r="V1224" s="239"/>
    </row>
    <row r="1225" spans="22:22" x14ac:dyDescent="0.55000000000000004">
      <c r="V1225" s="239"/>
    </row>
    <row r="1226" spans="22:22" x14ac:dyDescent="0.55000000000000004">
      <c r="V1226" s="239"/>
    </row>
    <row r="1227" spans="22:22" x14ac:dyDescent="0.55000000000000004">
      <c r="V1227" s="239"/>
    </row>
    <row r="1228" spans="22:22" x14ac:dyDescent="0.55000000000000004">
      <c r="V1228" s="239"/>
    </row>
    <row r="1229" spans="22:22" x14ac:dyDescent="0.55000000000000004">
      <c r="V1229" s="239"/>
    </row>
    <row r="1230" spans="22:22" x14ac:dyDescent="0.55000000000000004">
      <c r="V1230" s="239"/>
    </row>
    <row r="1231" spans="22:22" x14ac:dyDescent="0.55000000000000004">
      <c r="V1231" s="239"/>
    </row>
    <row r="1232" spans="22:22" x14ac:dyDescent="0.55000000000000004">
      <c r="V1232" s="239"/>
    </row>
    <row r="1233" spans="22:22" x14ac:dyDescent="0.55000000000000004">
      <c r="V1233" s="239"/>
    </row>
    <row r="1234" spans="22:22" x14ac:dyDescent="0.55000000000000004">
      <c r="V1234" s="239"/>
    </row>
    <row r="1235" spans="22:22" x14ac:dyDescent="0.55000000000000004">
      <c r="V1235" s="239"/>
    </row>
    <row r="1236" spans="22:22" x14ac:dyDescent="0.55000000000000004">
      <c r="V1236" s="239"/>
    </row>
    <row r="1237" spans="22:22" x14ac:dyDescent="0.55000000000000004">
      <c r="V1237" s="239"/>
    </row>
    <row r="1238" spans="22:22" x14ac:dyDescent="0.55000000000000004">
      <c r="V1238" s="239"/>
    </row>
    <row r="1239" spans="22:22" x14ac:dyDescent="0.55000000000000004">
      <c r="V1239" s="239"/>
    </row>
    <row r="1240" spans="22:22" x14ac:dyDescent="0.55000000000000004">
      <c r="V1240" s="239"/>
    </row>
    <row r="1241" spans="22:22" x14ac:dyDescent="0.55000000000000004">
      <c r="V1241" s="239"/>
    </row>
    <row r="1242" spans="22:22" x14ac:dyDescent="0.55000000000000004">
      <c r="V1242" s="239"/>
    </row>
    <row r="1243" spans="22:22" x14ac:dyDescent="0.55000000000000004">
      <c r="V1243" s="239"/>
    </row>
    <row r="1244" spans="22:22" x14ac:dyDescent="0.55000000000000004">
      <c r="V1244" s="239"/>
    </row>
    <row r="1245" spans="22:22" x14ac:dyDescent="0.55000000000000004">
      <c r="V1245" s="239"/>
    </row>
    <row r="1246" spans="22:22" x14ac:dyDescent="0.55000000000000004">
      <c r="V1246" s="239"/>
    </row>
    <row r="1247" spans="22:22" x14ac:dyDescent="0.55000000000000004">
      <c r="V1247" s="239"/>
    </row>
    <row r="1248" spans="22:22" x14ac:dyDescent="0.55000000000000004">
      <c r="V1248" s="239"/>
    </row>
    <row r="1249" spans="22:22" x14ac:dyDescent="0.55000000000000004">
      <c r="V1249" s="239"/>
    </row>
    <row r="1250" spans="22:22" x14ac:dyDescent="0.55000000000000004">
      <c r="V1250" s="239"/>
    </row>
    <row r="1251" spans="22:22" x14ac:dyDescent="0.55000000000000004">
      <c r="V1251" s="239"/>
    </row>
    <row r="1252" spans="22:22" x14ac:dyDescent="0.55000000000000004">
      <c r="V1252" s="239"/>
    </row>
    <row r="1253" spans="22:22" x14ac:dyDescent="0.55000000000000004">
      <c r="V1253" s="239"/>
    </row>
    <row r="1254" spans="22:22" x14ac:dyDescent="0.55000000000000004">
      <c r="V1254" s="239"/>
    </row>
    <row r="1255" spans="22:22" x14ac:dyDescent="0.55000000000000004">
      <c r="V1255" s="239"/>
    </row>
    <row r="1256" spans="22:22" x14ac:dyDescent="0.55000000000000004">
      <c r="V1256" s="239"/>
    </row>
    <row r="1257" spans="22:22" x14ac:dyDescent="0.55000000000000004">
      <c r="V1257" s="239"/>
    </row>
    <row r="1258" spans="22:22" x14ac:dyDescent="0.55000000000000004">
      <c r="V1258" s="239"/>
    </row>
    <row r="1259" spans="22:22" x14ac:dyDescent="0.55000000000000004">
      <c r="V1259" s="239"/>
    </row>
    <row r="1260" spans="22:22" x14ac:dyDescent="0.55000000000000004">
      <c r="V1260" s="239"/>
    </row>
    <row r="1261" spans="22:22" x14ac:dyDescent="0.55000000000000004">
      <c r="V1261" s="239"/>
    </row>
    <row r="1262" spans="22:22" x14ac:dyDescent="0.55000000000000004">
      <c r="V1262" s="239"/>
    </row>
    <row r="1263" spans="22:22" x14ac:dyDescent="0.55000000000000004">
      <c r="V1263" s="239"/>
    </row>
    <row r="1264" spans="22:22" x14ac:dyDescent="0.55000000000000004">
      <c r="V1264" s="239"/>
    </row>
    <row r="1265" spans="22:22" x14ac:dyDescent="0.55000000000000004">
      <c r="V1265" s="239"/>
    </row>
    <row r="1266" spans="22:22" x14ac:dyDescent="0.55000000000000004">
      <c r="V1266" s="239"/>
    </row>
    <row r="1267" spans="22:22" x14ac:dyDescent="0.55000000000000004">
      <c r="V1267" s="239"/>
    </row>
    <row r="1268" spans="22:22" x14ac:dyDescent="0.55000000000000004">
      <c r="V1268" s="239"/>
    </row>
    <row r="1269" spans="22:22" x14ac:dyDescent="0.55000000000000004">
      <c r="V1269" s="239"/>
    </row>
    <row r="1270" spans="22:22" x14ac:dyDescent="0.55000000000000004">
      <c r="V1270" s="239"/>
    </row>
    <row r="1271" spans="22:22" x14ac:dyDescent="0.55000000000000004">
      <c r="V1271" s="239"/>
    </row>
    <row r="1272" spans="22:22" x14ac:dyDescent="0.55000000000000004">
      <c r="V1272" s="239"/>
    </row>
    <row r="1273" spans="22:22" x14ac:dyDescent="0.55000000000000004">
      <c r="V1273" s="239"/>
    </row>
    <row r="1274" spans="22:22" x14ac:dyDescent="0.55000000000000004">
      <c r="V1274" s="239"/>
    </row>
    <row r="1275" spans="22:22" x14ac:dyDescent="0.55000000000000004">
      <c r="V1275" s="239"/>
    </row>
    <row r="1276" spans="22:22" x14ac:dyDescent="0.55000000000000004">
      <c r="V1276" s="239"/>
    </row>
    <row r="1277" spans="22:22" x14ac:dyDescent="0.55000000000000004">
      <c r="V1277" s="239"/>
    </row>
    <row r="1278" spans="22:22" x14ac:dyDescent="0.55000000000000004">
      <c r="V1278" s="239"/>
    </row>
    <row r="1279" spans="22:22" x14ac:dyDescent="0.55000000000000004">
      <c r="V1279" s="239"/>
    </row>
    <row r="1280" spans="22:22" x14ac:dyDescent="0.55000000000000004">
      <c r="V1280" s="239"/>
    </row>
    <row r="1281" spans="22:22" x14ac:dyDescent="0.55000000000000004">
      <c r="V1281" s="239"/>
    </row>
    <row r="1282" spans="22:22" x14ac:dyDescent="0.55000000000000004">
      <c r="V1282" s="239"/>
    </row>
    <row r="1283" spans="22:22" x14ac:dyDescent="0.55000000000000004">
      <c r="V1283" s="239"/>
    </row>
    <row r="1284" spans="22:22" x14ac:dyDescent="0.55000000000000004">
      <c r="V1284" s="239"/>
    </row>
    <row r="1285" spans="22:22" x14ac:dyDescent="0.55000000000000004">
      <c r="V1285" s="239"/>
    </row>
    <row r="1286" spans="22:22" x14ac:dyDescent="0.55000000000000004">
      <c r="V1286" s="239"/>
    </row>
    <row r="1287" spans="22:22" x14ac:dyDescent="0.55000000000000004">
      <c r="V1287" s="239"/>
    </row>
    <row r="1288" spans="22:22" x14ac:dyDescent="0.55000000000000004">
      <c r="V1288" s="239"/>
    </row>
    <row r="1289" spans="22:22" x14ac:dyDescent="0.55000000000000004">
      <c r="V1289" s="239"/>
    </row>
    <row r="1290" spans="22:22" x14ac:dyDescent="0.55000000000000004">
      <c r="V1290" s="239"/>
    </row>
    <row r="1291" spans="22:22" x14ac:dyDescent="0.55000000000000004">
      <c r="V1291" s="239"/>
    </row>
    <row r="1292" spans="22:22" x14ac:dyDescent="0.55000000000000004">
      <c r="V1292" s="239"/>
    </row>
    <row r="1293" spans="22:22" x14ac:dyDescent="0.55000000000000004">
      <c r="V1293" s="239"/>
    </row>
    <row r="1294" spans="22:22" x14ac:dyDescent="0.55000000000000004">
      <c r="V1294" s="239"/>
    </row>
    <row r="1295" spans="22:22" x14ac:dyDescent="0.55000000000000004">
      <c r="V1295" s="239"/>
    </row>
    <row r="1296" spans="22:22" x14ac:dyDescent="0.55000000000000004">
      <c r="V1296" s="239"/>
    </row>
    <row r="1297" spans="22:22" x14ac:dyDescent="0.55000000000000004">
      <c r="V1297" s="239"/>
    </row>
    <row r="1298" spans="22:22" x14ac:dyDescent="0.55000000000000004">
      <c r="V1298" s="239"/>
    </row>
    <row r="1299" spans="22:22" x14ac:dyDescent="0.55000000000000004">
      <c r="V1299" s="239"/>
    </row>
    <row r="1300" spans="22:22" x14ac:dyDescent="0.55000000000000004">
      <c r="V1300" s="239"/>
    </row>
    <row r="1301" spans="22:22" x14ac:dyDescent="0.55000000000000004">
      <c r="V1301" s="239"/>
    </row>
    <row r="1302" spans="22:22" x14ac:dyDescent="0.55000000000000004">
      <c r="V1302" s="239"/>
    </row>
    <row r="1303" spans="22:22" x14ac:dyDescent="0.55000000000000004">
      <c r="V1303" s="239"/>
    </row>
    <row r="1304" spans="22:22" x14ac:dyDescent="0.55000000000000004">
      <c r="V1304" s="239"/>
    </row>
    <row r="1305" spans="22:22" x14ac:dyDescent="0.55000000000000004">
      <c r="V1305" s="239"/>
    </row>
    <row r="1306" spans="22:22" x14ac:dyDescent="0.55000000000000004">
      <c r="V1306" s="239"/>
    </row>
    <row r="1307" spans="22:22" x14ac:dyDescent="0.55000000000000004">
      <c r="V1307" s="239"/>
    </row>
    <row r="1308" spans="22:22" x14ac:dyDescent="0.55000000000000004">
      <c r="V1308" s="239"/>
    </row>
    <row r="1309" spans="22:22" x14ac:dyDescent="0.55000000000000004">
      <c r="V1309" s="239"/>
    </row>
    <row r="1310" spans="22:22" x14ac:dyDescent="0.55000000000000004">
      <c r="V1310" s="239"/>
    </row>
    <row r="1311" spans="22:22" x14ac:dyDescent="0.55000000000000004">
      <c r="V1311" s="239"/>
    </row>
    <row r="1312" spans="22:22" x14ac:dyDescent="0.55000000000000004">
      <c r="V1312" s="239"/>
    </row>
    <row r="1313" spans="22:22" x14ac:dyDescent="0.55000000000000004">
      <c r="V1313" s="239"/>
    </row>
    <row r="1314" spans="22:22" x14ac:dyDescent="0.55000000000000004">
      <c r="V1314" s="239"/>
    </row>
    <row r="1315" spans="22:22" x14ac:dyDescent="0.55000000000000004">
      <c r="V1315" s="239"/>
    </row>
    <row r="1316" spans="22:22" x14ac:dyDescent="0.55000000000000004">
      <c r="V1316" s="239"/>
    </row>
    <row r="1317" spans="22:22" x14ac:dyDescent="0.55000000000000004">
      <c r="V1317" s="239"/>
    </row>
    <row r="1318" spans="22:22" x14ac:dyDescent="0.55000000000000004">
      <c r="V1318" s="239"/>
    </row>
    <row r="1319" spans="22:22" x14ac:dyDescent="0.55000000000000004">
      <c r="V1319" s="239"/>
    </row>
    <row r="1320" spans="22:22" x14ac:dyDescent="0.55000000000000004">
      <c r="V1320" s="239"/>
    </row>
    <row r="1321" spans="22:22" x14ac:dyDescent="0.55000000000000004">
      <c r="V1321" s="239"/>
    </row>
    <row r="1322" spans="22:22" x14ac:dyDescent="0.55000000000000004">
      <c r="V1322" s="239"/>
    </row>
    <row r="1323" spans="22:22" x14ac:dyDescent="0.55000000000000004">
      <c r="V1323" s="239"/>
    </row>
    <row r="1324" spans="22:22" x14ac:dyDescent="0.55000000000000004">
      <c r="V1324" s="239"/>
    </row>
    <row r="1325" spans="22:22" x14ac:dyDescent="0.55000000000000004">
      <c r="V1325" s="239"/>
    </row>
    <row r="1326" spans="22:22" x14ac:dyDescent="0.55000000000000004">
      <c r="V1326" s="239"/>
    </row>
    <row r="1327" spans="22:22" x14ac:dyDescent="0.55000000000000004">
      <c r="V1327" s="239"/>
    </row>
    <row r="1328" spans="22:22" x14ac:dyDescent="0.55000000000000004">
      <c r="V1328" s="239"/>
    </row>
    <row r="1329" spans="22:22" x14ac:dyDescent="0.55000000000000004">
      <c r="V1329" s="239"/>
    </row>
    <row r="1330" spans="22:22" x14ac:dyDescent="0.55000000000000004">
      <c r="V1330" s="239"/>
    </row>
    <row r="1331" spans="22:22" x14ac:dyDescent="0.55000000000000004">
      <c r="V1331" s="239"/>
    </row>
    <row r="1332" spans="22:22" x14ac:dyDescent="0.55000000000000004">
      <c r="V1332" s="239"/>
    </row>
    <row r="1333" spans="22:22" x14ac:dyDescent="0.55000000000000004">
      <c r="V1333" s="239"/>
    </row>
    <row r="1334" spans="22:22" x14ac:dyDescent="0.55000000000000004">
      <c r="V1334" s="239"/>
    </row>
    <row r="1335" spans="22:22" x14ac:dyDescent="0.55000000000000004">
      <c r="V1335" s="239"/>
    </row>
    <row r="1336" spans="22:22" x14ac:dyDescent="0.55000000000000004">
      <c r="V1336" s="239"/>
    </row>
    <row r="1337" spans="22:22" x14ac:dyDescent="0.55000000000000004">
      <c r="V1337" s="239"/>
    </row>
    <row r="1338" spans="22:22" x14ac:dyDescent="0.55000000000000004">
      <c r="V1338" s="239"/>
    </row>
    <row r="1339" spans="22:22" x14ac:dyDescent="0.55000000000000004">
      <c r="V1339" s="239"/>
    </row>
    <row r="1340" spans="22:22" x14ac:dyDescent="0.55000000000000004">
      <c r="V1340" s="239"/>
    </row>
    <row r="1341" spans="22:22" x14ac:dyDescent="0.55000000000000004">
      <c r="V1341" s="239"/>
    </row>
    <row r="1342" spans="22:22" x14ac:dyDescent="0.55000000000000004">
      <c r="V1342" s="239"/>
    </row>
    <row r="1343" spans="22:22" x14ac:dyDescent="0.55000000000000004">
      <c r="V1343" s="239"/>
    </row>
    <row r="1344" spans="22:22" x14ac:dyDescent="0.55000000000000004">
      <c r="V1344" s="239"/>
    </row>
    <row r="1345" spans="22:22" x14ac:dyDescent="0.55000000000000004">
      <c r="V1345" s="239"/>
    </row>
    <row r="1346" spans="22:22" x14ac:dyDescent="0.55000000000000004">
      <c r="V1346" s="239"/>
    </row>
    <row r="1347" spans="22:22" x14ac:dyDescent="0.55000000000000004">
      <c r="V1347" s="239"/>
    </row>
    <row r="1348" spans="22:22" x14ac:dyDescent="0.55000000000000004">
      <c r="V1348" s="239"/>
    </row>
    <row r="1349" spans="22:22" x14ac:dyDescent="0.55000000000000004">
      <c r="V1349" s="239"/>
    </row>
    <row r="1350" spans="22:22" x14ac:dyDescent="0.55000000000000004">
      <c r="V1350" s="239"/>
    </row>
    <row r="1351" spans="22:22" x14ac:dyDescent="0.55000000000000004">
      <c r="V1351" s="239"/>
    </row>
    <row r="1352" spans="22:22" x14ac:dyDescent="0.55000000000000004">
      <c r="V1352" s="239"/>
    </row>
    <row r="1353" spans="22:22" x14ac:dyDescent="0.55000000000000004">
      <c r="V1353" s="239"/>
    </row>
    <row r="1354" spans="22:22" x14ac:dyDescent="0.55000000000000004">
      <c r="V1354" s="239"/>
    </row>
    <row r="1355" spans="22:22" x14ac:dyDescent="0.55000000000000004">
      <c r="V1355" s="239"/>
    </row>
    <row r="1356" spans="22:22" x14ac:dyDescent="0.55000000000000004">
      <c r="V1356" s="239"/>
    </row>
    <row r="1357" spans="22:22" x14ac:dyDescent="0.55000000000000004">
      <c r="V1357" s="239"/>
    </row>
    <row r="1358" spans="22:22" x14ac:dyDescent="0.55000000000000004">
      <c r="V1358" s="239"/>
    </row>
    <row r="1359" spans="22:22" x14ac:dyDescent="0.55000000000000004">
      <c r="V1359" s="239"/>
    </row>
    <row r="1360" spans="22:22" x14ac:dyDescent="0.55000000000000004">
      <c r="V1360" s="239"/>
    </row>
    <row r="1361" spans="22:22" x14ac:dyDescent="0.55000000000000004">
      <c r="V1361" s="239"/>
    </row>
    <row r="1362" spans="22:22" x14ac:dyDescent="0.55000000000000004">
      <c r="V1362" s="239"/>
    </row>
    <row r="1363" spans="22:22" x14ac:dyDescent="0.55000000000000004">
      <c r="V1363" s="239"/>
    </row>
    <row r="1364" spans="22:22" x14ac:dyDescent="0.55000000000000004">
      <c r="V1364" s="239"/>
    </row>
    <row r="1365" spans="22:22" x14ac:dyDescent="0.55000000000000004">
      <c r="V1365" s="239"/>
    </row>
    <row r="1366" spans="22:22" x14ac:dyDescent="0.55000000000000004">
      <c r="V1366" s="239"/>
    </row>
    <row r="1367" spans="22:22" x14ac:dyDescent="0.55000000000000004">
      <c r="V1367" s="239"/>
    </row>
    <row r="1368" spans="22:22" x14ac:dyDescent="0.55000000000000004">
      <c r="V1368" s="239"/>
    </row>
    <row r="1369" spans="22:22" x14ac:dyDescent="0.55000000000000004">
      <c r="V1369" s="239"/>
    </row>
    <row r="1370" spans="22:22" x14ac:dyDescent="0.55000000000000004">
      <c r="V1370" s="239"/>
    </row>
    <row r="1371" spans="22:22" x14ac:dyDescent="0.55000000000000004">
      <c r="V1371" s="239"/>
    </row>
    <row r="1372" spans="22:22" x14ac:dyDescent="0.55000000000000004">
      <c r="V1372" s="239"/>
    </row>
    <row r="1373" spans="22:22" x14ac:dyDescent="0.55000000000000004">
      <c r="V1373" s="239"/>
    </row>
    <row r="1374" spans="22:22" x14ac:dyDescent="0.55000000000000004">
      <c r="V1374" s="239"/>
    </row>
    <row r="1375" spans="22:22" x14ac:dyDescent="0.55000000000000004">
      <c r="V1375" s="239"/>
    </row>
    <row r="1376" spans="22:22" x14ac:dyDescent="0.55000000000000004">
      <c r="V1376" s="239"/>
    </row>
    <row r="1377" spans="22:22" x14ac:dyDescent="0.55000000000000004">
      <c r="V1377" s="239"/>
    </row>
    <row r="1378" spans="22:22" x14ac:dyDescent="0.55000000000000004">
      <c r="V1378" s="239"/>
    </row>
    <row r="1379" spans="22:22" x14ac:dyDescent="0.55000000000000004">
      <c r="V1379" s="239"/>
    </row>
    <row r="1380" spans="22:22" x14ac:dyDescent="0.55000000000000004">
      <c r="V1380" s="239"/>
    </row>
    <row r="1381" spans="22:22" x14ac:dyDescent="0.55000000000000004">
      <c r="V1381" s="239"/>
    </row>
    <row r="1382" spans="22:22" x14ac:dyDescent="0.55000000000000004">
      <c r="V1382" s="239"/>
    </row>
    <row r="1383" spans="22:22" x14ac:dyDescent="0.55000000000000004">
      <c r="V1383" s="239"/>
    </row>
    <row r="1384" spans="22:22" x14ac:dyDescent="0.55000000000000004">
      <c r="V1384" s="239"/>
    </row>
    <row r="1385" spans="22:22" x14ac:dyDescent="0.55000000000000004">
      <c r="V1385" s="239"/>
    </row>
    <row r="1386" spans="22:22" x14ac:dyDescent="0.55000000000000004">
      <c r="V1386" s="239"/>
    </row>
    <row r="1387" spans="22:22" x14ac:dyDescent="0.55000000000000004">
      <c r="V1387" s="239"/>
    </row>
    <row r="1388" spans="22:22" x14ac:dyDescent="0.55000000000000004">
      <c r="V1388" s="239"/>
    </row>
    <row r="1389" spans="22:22" x14ac:dyDescent="0.55000000000000004">
      <c r="V1389" s="239"/>
    </row>
    <row r="1390" spans="22:22" x14ac:dyDescent="0.55000000000000004">
      <c r="V1390" s="239"/>
    </row>
    <row r="1391" spans="22:22" x14ac:dyDescent="0.55000000000000004">
      <c r="V1391" s="239"/>
    </row>
    <row r="1392" spans="22:22" x14ac:dyDescent="0.55000000000000004">
      <c r="V1392" s="239"/>
    </row>
    <row r="1393" spans="22:22" x14ac:dyDescent="0.55000000000000004">
      <c r="V1393" s="239"/>
    </row>
    <row r="1394" spans="22:22" x14ac:dyDescent="0.55000000000000004">
      <c r="V1394" s="239"/>
    </row>
    <row r="1395" spans="22:22" x14ac:dyDescent="0.55000000000000004">
      <c r="V1395" s="239"/>
    </row>
    <row r="1396" spans="22:22" x14ac:dyDescent="0.55000000000000004">
      <c r="V1396" s="239"/>
    </row>
    <row r="1397" spans="22:22" x14ac:dyDescent="0.55000000000000004">
      <c r="V1397" s="239"/>
    </row>
  </sheetData>
  <autoFilter ref="A1:X758"/>
  <conditionalFormatting sqref="A605">
    <cfRule type="duplicateValues" dxfId="1" priority="2"/>
  </conditionalFormatting>
  <conditionalFormatting sqref="A60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&amp;C&amp;"David,מודגש"&amp;16עיריית קריית שמונה
הצעת תקציב לשנת 2020</oddHeader>
    <oddFooter>עמוד &amp;P מתוך &amp;N</oddFooter>
  </headerFooter>
  <rowBreaks count="4" manualBreakCount="4">
    <brk id="114" max="27" man="1"/>
    <brk id="229" max="27" man="1"/>
    <brk id="245" max="27" man="1"/>
    <brk id="619" max="2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"/>
  <sheetViews>
    <sheetView rightToLeft="1" workbookViewId="0">
      <selection activeCell="A6" sqref="A6:XFD7"/>
    </sheetView>
  </sheetViews>
  <sheetFormatPr defaultRowHeight="14" x14ac:dyDescent="0.3"/>
  <cols>
    <col min="1" max="1" width="12" customWidth="1"/>
    <col min="2" max="2" width="4.58203125" bestFit="1" customWidth="1"/>
    <col min="3" max="3" width="21.25" customWidth="1"/>
    <col min="4" max="4" width="11.58203125" bestFit="1" customWidth="1"/>
    <col min="5" max="5" width="2.83203125" customWidth="1"/>
    <col min="6" max="6" width="20.58203125" customWidth="1"/>
    <col min="7" max="7" width="13.58203125" style="171" customWidth="1"/>
    <col min="8" max="8" width="5.08203125" customWidth="1"/>
    <col min="19" max="19" width="13.58203125" bestFit="1" customWidth="1"/>
  </cols>
  <sheetData>
    <row r="3" spans="1:13" x14ac:dyDescent="0.3">
      <c r="A3">
        <v>1829200751</v>
      </c>
      <c r="B3">
        <v>82</v>
      </c>
      <c r="C3" t="s">
        <v>18</v>
      </c>
      <c r="D3" t="s">
        <v>33</v>
      </c>
      <c r="F3" t="s">
        <v>3564</v>
      </c>
      <c r="G3" s="171">
        <v>120000</v>
      </c>
      <c r="H3" t="s">
        <v>3566</v>
      </c>
    </row>
    <row r="4" spans="1:13" x14ac:dyDescent="0.3">
      <c r="A4">
        <v>1329210920</v>
      </c>
      <c r="B4">
        <v>32</v>
      </c>
      <c r="C4" t="s">
        <v>9</v>
      </c>
      <c r="D4" t="s">
        <v>32</v>
      </c>
      <c r="F4" t="s">
        <v>3565</v>
      </c>
      <c r="G4" s="171">
        <v>120000</v>
      </c>
      <c r="H4" t="s">
        <v>3566</v>
      </c>
    </row>
    <row r="6" spans="1:13" x14ac:dyDescent="0.3">
      <c r="A6">
        <v>1752000780</v>
      </c>
      <c r="B6">
        <v>75</v>
      </c>
      <c r="C6" t="s">
        <v>18</v>
      </c>
      <c r="D6" t="s">
        <v>33</v>
      </c>
      <c r="F6" t="s">
        <v>749</v>
      </c>
      <c r="G6" s="171">
        <v>430000</v>
      </c>
      <c r="H6" t="s">
        <v>876</v>
      </c>
      <c r="I6" t="s">
        <v>3561</v>
      </c>
      <c r="M6" t="s">
        <v>3568</v>
      </c>
    </row>
    <row r="7" spans="1:13" x14ac:dyDescent="0.3">
      <c r="A7">
        <v>1753000780</v>
      </c>
      <c r="B7">
        <v>75</v>
      </c>
      <c r="C7" t="s">
        <v>18</v>
      </c>
      <c r="D7" t="s">
        <v>33</v>
      </c>
      <c r="F7" t="s">
        <v>3567</v>
      </c>
      <c r="G7" s="171">
        <v>70000</v>
      </c>
      <c r="I7" t="s">
        <v>3561</v>
      </c>
      <c r="M7" t="s">
        <v>3568</v>
      </c>
    </row>
    <row r="10" spans="1:13" x14ac:dyDescent="0.3">
      <c r="A10">
        <v>1861100780</v>
      </c>
      <c r="B10">
        <v>86</v>
      </c>
      <c r="C10" t="s">
        <v>18</v>
      </c>
      <c r="D10" t="s">
        <v>33</v>
      </c>
      <c r="F10" t="s">
        <v>3569</v>
      </c>
      <c r="G10" s="171">
        <v>50000</v>
      </c>
      <c r="H10" t="s">
        <v>3559</v>
      </c>
    </row>
    <row r="11" spans="1:13" x14ac:dyDescent="0.3">
      <c r="A11">
        <v>1361100950</v>
      </c>
      <c r="B11">
        <v>36</v>
      </c>
      <c r="C11" t="s">
        <v>9</v>
      </c>
      <c r="D11" t="s">
        <v>32</v>
      </c>
      <c r="F11" t="s">
        <v>3569</v>
      </c>
      <c r="G11" s="171">
        <v>50000</v>
      </c>
      <c r="H11" t="s">
        <v>3569</v>
      </c>
    </row>
    <row r="14" spans="1:13" x14ac:dyDescent="0.3">
      <c r="A14">
        <v>1813280780</v>
      </c>
      <c r="B14">
        <v>81</v>
      </c>
      <c r="C14" t="s">
        <v>22</v>
      </c>
      <c r="D14" t="s">
        <v>33</v>
      </c>
      <c r="F14" t="s">
        <v>462</v>
      </c>
      <c r="G14" s="171">
        <v>210000</v>
      </c>
      <c r="H14" t="s">
        <v>3570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rightToLeft="1" view="pageBreakPreview" topLeftCell="B1" zoomScaleNormal="100" zoomScaleSheetLayoutView="100" workbookViewId="0">
      <selection activeCell="B4" sqref="B4"/>
    </sheetView>
  </sheetViews>
  <sheetFormatPr defaultColWidth="8.83203125" defaultRowHeight="13" x14ac:dyDescent="0.3"/>
  <cols>
    <col min="1" max="1" width="2.58203125" style="107" hidden="1" customWidth="1"/>
    <col min="2" max="2" width="6.08203125" style="14" customWidth="1"/>
    <col min="3" max="3" width="19.75" style="14" customWidth="1"/>
    <col min="4" max="4" width="7.75" style="373" customWidth="1"/>
    <col min="5" max="5" width="10.33203125" style="14" customWidth="1"/>
    <col min="6" max="6" width="7.83203125" style="343" customWidth="1"/>
    <col min="7" max="7" width="10.33203125" style="14" customWidth="1"/>
    <col min="8" max="8" width="7.33203125" style="14" hidden="1" customWidth="1"/>
    <col min="9" max="9" width="10.33203125" style="15" hidden="1" customWidth="1"/>
    <col min="10" max="10" width="2.58203125" style="107" hidden="1" customWidth="1"/>
    <col min="11" max="11" width="8.75" style="343" customWidth="1"/>
    <col min="12" max="12" width="10.33203125" style="15" customWidth="1"/>
    <col min="13" max="14" width="10.25" style="375" bestFit="1" customWidth="1"/>
    <col min="15" max="16384" width="8.83203125" style="14"/>
  </cols>
  <sheetData>
    <row r="1" spans="1:14" x14ac:dyDescent="0.3">
      <c r="A1" s="82"/>
      <c r="B1" s="82"/>
      <c r="C1" s="82"/>
      <c r="D1" s="367"/>
      <c r="E1" s="82"/>
      <c r="F1" s="342"/>
      <c r="G1" s="82"/>
      <c r="H1" s="82"/>
      <c r="I1" s="83"/>
      <c r="J1" s="82"/>
      <c r="K1" s="342"/>
      <c r="L1" s="83"/>
    </row>
    <row r="2" spans="1:14" x14ac:dyDescent="0.3">
      <c r="A2" s="82"/>
      <c r="B2" s="82"/>
      <c r="C2" s="82"/>
      <c r="D2" s="367"/>
      <c r="E2" s="82"/>
      <c r="F2" s="342"/>
      <c r="G2" s="82"/>
      <c r="H2" s="82"/>
      <c r="I2" s="83"/>
      <c r="J2" s="82"/>
      <c r="K2" s="342"/>
      <c r="L2" s="83"/>
    </row>
    <row r="3" spans="1:14" ht="36" customHeight="1" x14ac:dyDescent="0.3">
      <c r="A3" s="82"/>
      <c r="B3" s="546" t="s">
        <v>3576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</row>
    <row r="4" spans="1:14" ht="36" customHeight="1" x14ac:dyDescent="0.3">
      <c r="A4" s="82"/>
      <c r="B4" s="84"/>
      <c r="C4" s="84"/>
      <c r="D4" s="368"/>
      <c r="E4" s="84"/>
      <c r="F4" s="344"/>
      <c r="G4" s="84"/>
      <c r="H4" s="84"/>
      <c r="I4" s="84"/>
      <c r="J4" s="82"/>
      <c r="K4" s="344"/>
      <c r="L4" s="84"/>
    </row>
    <row r="5" spans="1:14" ht="18" x14ac:dyDescent="0.3">
      <c r="A5" s="82"/>
      <c r="B5" s="543" t="s">
        <v>696</v>
      </c>
      <c r="C5" s="543" t="s">
        <v>621</v>
      </c>
      <c r="D5" s="545" t="s">
        <v>605</v>
      </c>
      <c r="E5" s="545"/>
      <c r="F5" s="545" t="s">
        <v>706</v>
      </c>
      <c r="G5" s="545"/>
      <c r="H5" s="545" t="s">
        <v>697</v>
      </c>
      <c r="I5" s="545"/>
      <c r="J5" s="82"/>
      <c r="K5" s="545" t="s">
        <v>697</v>
      </c>
      <c r="L5" s="545"/>
    </row>
    <row r="6" spans="1:14" s="106" customFormat="1" ht="36" x14ac:dyDescent="0.25">
      <c r="A6" s="85"/>
      <c r="B6" s="544"/>
      <c r="C6" s="544"/>
      <c r="D6" s="369" t="s">
        <v>698</v>
      </c>
      <c r="E6" s="86" t="s">
        <v>699</v>
      </c>
      <c r="F6" s="345" t="s">
        <v>698</v>
      </c>
      <c r="G6" s="86" t="s">
        <v>699</v>
      </c>
      <c r="H6" s="86" t="s">
        <v>698</v>
      </c>
      <c r="I6" s="86" t="s">
        <v>699</v>
      </c>
      <c r="J6" s="85"/>
      <c r="K6" s="345" t="s">
        <v>698</v>
      </c>
      <c r="L6" s="126" t="s">
        <v>699</v>
      </c>
      <c r="M6" s="376"/>
      <c r="N6" s="376"/>
    </row>
    <row r="7" spans="1:14" ht="15.5" x14ac:dyDescent="0.3">
      <c r="A7" s="82"/>
      <c r="B7" s="87">
        <v>6</v>
      </c>
      <c r="C7" s="88" t="s">
        <v>700</v>
      </c>
      <c r="D7" s="97"/>
      <c r="E7" s="89"/>
      <c r="F7" s="346"/>
      <c r="G7" s="89"/>
      <c r="H7" s="90"/>
      <c r="I7" s="89"/>
      <c r="J7" s="82"/>
      <c r="K7" s="346"/>
      <c r="L7" s="89"/>
    </row>
    <row r="8" spans="1:14" ht="15.5" x14ac:dyDescent="0.3">
      <c r="A8" s="82"/>
      <c r="B8" s="91"/>
      <c r="C8" s="92" t="s">
        <v>701</v>
      </c>
      <c r="D8" s="370">
        <f>'תקציב 2020'!L261</f>
        <v>3</v>
      </c>
      <c r="E8" s="94">
        <f>'תקציב 2020'!H261</f>
        <v>1346899.65</v>
      </c>
      <c r="F8" s="348">
        <f>D8</f>
        <v>3</v>
      </c>
      <c r="G8" s="94">
        <f>'תקציב 2020'!O261</f>
        <v>1403126.44</v>
      </c>
      <c r="H8" s="93">
        <f>'תקציב 2020'!M261</f>
        <v>3</v>
      </c>
      <c r="I8" s="94">
        <f>'תקציב 2020'!J261</f>
        <v>1386435.6365999999</v>
      </c>
      <c r="J8" s="82"/>
      <c r="K8" s="378">
        <f>'תקציב 2020'!N261</f>
        <v>3</v>
      </c>
      <c r="L8" s="94">
        <f>'תקציב 2020'!P261</f>
        <v>1514502</v>
      </c>
    </row>
    <row r="9" spans="1:14" ht="15.5" x14ac:dyDescent="0.3">
      <c r="A9" s="82"/>
      <c r="B9" s="91">
        <v>61</v>
      </c>
      <c r="C9" s="92" t="s">
        <v>650</v>
      </c>
      <c r="D9" s="370">
        <v>29</v>
      </c>
      <c r="E9" s="94">
        <f>SUMIFS('תקציב 2020'!H:H,'תקציב 2020'!B:B,'נספח 4 משרות'!B9,'תקציב 2020'!E:E,"שכר")-E8</f>
        <v>5279847.5500000007</v>
      </c>
      <c r="F9" s="348">
        <v>26.61</v>
      </c>
      <c r="G9" s="94">
        <f>SUMIFS('תקציב 2020'!O:O,'תקציב 2020'!B:B,'נספח 4 משרות'!B9,'תקציב 2020'!E:E,"שכר")-G8</f>
        <v>5340512.75</v>
      </c>
      <c r="H9" s="93">
        <f>29.82-5</f>
        <v>24.82</v>
      </c>
      <c r="I9" s="94">
        <f>SUMIFS('תקציב 2020'!J:J,'תקציב 2020'!B:B,'נספח 4 משרות'!B9,'תקציב 2020'!E:E,"שכר")-I8</f>
        <v>5639244.3957541659</v>
      </c>
      <c r="J9" s="82"/>
      <c r="K9" s="348">
        <f>SUMIFS('תקציב 2020'!N:N,'תקציב 2020'!B:B,'נספח 4 משרות'!B9,'תקציב 2020'!E:E,"שכר")-K8</f>
        <v>24.283333333333331</v>
      </c>
      <c r="L9" s="94">
        <f>SUMIFS('תקציב 2020'!P:P,'תקציב 2020'!B:B,'נספח 4 משרות'!B9,'תקציב 2020'!E:E,"שכר")-L8</f>
        <v>5467113.9020105815</v>
      </c>
      <c r="M9" s="375" t="s">
        <v>3499</v>
      </c>
    </row>
    <row r="10" spans="1:14" ht="15.5" x14ac:dyDescent="0.3">
      <c r="A10" s="82"/>
      <c r="B10" s="91">
        <v>62</v>
      </c>
      <c r="C10" s="92" t="s">
        <v>651</v>
      </c>
      <c r="D10" s="370">
        <v>10</v>
      </c>
      <c r="E10" s="94">
        <f>SUMIFS('תקציב 2020'!H:H,'תקציב 2020'!B:B,'נספח 4 משרות'!B10,'תקציב 2020'!E:E,"שכר")</f>
        <v>1630779.3</v>
      </c>
      <c r="F10" s="348">
        <v>9.59</v>
      </c>
      <c r="G10" s="94">
        <f>SUMIFS('תקציב 2020'!O:O,'תקציב 2020'!B:B,'נספח 4 משרות'!B10,'תקציב 2020'!E:E,"שכר")</f>
        <v>1650729.25</v>
      </c>
      <c r="H10" s="93">
        <f>9.7-1.5</f>
        <v>8.1999999999999993</v>
      </c>
      <c r="I10" s="94">
        <f>SUMIFS('תקציב 2020'!J:J,'תקציב 2020'!B:B,'נספח 4 משרות'!B10,'תקציב 2020'!E:E,"שכר")</f>
        <v>1462965.4466499998</v>
      </c>
      <c r="J10" s="82"/>
      <c r="K10" s="348">
        <f>SUMIFS('תקציב 2020'!N:N,'תקציב 2020'!B:B,'נספח 4 משרות'!B10,'תקציב 2020'!E:E,"שכר")</f>
        <v>8.3333333333333339</v>
      </c>
      <c r="L10" s="94">
        <f>SUMIFS('תקציב 2020'!P:P,'תקציב 2020'!B:B,'נספח 4 משרות'!B10,'תקציב 2020'!E:E,"שכר")</f>
        <v>1459600</v>
      </c>
      <c r="M10" s="375" t="s">
        <v>3500</v>
      </c>
    </row>
    <row r="11" spans="1:14" ht="14" x14ac:dyDescent="0.3">
      <c r="A11" s="82"/>
      <c r="B11" s="542" t="s">
        <v>652</v>
      </c>
      <c r="C11" s="542"/>
      <c r="D11" s="96">
        <f t="shared" ref="D11:I11" si="0">SUM(D8:D10)</f>
        <v>42</v>
      </c>
      <c r="E11" s="96">
        <f t="shared" si="0"/>
        <v>8257526.5000000009</v>
      </c>
      <c r="F11" s="349">
        <f t="shared" si="0"/>
        <v>39.200000000000003</v>
      </c>
      <c r="G11" s="96">
        <f t="shared" si="0"/>
        <v>8394368.4399999995</v>
      </c>
      <c r="H11" s="95">
        <f t="shared" si="0"/>
        <v>36.019999999999996</v>
      </c>
      <c r="I11" s="96">
        <f t="shared" si="0"/>
        <v>8488645.4790041652</v>
      </c>
      <c r="J11" s="82"/>
      <c r="K11" s="349">
        <f>SUM(K8:K10)</f>
        <v>35.616666666666667</v>
      </c>
      <c r="L11" s="96">
        <f>SUM(L8:L10)</f>
        <v>8441215.9020105824</v>
      </c>
    </row>
    <row r="12" spans="1:14" ht="15.5" x14ac:dyDescent="0.3">
      <c r="A12" s="82"/>
      <c r="B12" s="87">
        <v>7</v>
      </c>
      <c r="C12" s="88" t="s">
        <v>702</v>
      </c>
      <c r="D12" s="97"/>
      <c r="E12" s="97"/>
      <c r="F12" s="346"/>
      <c r="G12" s="97"/>
      <c r="H12" s="90"/>
      <c r="I12" s="97"/>
      <c r="J12" s="82"/>
      <c r="K12" s="346"/>
      <c r="L12" s="97"/>
    </row>
    <row r="13" spans="1:14" ht="15.5" x14ac:dyDescent="0.3">
      <c r="A13" s="82"/>
      <c r="B13" s="91">
        <v>71</v>
      </c>
      <c r="C13" s="92" t="s">
        <v>628</v>
      </c>
      <c r="D13" s="370">
        <v>21</v>
      </c>
      <c r="E13" s="94">
        <f>SUMIFS('תקציב 2020'!H:H,'תקציב 2020'!B:B,'נספח 4 משרות'!B13,'תקציב 2020'!E:E,"שכר")</f>
        <v>3038126.81</v>
      </c>
      <c r="F13" s="348">
        <v>19.16</v>
      </c>
      <c r="G13" s="94">
        <f>SUMIFS('תקציב 2020'!O:O,'תקציב 2020'!B:B,'נספח 4 משרות'!B13,'תקציב 2020'!E:E,"שכר")</f>
        <v>3044186.4900000007</v>
      </c>
      <c r="H13" s="93">
        <f>19.5-0.65</f>
        <v>18.850000000000001</v>
      </c>
      <c r="I13" s="94">
        <f>SUMIFS('תקציב 2020'!J:J,'תקציב 2020'!B:B,'נספח 4 משרות'!B13,'תקציב 2020'!E:E,"שכר")</f>
        <v>3198387.7767583337</v>
      </c>
      <c r="J13" s="82"/>
      <c r="K13" s="348">
        <f>SUMIFS('תקציב 2020'!N:N,'תקציב 2020'!B:B,'נספח 4 משרות'!B13,'תקציב 2020'!E:E,"שכר")</f>
        <v>17.708333333333336</v>
      </c>
      <c r="L13" s="94">
        <f>SUMIFS('תקציב 2020'!P:P,'תקציב 2020'!B:B,'נספח 4 משרות'!B13,'תקציב 2020'!E:E,"שכר")</f>
        <v>3070900</v>
      </c>
      <c r="M13" s="375" t="s">
        <v>3501</v>
      </c>
    </row>
    <row r="14" spans="1:14" ht="15.5" x14ac:dyDescent="0.3">
      <c r="A14" s="82"/>
      <c r="B14" s="91">
        <v>72</v>
      </c>
      <c r="C14" s="92" t="s">
        <v>654</v>
      </c>
      <c r="D14" s="370">
        <v>14</v>
      </c>
      <c r="E14" s="94">
        <f>SUMIFS('תקציב 2020'!H:H,'תקציב 2020'!B:B,'נספח 4 משרות'!B14,'תקציב 2020'!E:E,"שכר")</f>
        <v>1698156.77</v>
      </c>
      <c r="F14" s="348">
        <v>9.98</v>
      </c>
      <c r="G14" s="94">
        <f>SUMIFS('תקציב 2020'!O:O,'תקציב 2020'!B:B,'נספח 4 משרות'!B14,'תקציב 2020'!E:E,"שכר")</f>
        <v>1692025.13</v>
      </c>
      <c r="H14" s="93">
        <f>8.4-3.7</f>
        <v>4.7</v>
      </c>
      <c r="I14" s="94">
        <f>SUMIFS('תקציב 2020'!J:J,'תקציב 2020'!B:B,'נספח 4 משרות'!B14,'תקציב 2020'!E:E,"שכר")</f>
        <v>1181526.2502166666</v>
      </c>
      <c r="J14" s="82"/>
      <c r="K14" s="348">
        <f>SUMIFS('תקציב 2020'!N:N,'תקציב 2020'!B:B,'נספח 4 משרות'!B14,'תקציב 2020'!E:E,"שכר")</f>
        <v>5.9833333333333325</v>
      </c>
      <c r="L14" s="94">
        <f>SUMIFS('תקציב 2020'!P:P,'תקציב 2020'!B:B,'נספח 4 משרות'!B14,'תקציב 2020'!E:E,"שכר")</f>
        <v>1154700</v>
      </c>
      <c r="M14" s="375" t="s">
        <v>2254</v>
      </c>
    </row>
    <row r="15" spans="1:14" ht="15.5" x14ac:dyDescent="0.3">
      <c r="A15" s="82"/>
      <c r="B15" s="91">
        <v>73</v>
      </c>
      <c r="C15" s="92" t="s">
        <v>630</v>
      </c>
      <c r="D15" s="370">
        <v>14</v>
      </c>
      <c r="E15" s="94">
        <f>SUMIFS('תקציב 2020'!H:H,'תקציב 2020'!B:B,'נספח 4 משרות'!B15,'תקציב 2020'!E:E,"שכר")</f>
        <v>2724919.85</v>
      </c>
      <c r="F15" s="348">
        <f>13.02-1.5</f>
        <v>11.52</v>
      </c>
      <c r="G15" s="94">
        <f>SUMIFS('תקציב 2020'!O:O,'תקציב 2020'!B:B,'נספח 4 משרות'!B15,'תקציב 2020'!E:E,"שכר")-298619</f>
        <v>2442454</v>
      </c>
      <c r="H15" s="93">
        <f>12.63+1.54</f>
        <v>14.170000000000002</v>
      </c>
      <c r="I15" s="94">
        <f>SUMIFS('תקציב 2020'!J:J,'תקציב 2020'!B:B,'נספח 4 משרות'!B15,'תקציב 2020'!E:E,"שכר")</f>
        <v>2937030.4261079999</v>
      </c>
      <c r="J15" s="82"/>
      <c r="K15" s="348">
        <f>SUMIFS('תקציב 2020'!N:N,'תקציב 2020'!B:B,'נספח 4 משרות'!B15,'תקציב 2020'!E:E,"שכר")</f>
        <v>14.5</v>
      </c>
      <c r="L15" s="94">
        <f>SUMIFS('תקציב 2020'!P:P,'תקציב 2020'!B:B,'נספח 4 משרות'!B15,'תקציב 2020'!E:E,"שכר")</f>
        <v>3134600</v>
      </c>
    </row>
    <row r="16" spans="1:14" ht="15.5" x14ac:dyDescent="0.3">
      <c r="A16" s="82"/>
      <c r="B16" s="91">
        <v>74</v>
      </c>
      <c r="C16" s="92" t="s">
        <v>631</v>
      </c>
      <c r="D16" s="370">
        <v>4</v>
      </c>
      <c r="E16" s="94">
        <f>SUMIFS('תקציב 2020'!H:H,'תקציב 2020'!B:B,'נספח 4 משרות'!B16,'תקציב 2020'!E:E,"שכר")</f>
        <v>581928.15</v>
      </c>
      <c r="F16" s="348">
        <v>7</v>
      </c>
      <c r="G16" s="94">
        <f>SUMIFS('תקציב 2020'!O:O,'תקציב 2020'!B:B,'נספח 4 משרות'!B16,'תקציב 2020'!E:E,"שכר")</f>
        <v>1056438.1400000001</v>
      </c>
      <c r="H16" s="93">
        <f>SUMIFS('תקציב 2020'!M:M,'תקציב 2020'!B:B,'נספח 4 משרות'!B16,'תקציב 2020'!E:E,"שכר")</f>
        <v>6</v>
      </c>
      <c r="I16" s="94">
        <f>SUMIFS('תקציב 2020'!J:J,'תקציב 2020'!B:B,'נספח 4 משרות'!B16,'תקציב 2020'!E:E,"שכר")</f>
        <v>940323.08029999991</v>
      </c>
      <c r="J16" s="82"/>
      <c r="K16" s="348">
        <f>SUMIFS('תקציב 2020'!N:N,'תקציב 2020'!B:B,'נספח 4 משרות'!B16,'תקציב 2020'!E:E,"שכר")</f>
        <v>6</v>
      </c>
      <c r="L16" s="94">
        <f>SUMIFS('תקציב 2020'!P:P,'תקציב 2020'!B:B,'נספח 4 משרות'!B16,'תקציב 2020'!E:E,"שכר")</f>
        <v>938800</v>
      </c>
    </row>
    <row r="17" spans="1:14" s="107" customFormat="1" ht="15.5" x14ac:dyDescent="0.3">
      <c r="A17" s="82"/>
      <c r="B17" s="91">
        <v>75</v>
      </c>
      <c r="C17" s="92" t="s">
        <v>655</v>
      </c>
      <c r="D17" s="370">
        <f>SUMIFS('תקציב 2020'!L:L,'תקציב 2020'!B:B,'נספח 4 משרות'!B17,'תקציב 2020'!E:E,"שכר")</f>
        <v>0</v>
      </c>
      <c r="E17" s="94">
        <f>SUMIFS('תקציב 2020'!H:H,'תקציב 2020'!B:B,'נספח 4 משרות'!B17,'תקציב 2020'!E:E,"שכר")</f>
        <v>0</v>
      </c>
      <c r="F17" s="348">
        <f>D17</f>
        <v>0</v>
      </c>
      <c r="G17" s="94">
        <f>SUMIFS('תקציב 2020'!I:I,'תקציב 2020'!B:B,'נספח 4 משרות'!B17,'תקציב 2020'!E:E,"שכר")</f>
        <v>0</v>
      </c>
      <c r="H17" s="93">
        <f>SUMIFS('תקציב 2020'!M:M,'תקציב 2020'!B:B,'נספח 4 משרות'!B17,'תקציב 2020'!E:E,"שכר")</f>
        <v>0</v>
      </c>
      <c r="I17" s="94">
        <f>SUMIFS('תקציב 2020'!J:J,'תקציב 2020'!B:B,'נספח 4 משרות'!B17,'תקציב 2020'!E:E,"שכר")</f>
        <v>0</v>
      </c>
      <c r="J17" s="82"/>
      <c r="K17" s="348">
        <f>SUMIFS('תקציב 2020'!N:N,'תקציב 2020'!B:B,'נספח 4 משרות'!B17,'תקציב 2020'!E:E,"שכר")</f>
        <v>0</v>
      </c>
      <c r="L17" s="94">
        <f>SUMIFS('תקציב 2020'!P:P,'תקציב 2020'!B:B,'נספח 4 משרות'!B17,'תקציב 2020'!E:E,"שכר")</f>
        <v>0</v>
      </c>
      <c r="M17" s="377"/>
      <c r="N17" s="377"/>
    </row>
    <row r="18" spans="1:14" s="107" customFormat="1" ht="15.5" x14ac:dyDescent="0.3">
      <c r="A18" s="82"/>
      <c r="B18" s="91">
        <v>76</v>
      </c>
      <c r="C18" s="92" t="s">
        <v>632</v>
      </c>
      <c r="D18" s="370">
        <f>SUMIFS('תקציב 2020'!L:L,'תקציב 2020'!B:B,'נספח 4 משרות'!B18,'תקציב 2020'!E:E,"שכר")</f>
        <v>0</v>
      </c>
      <c r="E18" s="94">
        <f>SUMIFS('תקציב 2020'!H:H,'תקציב 2020'!B:B,'נספח 4 משרות'!B18,'תקציב 2020'!E:E,"שכר")</f>
        <v>0</v>
      </c>
      <c r="F18" s="348">
        <f>D18</f>
        <v>0</v>
      </c>
      <c r="G18" s="94">
        <f>SUMIFS('תקציב 2020'!I:I,'תקציב 2020'!B:B,'נספח 4 משרות'!B18,'תקציב 2020'!E:E,"שכר")</f>
        <v>0</v>
      </c>
      <c r="H18" s="93">
        <f>SUMIFS('תקציב 2020'!M:M,'תקציב 2020'!B:B,'נספח 4 משרות'!B18,'תקציב 2020'!E:E,"שכר")</f>
        <v>0</v>
      </c>
      <c r="I18" s="94">
        <f>SUMIFS('תקציב 2020'!J:J,'תקציב 2020'!B:B,'נספח 4 משרות'!B18,'תקציב 2020'!E:E,"שכר")</f>
        <v>0</v>
      </c>
      <c r="J18" s="82"/>
      <c r="K18" s="348">
        <f>SUMIFS('תקציב 2020'!N:N,'תקציב 2020'!B:B,'נספח 4 משרות'!B18,'תקציב 2020'!E:E,"שכר")</f>
        <v>0</v>
      </c>
      <c r="L18" s="94">
        <f>SUMIFS('תקציב 2020'!P:P,'תקציב 2020'!B:B,'נספח 4 משרות'!B18,'תקציב 2020'!E:E,"שכר")</f>
        <v>0</v>
      </c>
      <c r="M18" s="377"/>
      <c r="N18" s="377"/>
    </row>
    <row r="19" spans="1:14" s="107" customFormat="1" ht="15.5" x14ac:dyDescent="0.3">
      <c r="A19" s="82"/>
      <c r="B19" s="91">
        <v>77</v>
      </c>
      <c r="C19" s="92" t="s">
        <v>656</v>
      </c>
      <c r="D19" s="370">
        <v>15</v>
      </c>
      <c r="E19" s="94">
        <f>SUMIFS('תקציב 2020'!H:H,'תקציב 2020'!B:B,'נספח 4 משרות'!B19,'תקציב 2020'!E:E,"שכר")</f>
        <v>2676181.58</v>
      </c>
      <c r="F19" s="348">
        <f>15.79+1.5</f>
        <v>17.29</v>
      </c>
      <c r="G19" s="94">
        <f>SUMIFS('תקציב 2020'!O:O,'תקציב 2020'!B:B,'נספח 4 משרות'!B19,'תקציב 2020'!E:E,"שכר")+298619</f>
        <v>3065046</v>
      </c>
      <c r="H19" s="93">
        <f>SUMIFS('תקציב 2020'!M:M,'תקציב 2020'!B:B,'נספח 4 משרות'!B19,'תקציב 2020'!E:E,"שכר")</f>
        <v>16.138300000000001</v>
      </c>
      <c r="I19" s="94">
        <f>SUMIFS('תקציב 2020'!J:J,'תקציב 2020'!B:B,'נספח 4 משרות'!B19,'תקציב 2020'!E:E,"שכר")</f>
        <v>3207357.5459999996</v>
      </c>
      <c r="J19" s="82"/>
      <c r="K19" s="348">
        <f>SUMIFS('תקציב 2020'!N:N,'תקציב 2020'!B:B,'נספח 4 משרות'!B19,'תקציב 2020'!E:E,"שכר")</f>
        <v>17</v>
      </c>
      <c r="L19" s="94">
        <f>SUMIFS('תקציב 2020'!P:P,'תקציב 2020'!B:B,'נספח 4 משרות'!B19,'תקציב 2020'!E:E,"שכר")</f>
        <v>3175067.92</v>
      </c>
      <c r="M19" s="377"/>
      <c r="N19" s="377"/>
    </row>
    <row r="20" spans="1:14" s="107" customFormat="1" ht="15.5" x14ac:dyDescent="0.3">
      <c r="A20" s="82"/>
      <c r="B20" s="91">
        <v>78</v>
      </c>
      <c r="C20" s="92" t="s">
        <v>657</v>
      </c>
      <c r="D20" s="370">
        <v>6</v>
      </c>
      <c r="E20" s="94">
        <f>SUMIFS('תקציב 2020'!H:H,'תקציב 2020'!B:B,'נספח 4 משרות'!B20,'תקציב 2020'!E:E,"שכר")</f>
        <v>834258.16</v>
      </c>
      <c r="F20" s="348">
        <v>5.24</v>
      </c>
      <c r="G20" s="94">
        <f>SUMIFS('תקציב 2020'!O:O,'תקציב 2020'!B:B,'נספח 4 משרות'!B20,'תקציב 2020'!E:E,"שכר")</f>
        <v>835956</v>
      </c>
      <c r="H20" s="93">
        <f>SUMIFS('תקציב 2020'!M:M,'תקציב 2020'!B:B,'נספח 4 משרות'!B20,'תקציב 2020'!E:E,"שכר")</f>
        <v>5.2110000000000003</v>
      </c>
      <c r="I20" s="94">
        <f>SUMIFS('תקציב 2020'!J:J,'תקציב 2020'!B:B,'נספח 4 משרות'!B20,'תקציב 2020'!E:E,"שכר")</f>
        <v>858574.72964999988</v>
      </c>
      <c r="J20" s="82"/>
      <c r="K20" s="348">
        <f>SUMIFS('תקציב 2020'!N:N,'תקציב 2020'!B:B,'נספח 4 משרות'!B20,'תקציב 2020'!E:E,"שכר")</f>
        <v>5.36</v>
      </c>
      <c r="L20" s="94">
        <f>SUMIFS('תקציב 2020'!P:P,'תקציב 2020'!B:B,'נספח 4 משרות'!B20,'תקציב 2020'!E:E,"שכר")</f>
        <v>878865.2</v>
      </c>
      <c r="M20" s="377"/>
      <c r="N20" s="377"/>
    </row>
    <row r="21" spans="1:14" ht="14" x14ac:dyDescent="0.3">
      <c r="A21" s="82"/>
      <c r="B21" s="542" t="s">
        <v>633</v>
      </c>
      <c r="C21" s="542"/>
      <c r="D21" s="96">
        <f t="shared" ref="D21:I21" si="1">SUM(D13:D20)</f>
        <v>74</v>
      </c>
      <c r="E21" s="96">
        <f t="shared" si="1"/>
        <v>11553571.32</v>
      </c>
      <c r="F21" s="349">
        <f t="shared" si="1"/>
        <v>70.189999999999984</v>
      </c>
      <c r="G21" s="96">
        <f t="shared" si="1"/>
        <v>12136105.760000002</v>
      </c>
      <c r="H21" s="95">
        <f t="shared" si="1"/>
        <v>65.069299999999998</v>
      </c>
      <c r="I21" s="96">
        <f t="shared" si="1"/>
        <v>12323199.809032999</v>
      </c>
      <c r="J21" s="82"/>
      <c r="K21" s="349">
        <f>SUM(K13:K20)</f>
        <v>66.551666666666677</v>
      </c>
      <c r="L21" s="96">
        <f>SUM(L13:L20)</f>
        <v>12352933.119999999</v>
      </c>
    </row>
    <row r="22" spans="1:14" ht="15.5" x14ac:dyDescent="0.3">
      <c r="A22" s="82"/>
      <c r="B22" s="87">
        <v>8</v>
      </c>
      <c r="C22" s="88" t="s">
        <v>634</v>
      </c>
      <c r="D22" s="97"/>
      <c r="E22" s="97"/>
      <c r="F22" s="346"/>
      <c r="G22" s="97"/>
      <c r="H22" s="90"/>
      <c r="I22" s="97"/>
      <c r="J22" s="82"/>
      <c r="K22" s="346"/>
      <c r="L22" s="97"/>
    </row>
    <row r="23" spans="1:14" s="107" customFormat="1" ht="15.5" x14ac:dyDescent="0.3">
      <c r="A23" s="82"/>
      <c r="B23" s="91">
        <v>81</v>
      </c>
      <c r="C23" s="92" t="s">
        <v>635</v>
      </c>
      <c r="D23" s="370">
        <v>216</v>
      </c>
      <c r="E23" s="94">
        <f>SUMIFS('תקציב 2020'!H:H,'תקציב 2020'!B:B,'נספח 4 משרות'!B23,'תקציב 2020'!E:E,"שכר")</f>
        <v>29031210.779999997</v>
      </c>
      <c r="F23" s="348">
        <v>220.83</v>
      </c>
      <c r="G23" s="94">
        <f>SUMIFS('תקציב 2020'!O:O,'תקציב 2020'!B:B,'נספח 4 משרות'!B23,'תקציב 2020'!E:E,"שכר")</f>
        <v>30453301.627919991</v>
      </c>
      <c r="H23" s="93">
        <f>218.9-10.84</f>
        <v>208.06</v>
      </c>
      <c r="I23" s="94">
        <f>29329077-78497</f>
        <v>29250580</v>
      </c>
      <c r="J23" s="82"/>
      <c r="K23" s="348">
        <f>SUMIFS('תקציב 2020'!N:N,'תקציב 2020'!B:B,'נספח 4 משרות'!B23,'תקציב 2020'!E:E,"שכר")</f>
        <v>209.053</v>
      </c>
      <c r="L23" s="94">
        <f>SUMIFS('תקציב 2020'!P:P,'תקציב 2020'!B:B,'נספח 4 משרות'!B23,'תקציב 2020'!E:E,"שכר")</f>
        <v>29383020.260000002</v>
      </c>
      <c r="M23" s="377"/>
      <c r="N23" s="377"/>
    </row>
    <row r="24" spans="1:14" s="107" customFormat="1" ht="15.5" x14ac:dyDescent="0.3">
      <c r="A24" s="82"/>
      <c r="B24" s="91">
        <v>82</v>
      </c>
      <c r="C24" s="92" t="s">
        <v>636</v>
      </c>
      <c r="D24" s="370">
        <v>11</v>
      </c>
      <c r="E24" s="94">
        <f>SUMIFS('תקציב 2020'!H:H,'תקציב 2020'!B:B,'נספח 4 משרות'!B24,'תקציב 2020'!E:E,"שכר")</f>
        <v>1889407.5</v>
      </c>
      <c r="F24" s="348">
        <v>11.38</v>
      </c>
      <c r="G24" s="94">
        <f>SUMIFS('תקציב 2020'!O:O,'תקציב 2020'!B:B,'נספח 4 משרות'!B24,'תקציב 2020'!E:E,"שכר")</f>
        <v>1948981.2200000002</v>
      </c>
      <c r="H24" s="93">
        <f>10.41+2.75</f>
        <v>13.16</v>
      </c>
      <c r="I24" s="94">
        <f>2257769-116284</f>
        <v>2141485</v>
      </c>
      <c r="J24" s="82"/>
      <c r="K24" s="348">
        <f>SUMIFS('תקציב 2020'!N:N,'תקציב 2020'!B:B,'נספח 4 משרות'!B24,'תקציב 2020'!E:E,"שכר")</f>
        <v>14.358666666666668</v>
      </c>
      <c r="L24" s="94">
        <f>SUMIFS('תקציב 2020'!P:P,'תקציב 2020'!B:B,'נספח 4 משרות'!B24,'תקציב 2020'!E:E,"שכר")</f>
        <v>2451407.7999999998</v>
      </c>
      <c r="M24" s="377"/>
      <c r="N24" s="377"/>
    </row>
    <row r="25" spans="1:14" s="107" customFormat="1" ht="15.5" x14ac:dyDescent="0.3">
      <c r="A25" s="82"/>
      <c r="B25" s="91">
        <v>83</v>
      </c>
      <c r="C25" s="92" t="s">
        <v>637</v>
      </c>
      <c r="D25" s="370">
        <f>SUMIFS('תקציב 2020'!L:L,'תקציב 2020'!B:B,'נספח 4 משרות'!B25,'תקציב 2020'!E:E,"שכר")</f>
        <v>0</v>
      </c>
      <c r="E25" s="94">
        <f>SUMIFS('תקציב 2020'!H:H,'תקציב 2020'!B:B,'נספח 4 משרות'!B25,'תקציב 2020'!E:E,"שכר")</f>
        <v>0</v>
      </c>
      <c r="F25" s="348">
        <f>D25</f>
        <v>0</v>
      </c>
      <c r="G25" s="94">
        <f>SUMIFS('תקציב 2020'!I:I,'תקציב 2020'!B:B,'נספח 4 משרות'!B25,'תקציב 2020'!E:E,"שכר")</f>
        <v>0</v>
      </c>
      <c r="H25" s="93">
        <f>SUMIFS('תקציב 2020'!M:M,'תקציב 2020'!B:B,'נספח 4 משרות'!B25,'תקציב 2020'!E:E,"שכר")</f>
        <v>0</v>
      </c>
      <c r="I25" s="94">
        <f>SUMIFS('תקציב 2020'!J:J,'תקציב 2020'!B:B,'נספח 4 משרות'!B25,'תקציב 2020'!E:E,"שכר")</f>
        <v>0</v>
      </c>
      <c r="J25" s="82"/>
      <c r="K25" s="348">
        <f>SUMIFS('תקציב 2020'!N:N,'תקציב 2020'!B:B,'נספח 4 משרות'!B25,'תקציב 2020'!E:E,"שכר")</f>
        <v>0</v>
      </c>
      <c r="L25" s="94">
        <f>SUMIFS('תקציב 2020'!P:P,'תקציב 2020'!B:B,'נספח 4 משרות'!B25,'תקציב 2020'!E:E,"שכר")</f>
        <v>0</v>
      </c>
      <c r="M25" s="377"/>
      <c r="N25" s="377"/>
    </row>
    <row r="26" spans="1:14" s="107" customFormat="1" ht="15.5" x14ac:dyDescent="0.3">
      <c r="A26" s="82"/>
      <c r="B26" s="91">
        <v>84</v>
      </c>
      <c r="C26" s="92" t="s">
        <v>638</v>
      </c>
      <c r="D26" s="370">
        <v>50</v>
      </c>
      <c r="E26" s="94">
        <f>SUMIFS('תקציב 2020'!H:H,'תקציב 2020'!B:B,'נספח 4 משרות'!B26,'תקציב 2020'!E:E,"שכר")</f>
        <v>8285143.9199999999</v>
      </c>
      <c r="F26" s="348">
        <v>47.57</v>
      </c>
      <c r="G26" s="94">
        <f>SUMIFS('תקציב 2020'!O:O,'תקציב 2020'!B:B,'נספח 4 משרות'!B26,'תקציב 2020'!E:E,"שכר")</f>
        <v>8307845.5800000001</v>
      </c>
      <c r="H26" s="93">
        <f>46.13-0.35</f>
        <v>45.78</v>
      </c>
      <c r="I26" s="94">
        <f>SUMIFS('תקציב 2020'!J:J,'תקציב 2020'!B:B,'נספח 4 משרות'!B26,'תקציב 2020'!E:E,"שכר")</f>
        <v>8133251.3092500009</v>
      </c>
      <c r="J26" s="82"/>
      <c r="K26" s="348">
        <f>SUMIFS('תקציב 2020'!N:N,'תקציב 2020'!B:B,'נספח 4 משרות'!B26,'תקציב 2020'!E:E,"שכר")</f>
        <v>47.446666666666665</v>
      </c>
      <c r="L26" s="94">
        <f>SUMIFS('תקציב 2020'!P:P,'תקציב 2020'!B:B,'נספח 4 משרות'!B26,'תקציב 2020'!E:E,"שכר")</f>
        <v>8405205.120000001</v>
      </c>
      <c r="M26" s="377"/>
      <c r="N26" s="377"/>
    </row>
    <row r="27" spans="1:14" s="107" customFormat="1" ht="15.5" x14ac:dyDescent="0.3">
      <c r="A27" s="82"/>
      <c r="B27" s="91">
        <v>85</v>
      </c>
      <c r="C27" s="92" t="s">
        <v>659</v>
      </c>
      <c r="D27" s="370">
        <f>SUMIFS('תקציב 2020'!L:L,'תקציב 2020'!B:B,'נספח 4 משרות'!B27,'תקציב 2020'!E:E,"שכר")</f>
        <v>0</v>
      </c>
      <c r="E27" s="94">
        <f>SUMIFS('תקציב 2020'!H:H,'תקציב 2020'!B:B,'נספח 4 משרות'!B27,'תקציב 2020'!E:E,"שכר")</f>
        <v>0</v>
      </c>
      <c r="F27" s="348">
        <f>D27</f>
        <v>0</v>
      </c>
      <c r="G27" s="94">
        <f>SUMIFS('תקציב 2020'!I:I,'תקציב 2020'!B:B,'נספח 4 משרות'!B27,'תקציב 2020'!E:E,"שכר")</f>
        <v>0</v>
      </c>
      <c r="H27" s="93">
        <f>SUMIFS('תקציב 2020'!M:M,'תקציב 2020'!B:B,'נספח 4 משרות'!B27,'תקציב 2020'!E:E,"שכר")</f>
        <v>0</v>
      </c>
      <c r="I27" s="94">
        <f>SUMIFS('תקציב 2020'!J:J,'תקציב 2020'!B:B,'נספח 4 משרות'!B27,'תקציב 2020'!E:E,"שכר")</f>
        <v>0</v>
      </c>
      <c r="J27" s="82"/>
      <c r="K27" s="348">
        <f>SUMIFS('תקציב 2020'!N:N,'תקציב 2020'!B:B,'נספח 4 משרות'!B27,'תקציב 2020'!E:E,"שכר")</f>
        <v>0</v>
      </c>
      <c r="L27" s="94">
        <f>SUMIFS('תקציב 2020'!P:P,'תקציב 2020'!B:B,'נספח 4 משרות'!B27,'תקציב 2020'!E:E,"שכר")</f>
        <v>0</v>
      </c>
      <c r="M27" s="377"/>
      <c r="N27" s="377"/>
    </row>
    <row r="28" spans="1:14" s="107" customFormat="1" ht="15.5" x14ac:dyDescent="0.3">
      <c r="A28" s="82"/>
      <c r="B28" s="91">
        <v>86</v>
      </c>
      <c r="C28" s="92" t="s">
        <v>665</v>
      </c>
      <c r="D28" s="370">
        <v>1</v>
      </c>
      <c r="E28" s="94">
        <f>SUMIFS('תקציב 2020'!H:H,'תקציב 2020'!B:B,'נספח 4 משרות'!B28,'תקציב 2020'!E:E,"שכר")</f>
        <v>69225.710000000006</v>
      </c>
      <c r="F28" s="348">
        <v>0.75</v>
      </c>
      <c r="G28" s="94">
        <f>SUMIFS('תקציב 2020'!O:O,'תקציב 2020'!B:B,'נספח 4 משרות'!B28,'תקציב 2020'!E:E,"שכר")</f>
        <v>75953.22</v>
      </c>
      <c r="H28" s="93">
        <f>SUMIFS('תקציב 2020'!M:M,'תקציב 2020'!B:B,'נספח 4 משרות'!B28,'תקציב 2020'!E:E,"שכר")</f>
        <v>0.75</v>
      </c>
      <c r="I28" s="94">
        <f>SUMIFS('תקציב 2020'!J:J,'תקציב 2020'!B:B,'נספח 4 משרות'!B28,'תקציב 2020'!E:E,"שכר")</f>
        <v>77050.964199999988</v>
      </c>
      <c r="J28" s="82"/>
      <c r="K28" s="348">
        <f>SUMIFS('תקציב 2020'!N:N,'תקציב 2020'!B:B,'נספח 4 משרות'!B28,'תקציב 2020'!E:E,"שכר")</f>
        <v>0.75</v>
      </c>
      <c r="L28" s="94">
        <f>SUMIFS('תקציב 2020'!P:P,'תקציב 2020'!B:B,'נספח 4 משרות'!B28,'תקציב 2020'!E:E,"שכר")</f>
        <v>77636</v>
      </c>
      <c r="M28" s="377"/>
      <c r="N28" s="377"/>
    </row>
    <row r="29" spans="1:14" s="107" customFormat="1" ht="15.5" x14ac:dyDescent="0.3">
      <c r="A29" s="82"/>
      <c r="B29" s="91">
        <v>87</v>
      </c>
      <c r="C29" s="92" t="s">
        <v>571</v>
      </c>
      <c r="D29" s="370">
        <v>3</v>
      </c>
      <c r="E29" s="94">
        <f>SUMIFS('תקציב 2020'!H:H,'תקציב 2020'!B:B,'נספח 4 משרות'!B29,'תקציב 2020'!E:E,"שכר")</f>
        <v>489330.51</v>
      </c>
      <c r="F29" s="348">
        <v>3.83</v>
      </c>
      <c r="G29" s="94">
        <f>SUMIFS('תקציב 2020'!O:O,'תקציב 2020'!B:B,'נספח 4 משרות'!B29,'תקציב 2020'!E:E,"שכר")</f>
        <v>681554</v>
      </c>
      <c r="H29" s="93">
        <f>SUMIFS('תקציב 2020'!M:M,'תקציב 2020'!B:B,'נספח 4 משרות'!B29,'תקציב 2020'!E:E,"שכר")</f>
        <v>3.7942</v>
      </c>
      <c r="I29" s="94">
        <f>SUMIFS('תקציב 2020'!J:J,'תקציב 2020'!B:B,'נספח 4 משרות'!B29,'תקציב 2020'!E:E,"שכר")</f>
        <v>728545.72559999977</v>
      </c>
      <c r="J29" s="82"/>
      <c r="K29" s="348">
        <f>SUMIFS('תקציב 2020'!N:N,'תקציב 2020'!B:B,'נספח 4 משרות'!B29,'תקציב 2020'!E:E,"שכר")</f>
        <v>4</v>
      </c>
      <c r="L29" s="94">
        <f>SUMIFS('תקציב 2020'!P:P,'תקציב 2020'!B:B,'נספח 4 משרות'!B29,'תקציב 2020'!E:E,"שכר")</f>
        <v>719987.64</v>
      </c>
      <c r="M29" s="377"/>
      <c r="N29" s="377"/>
    </row>
    <row r="30" spans="1:14" ht="14" x14ac:dyDescent="0.3">
      <c r="A30" s="82"/>
      <c r="B30" s="542" t="s">
        <v>639</v>
      </c>
      <c r="C30" s="542"/>
      <c r="D30" s="96">
        <f t="shared" ref="D30:I30" si="2">SUM(D23:D29)</f>
        <v>281</v>
      </c>
      <c r="E30" s="96">
        <f t="shared" si="2"/>
        <v>39764318.419999994</v>
      </c>
      <c r="F30" s="349">
        <f t="shared" si="2"/>
        <v>284.36</v>
      </c>
      <c r="G30" s="96">
        <f t="shared" si="2"/>
        <v>41467635.64791999</v>
      </c>
      <c r="H30" s="95">
        <f t="shared" si="2"/>
        <v>271.54419999999999</v>
      </c>
      <c r="I30" s="96">
        <f t="shared" si="2"/>
        <v>40330912.999049991</v>
      </c>
      <c r="J30" s="82"/>
      <c r="K30" s="349">
        <f>SUM(K23:K29)</f>
        <v>275.60833333333335</v>
      </c>
      <c r="L30" s="96">
        <f>SUM(L23:L29)</f>
        <v>41037256.820000008</v>
      </c>
    </row>
    <row r="31" spans="1:14" ht="15.5" x14ac:dyDescent="0.3">
      <c r="A31" s="82"/>
      <c r="B31" s="87">
        <v>9</v>
      </c>
      <c r="C31" s="88" t="s">
        <v>703</v>
      </c>
      <c r="D31" s="97"/>
      <c r="E31" s="97"/>
      <c r="F31" s="346"/>
      <c r="G31" s="97"/>
      <c r="H31" s="90"/>
      <c r="I31" s="97"/>
      <c r="J31" s="82"/>
      <c r="K31" s="346"/>
      <c r="L31" s="97"/>
    </row>
    <row r="32" spans="1:14" s="107" customFormat="1" ht="15.5" x14ac:dyDescent="0.3">
      <c r="A32" s="82"/>
      <c r="B32" s="91">
        <v>93</v>
      </c>
      <c r="C32" s="92" t="s">
        <v>661</v>
      </c>
      <c r="D32" s="370">
        <f>SUMIFS('תקציב 2020'!L:L,'תקציב 2020'!B:B,'נספח 4 משרות'!B32,'תקציב 2020'!E:E,"שכר")</f>
        <v>0</v>
      </c>
      <c r="E32" s="94">
        <f>SUMIFS('תקציב 2020'!H:H,'תקציב 2020'!B:B,'נספח 4 משרות'!B32,'תקציב 2020'!E:E,"שכר")</f>
        <v>0</v>
      </c>
      <c r="F32" s="348">
        <f>D32</f>
        <v>0</v>
      </c>
      <c r="G32" s="94">
        <f>SUMIFS('תקציב 2020'!I:I,'תקציב 2020'!B:B,'נספח 4 משרות'!B32,'תקציב 2020'!E:E,"שכר")</f>
        <v>0</v>
      </c>
      <c r="H32" s="93">
        <f>SUMIFS('תקציב 2020'!M:M,'תקציב 2020'!B:B,'נספח 4 משרות'!B32,'תקציב 2020'!E:E,"שכר")</f>
        <v>0</v>
      </c>
      <c r="I32" s="94">
        <f>SUMIFS('תקציב 2020'!J:J,'תקציב 2020'!B:B,'נספח 4 משרות'!B32,'תקציב 2020'!E:E,"שכר")</f>
        <v>0</v>
      </c>
      <c r="J32" s="82"/>
      <c r="K32" s="347">
        <f>SUMIFS('תקציב 2020'!N:N,'תקציב 2020'!B:B,'נספח 4 משרות'!B32,'תקציב 2020'!E:E,"שכר")</f>
        <v>0</v>
      </c>
      <c r="L32" s="94">
        <f>SUMIFS('תקציב 2020'!P:P,'תקציב 2020'!B:B,'נספח 4 משרות'!B32,'תקציב 2020'!E:E,"שכר")</f>
        <v>0</v>
      </c>
      <c r="M32" s="377"/>
      <c r="N32" s="377"/>
    </row>
    <row r="33" spans="1:14" s="107" customFormat="1" ht="15.5" x14ac:dyDescent="0.3">
      <c r="A33" s="82"/>
      <c r="B33" s="91">
        <v>97</v>
      </c>
      <c r="C33" s="92" t="s">
        <v>642</v>
      </c>
      <c r="D33" s="370">
        <f>SUMIFS('תקציב 2020'!L:L,'תקציב 2020'!B:B,'נספח 4 משרות'!B33,'תקציב 2020'!E:E,"שכר")</f>
        <v>0</v>
      </c>
      <c r="E33" s="94">
        <f>SUMIFS('תקציב 2020'!H:H,'תקציב 2020'!B:B,'נספח 4 משרות'!B33,'תקציב 2020'!E:E,"שכר")</f>
        <v>0</v>
      </c>
      <c r="F33" s="348">
        <f>D33</f>
        <v>0</v>
      </c>
      <c r="G33" s="94">
        <f>SUMIFS('תקציב 2020'!I:I,'תקציב 2020'!B:B,'נספח 4 משרות'!B33,'תקציב 2020'!E:E,"שכר")</f>
        <v>0</v>
      </c>
      <c r="H33" s="93">
        <f>SUMIFS('תקציב 2020'!M:M,'תקציב 2020'!B:B,'נספח 4 משרות'!B33,'תקציב 2020'!E:E,"שכר")</f>
        <v>0</v>
      </c>
      <c r="I33" s="94">
        <f>SUMIFS('תקציב 2020'!J:J,'תקציב 2020'!B:B,'נספח 4 משרות'!B33,'תקציב 2020'!E:E,"שכר")</f>
        <v>0</v>
      </c>
      <c r="J33" s="82"/>
      <c r="K33" s="347">
        <f>SUMIFS('תקציב 2020'!N:N,'תקציב 2020'!B:B,'נספח 4 משרות'!B33,'תקציב 2020'!E:E,"שכר")</f>
        <v>0</v>
      </c>
      <c r="L33" s="94">
        <f>SUMIFS('תקציב 2020'!P:P,'תקציב 2020'!B:B,'נספח 4 משרות'!B33,'תקציב 2020'!E:E,"שכר")</f>
        <v>0</v>
      </c>
      <c r="M33" s="377"/>
      <c r="N33" s="377"/>
    </row>
    <row r="34" spans="1:14" s="107" customFormat="1" ht="15.5" x14ac:dyDescent="0.3">
      <c r="A34" s="82"/>
      <c r="B34" s="91">
        <v>99</v>
      </c>
      <c r="C34" s="92" t="s">
        <v>662</v>
      </c>
      <c r="D34" s="370">
        <v>0</v>
      </c>
      <c r="E34" s="94">
        <f>SUMIFS('תקציב 2020'!H:H,'תקציב 2020'!B:B,'נספח 4 משרות'!B34,'תקציב 2020'!E:E,"שכר")-E37</f>
        <v>0</v>
      </c>
      <c r="F34" s="348">
        <f>D34</f>
        <v>0</v>
      </c>
      <c r="G34" s="94">
        <v>0</v>
      </c>
      <c r="H34" s="93">
        <v>0</v>
      </c>
      <c r="I34" s="94">
        <f>SUMIFS('תקציב 2020'!J:J,'תקציב 2020'!B:B,'נספח 4 משרות'!B34,'תקציב 2020'!E:E,"שכר")-I37</f>
        <v>0</v>
      </c>
      <c r="J34" s="82"/>
      <c r="K34" s="347">
        <v>0</v>
      </c>
      <c r="L34" s="94">
        <v>0</v>
      </c>
      <c r="M34" s="377"/>
      <c r="N34" s="377"/>
    </row>
    <row r="35" spans="1:14" ht="14" x14ac:dyDescent="0.3">
      <c r="A35" s="82"/>
      <c r="B35" s="542" t="s">
        <v>643</v>
      </c>
      <c r="C35" s="542"/>
      <c r="D35" s="96">
        <f t="shared" ref="D35:I35" si="3">SUM(D32:D34)</f>
        <v>0</v>
      </c>
      <c r="E35" s="96">
        <f t="shared" si="3"/>
        <v>0</v>
      </c>
      <c r="F35" s="349">
        <f t="shared" si="3"/>
        <v>0</v>
      </c>
      <c r="G35" s="96">
        <f t="shared" si="3"/>
        <v>0</v>
      </c>
      <c r="H35" s="95">
        <f t="shared" si="3"/>
        <v>0</v>
      </c>
      <c r="I35" s="96">
        <f t="shared" si="3"/>
        <v>0</v>
      </c>
      <c r="J35" s="82"/>
      <c r="K35" s="349">
        <f>SUM(K32:K34)</f>
        <v>0</v>
      </c>
      <c r="L35" s="96">
        <f>SUM(L32:L34)</f>
        <v>0</v>
      </c>
    </row>
    <row r="36" spans="1:14" ht="15.5" x14ac:dyDescent="0.3">
      <c r="A36" s="82"/>
      <c r="B36" s="98"/>
      <c r="C36" s="98"/>
      <c r="D36" s="371"/>
      <c r="E36" s="99"/>
      <c r="F36" s="350"/>
      <c r="G36" s="99"/>
      <c r="H36" s="100"/>
      <c r="I36" s="99"/>
      <c r="J36" s="82"/>
      <c r="K36" s="350"/>
      <c r="L36" s="99"/>
    </row>
    <row r="37" spans="1:14" ht="15.5" x14ac:dyDescent="0.3">
      <c r="A37" s="82"/>
      <c r="B37" s="91"/>
      <c r="C37" s="92" t="s">
        <v>704</v>
      </c>
      <c r="D37" s="370">
        <v>192</v>
      </c>
      <c r="E37" s="94">
        <f>'תקציב 2020'!H749+'תקציב 2020'!H753</f>
        <v>23470328.759999998</v>
      </c>
      <c r="F37" s="348">
        <v>192.51</v>
      </c>
      <c r="G37" s="94">
        <f>'תקציב 2020'!O749+'תקציב 2020'!O753</f>
        <v>23337640</v>
      </c>
      <c r="H37" s="93">
        <f>198.85+15.88</f>
        <v>214.73</v>
      </c>
      <c r="I37" s="94">
        <f>'תקציב 2020'!J749+'תקציב 2020'!J753</f>
        <v>25111066.448721699</v>
      </c>
      <c r="J37" s="82"/>
      <c r="K37" s="348">
        <f>'תקציב 2020'!N749</f>
        <v>200.09873333333337</v>
      </c>
      <c r="L37" s="94">
        <f>'תקציב 2020'!P749+'תקציב 2020'!P753</f>
        <v>24354527.540000029</v>
      </c>
    </row>
    <row r="38" spans="1:14" hidden="1" x14ac:dyDescent="0.3">
      <c r="A38" s="82"/>
      <c r="B38" s="101"/>
      <c r="C38" s="101"/>
      <c r="D38" s="103"/>
      <c r="E38" s="103"/>
      <c r="F38" s="351"/>
      <c r="G38" s="103"/>
      <c r="H38" s="102"/>
      <c r="I38" s="103"/>
      <c r="J38" s="82"/>
      <c r="K38" s="351"/>
      <c r="L38" s="103"/>
    </row>
    <row r="39" spans="1:14" ht="14" x14ac:dyDescent="0.3">
      <c r="A39" s="82"/>
      <c r="B39" s="542" t="s">
        <v>705</v>
      </c>
      <c r="C39" s="542"/>
      <c r="D39" s="96">
        <f t="shared" ref="D39:I39" si="4">D37+D35+D30+D21+D11</f>
        <v>589</v>
      </c>
      <c r="E39" s="96">
        <f t="shared" si="4"/>
        <v>83045745</v>
      </c>
      <c r="F39" s="349">
        <f t="shared" si="4"/>
        <v>586.26</v>
      </c>
      <c r="G39" s="96">
        <f t="shared" si="4"/>
        <v>85335749.847919986</v>
      </c>
      <c r="H39" s="95">
        <f t="shared" si="4"/>
        <v>587.36349999999993</v>
      </c>
      <c r="I39" s="96">
        <f t="shared" si="4"/>
        <v>86253824.735808849</v>
      </c>
      <c r="J39" s="82"/>
      <c r="K39" s="349">
        <f>K37+K35+K30+K21+K11</f>
        <v>577.87540000000001</v>
      </c>
      <c r="L39" s="96">
        <f>L37+L35+L30+L21+L11</f>
        <v>86185933.382010609</v>
      </c>
    </row>
    <row r="40" spans="1:14" hidden="1" x14ac:dyDescent="0.3">
      <c r="A40" s="82"/>
      <c r="B40" s="82"/>
      <c r="C40" s="82"/>
      <c r="D40" s="367"/>
      <c r="E40" s="82"/>
      <c r="F40" s="342"/>
      <c r="G40" s="82"/>
      <c r="H40" s="82"/>
      <c r="I40" s="83"/>
      <c r="J40" s="82"/>
      <c r="K40" s="342"/>
      <c r="L40" s="83"/>
    </row>
    <row r="41" spans="1:14" ht="15.5" hidden="1" x14ac:dyDescent="0.3">
      <c r="A41" s="82"/>
      <c r="B41" s="104"/>
      <c r="C41" s="105"/>
      <c r="D41" s="372"/>
      <c r="E41" s="105"/>
      <c r="F41" s="352"/>
      <c r="G41" s="105"/>
      <c r="H41" s="105"/>
      <c r="I41" s="105"/>
      <c r="J41" s="82"/>
      <c r="K41" s="352"/>
      <c r="L41" s="105"/>
    </row>
    <row r="42" spans="1:14" hidden="1" x14ac:dyDescent="0.3"/>
    <row r="43" spans="1:14" hidden="1" x14ac:dyDescent="0.3"/>
    <row r="44" spans="1:14" hidden="1" x14ac:dyDescent="0.3"/>
    <row r="46" spans="1:14" x14ac:dyDescent="0.3">
      <c r="E46" s="374"/>
    </row>
  </sheetData>
  <mergeCells count="12">
    <mergeCell ref="H5:I5"/>
    <mergeCell ref="B3:L3"/>
    <mergeCell ref="K5:L5"/>
    <mergeCell ref="B11:C11"/>
    <mergeCell ref="B21:C21"/>
    <mergeCell ref="B39:C39"/>
    <mergeCell ref="B5:B6"/>
    <mergeCell ref="C5:C6"/>
    <mergeCell ref="D5:E5"/>
    <mergeCell ref="F5:G5"/>
    <mergeCell ref="B30:C30"/>
    <mergeCell ref="B35:C35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עמוד &amp;P מתוך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5"/>
  <sheetViews>
    <sheetView rightToLeft="1" topLeftCell="B1" workbookViewId="0">
      <selection activeCell="L4" sqref="L4"/>
    </sheetView>
  </sheetViews>
  <sheetFormatPr defaultRowHeight="14" x14ac:dyDescent="0.3"/>
  <cols>
    <col min="1" max="1" width="10.83203125" bestFit="1" customWidth="1"/>
    <col min="2" max="2" width="28.08203125" bestFit="1" customWidth="1"/>
    <col min="3" max="3" width="13.5" bestFit="1" customWidth="1"/>
    <col min="4" max="5" width="12.33203125" bestFit="1" customWidth="1"/>
    <col min="6" max="6" width="13.5" bestFit="1" customWidth="1"/>
    <col min="7" max="7" width="12" bestFit="1" customWidth="1"/>
    <col min="8" max="8" width="12.33203125" bestFit="1" customWidth="1"/>
    <col min="9" max="9" width="13.5" bestFit="1" customWidth="1"/>
    <col min="10" max="10" width="12" bestFit="1" customWidth="1"/>
    <col min="11" max="11" width="12.33203125" bestFit="1" customWidth="1"/>
    <col min="12" max="12" width="13.5" style="171" bestFit="1" customWidth="1"/>
  </cols>
  <sheetData>
    <row r="1" spans="1:12" x14ac:dyDescent="0.3">
      <c r="A1" s="490" t="s">
        <v>0</v>
      </c>
      <c r="B1" s="490" t="s">
        <v>34</v>
      </c>
      <c r="C1" s="490" t="s">
        <v>718</v>
      </c>
      <c r="D1" s="490" t="s">
        <v>3508</v>
      </c>
      <c r="E1" s="490" t="s">
        <v>719</v>
      </c>
      <c r="F1" s="490" t="s">
        <v>3509</v>
      </c>
      <c r="G1" s="490" t="s">
        <v>3510</v>
      </c>
      <c r="H1" s="490" t="s">
        <v>3511</v>
      </c>
      <c r="I1" s="490" t="s">
        <v>608</v>
      </c>
      <c r="J1" s="490" t="s">
        <v>3512</v>
      </c>
      <c r="K1" s="489" t="s">
        <v>3535</v>
      </c>
    </row>
    <row r="2" spans="1:12" x14ac:dyDescent="0.3">
      <c r="A2" s="490">
        <v>1111100100</v>
      </c>
      <c r="B2" s="490" t="s">
        <v>35</v>
      </c>
      <c r="C2" s="491">
        <v>50038489.030000001</v>
      </c>
      <c r="D2" s="491">
        <f>C2/12*5</f>
        <v>20849370.429166667</v>
      </c>
      <c r="E2" s="491">
        <v>19543025.670000002</v>
      </c>
      <c r="F2" s="491">
        <v>30495463.359999999</v>
      </c>
      <c r="G2" s="490"/>
      <c r="H2" s="490">
        <v>39.06</v>
      </c>
      <c r="I2" s="491">
        <v>46977410.960000001</v>
      </c>
      <c r="J2" s="490"/>
      <c r="K2" s="278">
        <f>E2+J2</f>
        <v>19543025.670000002</v>
      </c>
      <c r="L2" s="171">
        <v>20957000</v>
      </c>
    </row>
    <row r="3" spans="1:12" x14ac:dyDescent="0.3">
      <c r="A3" s="490">
        <v>1111200100</v>
      </c>
      <c r="B3" s="490" t="s">
        <v>36</v>
      </c>
      <c r="C3" s="491">
        <v>4000000</v>
      </c>
      <c r="D3" s="491">
        <f>C3/12*5</f>
        <v>1666666.6666666665</v>
      </c>
      <c r="E3" s="491">
        <v>4594606.7</v>
      </c>
      <c r="F3" s="490"/>
      <c r="G3" s="491">
        <v>594606.69999999995</v>
      </c>
      <c r="H3" s="490">
        <v>114.87</v>
      </c>
      <c r="I3" s="491">
        <v>5763419.6399999997</v>
      </c>
      <c r="J3" s="490"/>
      <c r="K3" s="278">
        <f t="shared" ref="K3:K66" si="0">E3+J3</f>
        <v>4594606.7</v>
      </c>
      <c r="L3" s="171">
        <v>5722000</v>
      </c>
    </row>
    <row r="4" spans="1:12" x14ac:dyDescent="0.3">
      <c r="A4" s="490">
        <v>1111300100</v>
      </c>
      <c r="B4" s="490" t="s">
        <v>3</v>
      </c>
      <c r="C4" s="491">
        <v>13043480.02</v>
      </c>
      <c r="D4" s="491">
        <f>C4/12*5</f>
        <v>5434783.3416666659</v>
      </c>
      <c r="E4" s="490"/>
      <c r="F4" s="491">
        <v>13043480.02</v>
      </c>
      <c r="G4" s="490"/>
      <c r="H4" s="490"/>
      <c r="I4" s="491">
        <v>12466175</v>
      </c>
      <c r="J4" s="490"/>
      <c r="K4" s="278">
        <v>11526000</v>
      </c>
    </row>
    <row r="5" spans="1:12" x14ac:dyDescent="0.3">
      <c r="A5" s="490">
        <v>1111400100</v>
      </c>
      <c r="B5" s="490" t="s">
        <v>3513</v>
      </c>
      <c r="C5" s="490"/>
      <c r="D5" s="491">
        <f>C5/12*5</f>
        <v>0</v>
      </c>
      <c r="E5" s="491">
        <v>11904.5</v>
      </c>
      <c r="F5" s="490"/>
      <c r="G5" s="491">
        <v>11904.5</v>
      </c>
      <c r="H5" s="490"/>
      <c r="I5" s="490"/>
      <c r="J5" s="490"/>
      <c r="K5" s="278">
        <f t="shared" si="0"/>
        <v>11904.5</v>
      </c>
    </row>
    <row r="6" spans="1:12" x14ac:dyDescent="0.3">
      <c r="A6" s="490">
        <v>1121000220</v>
      </c>
      <c r="B6" s="490" t="s">
        <v>37</v>
      </c>
      <c r="C6" s="491">
        <v>53600</v>
      </c>
      <c r="D6" s="491">
        <f t="shared" ref="D6:D69" si="1">C6/12*5</f>
        <v>22333.333333333336</v>
      </c>
      <c r="E6" s="491">
        <v>2607</v>
      </c>
      <c r="F6" s="491">
        <v>50993</v>
      </c>
      <c r="G6" s="490"/>
      <c r="H6" s="490">
        <v>4.8600000000000003</v>
      </c>
      <c r="I6" s="491">
        <v>9319</v>
      </c>
      <c r="J6" s="490"/>
      <c r="K6" s="278">
        <f t="shared" si="0"/>
        <v>2607</v>
      </c>
    </row>
    <row r="7" spans="1:12" x14ac:dyDescent="0.3">
      <c r="A7" s="490">
        <v>1122000220</v>
      </c>
      <c r="B7" s="490" t="s">
        <v>38</v>
      </c>
      <c r="C7" s="491">
        <v>1050000</v>
      </c>
      <c r="D7" s="491">
        <f t="shared" si="1"/>
        <v>437500</v>
      </c>
      <c r="E7" s="491">
        <v>138126.15</v>
      </c>
      <c r="F7" s="491">
        <v>911873.85</v>
      </c>
      <c r="G7" s="490"/>
      <c r="H7" s="490">
        <v>13.15</v>
      </c>
      <c r="I7" s="491">
        <v>1254316.02</v>
      </c>
      <c r="J7" s="490"/>
      <c r="K7" s="278">
        <f t="shared" si="0"/>
        <v>138126.15</v>
      </c>
    </row>
    <row r="8" spans="1:12" x14ac:dyDescent="0.3">
      <c r="A8" s="490">
        <v>1124000220</v>
      </c>
      <c r="B8" s="490" t="s">
        <v>39</v>
      </c>
      <c r="C8" s="491">
        <v>20000</v>
      </c>
      <c r="D8" s="491">
        <f t="shared" si="1"/>
        <v>8333.3333333333339</v>
      </c>
      <c r="E8" s="490"/>
      <c r="F8" s="491">
        <v>20000</v>
      </c>
      <c r="G8" s="490"/>
      <c r="H8" s="490"/>
      <c r="I8" s="490"/>
      <c r="J8" s="490"/>
      <c r="K8" s="278">
        <f t="shared" si="0"/>
        <v>0</v>
      </c>
    </row>
    <row r="9" spans="1:12" x14ac:dyDescent="0.3">
      <c r="A9" s="490">
        <v>1129000220</v>
      </c>
      <c r="B9" s="490" t="s">
        <v>40</v>
      </c>
      <c r="C9" s="491">
        <v>150000</v>
      </c>
      <c r="D9" s="491">
        <f t="shared" si="1"/>
        <v>62500</v>
      </c>
      <c r="E9" s="491">
        <v>59729.22</v>
      </c>
      <c r="F9" s="491">
        <v>90270.78</v>
      </c>
      <c r="G9" s="490"/>
      <c r="H9" s="490">
        <v>39.82</v>
      </c>
      <c r="I9" s="491">
        <v>223409.32</v>
      </c>
      <c r="J9" s="490"/>
      <c r="K9" s="278">
        <f t="shared" si="0"/>
        <v>59729.22</v>
      </c>
    </row>
    <row r="10" spans="1:12" x14ac:dyDescent="0.3">
      <c r="A10" s="490">
        <v>1129000221</v>
      </c>
      <c r="B10" s="490" t="s">
        <v>41</v>
      </c>
      <c r="C10" s="490">
        <v>200</v>
      </c>
      <c r="D10" s="491">
        <f t="shared" si="1"/>
        <v>83.333333333333343</v>
      </c>
      <c r="E10" s="490"/>
      <c r="F10" s="490">
        <v>200</v>
      </c>
      <c r="G10" s="490"/>
      <c r="H10" s="490"/>
      <c r="I10" s="490"/>
      <c r="J10" s="490"/>
      <c r="K10" s="278">
        <f t="shared" si="0"/>
        <v>0</v>
      </c>
    </row>
    <row r="11" spans="1:12" x14ac:dyDescent="0.3">
      <c r="A11" s="490">
        <v>1129000222</v>
      </c>
      <c r="B11" s="490" t="s">
        <v>42</v>
      </c>
      <c r="C11" s="490"/>
      <c r="D11" s="491">
        <f t="shared" si="1"/>
        <v>0</v>
      </c>
      <c r="E11" s="490">
        <v>-531.91999999999996</v>
      </c>
      <c r="F11" s="490">
        <v>531.91999999999996</v>
      </c>
      <c r="G11" s="490"/>
      <c r="H11" s="490"/>
      <c r="I11" s="490"/>
      <c r="J11" s="490"/>
      <c r="K11" s="278">
        <f t="shared" si="0"/>
        <v>-531.91999999999996</v>
      </c>
    </row>
    <row r="12" spans="1:12" x14ac:dyDescent="0.3">
      <c r="A12" s="490">
        <v>1190000910</v>
      </c>
      <c r="B12" s="490" t="s">
        <v>43</v>
      </c>
      <c r="C12" s="491">
        <v>1281878.6599999999</v>
      </c>
      <c r="D12" s="491">
        <f t="shared" si="1"/>
        <v>534116.10833333328</v>
      </c>
      <c r="E12" s="490"/>
      <c r="F12" s="491">
        <v>1281878.6599999999</v>
      </c>
      <c r="G12" s="490"/>
      <c r="H12" s="490"/>
      <c r="I12" s="491">
        <v>103480</v>
      </c>
      <c r="J12" s="490">
        <v>100000</v>
      </c>
      <c r="K12" s="278">
        <f t="shared" si="0"/>
        <v>100000</v>
      </c>
    </row>
    <row r="13" spans="1:12" x14ac:dyDescent="0.3">
      <c r="A13" s="490">
        <v>1190021110</v>
      </c>
      <c r="B13" s="490" t="s">
        <v>3514</v>
      </c>
      <c r="C13" s="490"/>
      <c r="D13" s="491">
        <f t="shared" si="1"/>
        <v>0</v>
      </c>
      <c r="E13" s="491">
        <v>-8409.84</v>
      </c>
      <c r="F13" s="491">
        <v>8409.84</v>
      </c>
      <c r="G13" s="490"/>
      <c r="H13" s="490"/>
      <c r="I13" s="490"/>
      <c r="J13" s="490"/>
      <c r="K13" s="278">
        <f t="shared" si="0"/>
        <v>-8409.84</v>
      </c>
    </row>
    <row r="14" spans="1:12" x14ac:dyDescent="0.3">
      <c r="A14" s="490">
        <v>1191000910</v>
      </c>
      <c r="B14" s="490" t="s">
        <v>6</v>
      </c>
      <c r="C14" s="491">
        <v>28879000</v>
      </c>
      <c r="D14" s="491">
        <f t="shared" si="1"/>
        <v>12032916.666666668</v>
      </c>
      <c r="E14" s="491">
        <v>13927929.300000001</v>
      </c>
      <c r="F14" s="491">
        <v>14951070.699999999</v>
      </c>
      <c r="G14" s="490"/>
      <c r="H14" s="490">
        <v>48.23</v>
      </c>
      <c r="I14" s="491">
        <v>29979119</v>
      </c>
      <c r="J14" s="490">
        <v>-1249000</v>
      </c>
      <c r="K14" s="278">
        <f t="shared" si="0"/>
        <v>12678929.300000001</v>
      </c>
    </row>
    <row r="15" spans="1:12" x14ac:dyDescent="0.3">
      <c r="A15" s="490">
        <v>1191000913</v>
      </c>
      <c r="B15" s="490" t="s">
        <v>45</v>
      </c>
      <c r="C15" s="491">
        <v>1520703</v>
      </c>
      <c r="D15" s="491">
        <f t="shared" si="1"/>
        <v>633626.25</v>
      </c>
      <c r="E15" s="491">
        <v>719940.31</v>
      </c>
      <c r="F15" s="491">
        <v>800762.69</v>
      </c>
      <c r="G15" s="490"/>
      <c r="H15" s="490">
        <v>47.34</v>
      </c>
      <c r="I15" s="491">
        <v>2397140</v>
      </c>
      <c r="J15" s="490"/>
      <c r="K15" s="278">
        <f t="shared" si="0"/>
        <v>719940.31</v>
      </c>
    </row>
    <row r="16" spans="1:12" x14ac:dyDescent="0.3">
      <c r="A16" s="490">
        <v>1191000915</v>
      </c>
      <c r="B16" s="490" t="s">
        <v>3515</v>
      </c>
      <c r="C16" s="490"/>
      <c r="D16" s="491">
        <f t="shared" si="1"/>
        <v>0</v>
      </c>
      <c r="E16" s="491">
        <v>2857000</v>
      </c>
      <c r="F16" s="490"/>
      <c r="G16" s="491">
        <v>2857000</v>
      </c>
      <c r="H16" s="490"/>
      <c r="I16" s="490"/>
      <c r="J16" s="490">
        <f>-2857000/12*7</f>
        <v>-1666583.3333333335</v>
      </c>
      <c r="K16" s="278">
        <f t="shared" si="0"/>
        <v>1190416.6666666665</v>
      </c>
    </row>
    <row r="17" spans="1:11" x14ac:dyDescent="0.3">
      <c r="A17" s="490">
        <v>1191000916</v>
      </c>
      <c r="B17" s="490" t="s">
        <v>3516</v>
      </c>
      <c r="C17" s="490"/>
      <c r="D17" s="491">
        <f t="shared" si="1"/>
        <v>0</v>
      </c>
      <c r="E17" s="491">
        <v>1211616</v>
      </c>
      <c r="F17" s="490"/>
      <c r="G17" s="491">
        <v>1211616</v>
      </c>
      <c r="H17" s="490"/>
      <c r="I17" s="490"/>
      <c r="J17">
        <f>-1211616/12*7</f>
        <v>-706776</v>
      </c>
      <c r="K17" s="278">
        <f t="shared" si="0"/>
        <v>504840</v>
      </c>
    </row>
    <row r="18" spans="1:11" x14ac:dyDescent="0.3">
      <c r="A18" s="490">
        <v>1192000911</v>
      </c>
      <c r="B18" s="490" t="s">
        <v>46</v>
      </c>
      <c r="C18" s="491">
        <v>173311</v>
      </c>
      <c r="D18" s="491">
        <f t="shared" si="1"/>
        <v>72212.916666666672</v>
      </c>
      <c r="E18" s="490"/>
      <c r="F18" s="491">
        <v>173311</v>
      </c>
      <c r="G18" s="490"/>
      <c r="H18" s="490"/>
      <c r="I18" s="490"/>
      <c r="K18" s="278">
        <f t="shared" si="0"/>
        <v>0</v>
      </c>
    </row>
    <row r="19" spans="1:11" x14ac:dyDescent="0.3">
      <c r="A19" s="490">
        <v>1192000915</v>
      </c>
      <c r="B19" s="490" t="s">
        <v>48</v>
      </c>
      <c r="C19" s="491">
        <v>26000</v>
      </c>
      <c r="D19" s="491">
        <f t="shared" si="1"/>
        <v>10833.333333333332</v>
      </c>
      <c r="E19" s="490"/>
      <c r="F19" s="491">
        <v>26000</v>
      </c>
      <c r="G19" s="490"/>
      <c r="H19" s="490"/>
      <c r="I19" s="491">
        <v>35589</v>
      </c>
      <c r="K19" s="278">
        <f t="shared" si="0"/>
        <v>0</v>
      </c>
    </row>
    <row r="20" spans="1:11" x14ac:dyDescent="0.3">
      <c r="A20" s="490">
        <v>1194000911</v>
      </c>
      <c r="B20" s="490" t="s">
        <v>50</v>
      </c>
      <c r="C20" s="491">
        <v>20000</v>
      </c>
      <c r="D20" s="491">
        <f t="shared" si="1"/>
        <v>8333.3333333333339</v>
      </c>
      <c r="E20" s="490"/>
      <c r="F20" s="491">
        <v>20000</v>
      </c>
      <c r="G20" s="490"/>
      <c r="H20" s="490"/>
      <c r="I20" s="491">
        <v>15877</v>
      </c>
      <c r="K20" s="278">
        <f t="shared" si="0"/>
        <v>0</v>
      </c>
    </row>
    <row r="21" spans="1:11" x14ac:dyDescent="0.3">
      <c r="A21" s="490">
        <v>1212300610</v>
      </c>
      <c r="B21" s="490" t="s">
        <v>52</v>
      </c>
      <c r="C21" s="491">
        <v>200000</v>
      </c>
      <c r="D21" s="491">
        <f t="shared" si="1"/>
        <v>83333.333333333343</v>
      </c>
      <c r="E21" s="491">
        <v>166341.81</v>
      </c>
      <c r="F21" s="491">
        <v>33658.19</v>
      </c>
      <c r="G21" s="490"/>
      <c r="H21" s="490">
        <v>83.17</v>
      </c>
      <c r="I21" s="491">
        <v>226876.73</v>
      </c>
      <c r="K21" s="278">
        <f t="shared" si="0"/>
        <v>166341.81</v>
      </c>
    </row>
    <row r="22" spans="1:11" x14ac:dyDescent="0.3">
      <c r="A22" s="490">
        <v>1214200220</v>
      </c>
      <c r="B22" s="490" t="s">
        <v>53</v>
      </c>
      <c r="C22" s="491">
        <v>1000</v>
      </c>
      <c r="D22" s="491">
        <f t="shared" si="1"/>
        <v>416.66666666666663</v>
      </c>
      <c r="E22" s="490"/>
      <c r="F22" s="491">
        <v>1000</v>
      </c>
      <c r="G22" s="490"/>
      <c r="H22" s="490"/>
      <c r="I22" s="490">
        <v>31.53</v>
      </c>
      <c r="K22" s="278">
        <f t="shared" si="0"/>
        <v>0</v>
      </c>
    </row>
    <row r="23" spans="1:11" x14ac:dyDescent="0.3">
      <c r="A23" s="490">
        <v>1214210220</v>
      </c>
      <c r="B23" s="490" t="s">
        <v>54</v>
      </c>
      <c r="C23" s="491">
        <v>40000</v>
      </c>
      <c r="D23" s="491">
        <f t="shared" si="1"/>
        <v>16666.666666666668</v>
      </c>
      <c r="E23" s="490"/>
      <c r="F23" s="491">
        <v>40000</v>
      </c>
      <c r="G23" s="490"/>
      <c r="H23" s="490"/>
      <c r="I23" s="491">
        <v>167390</v>
      </c>
      <c r="J23">
        <v>20000</v>
      </c>
      <c r="K23" s="278">
        <f t="shared" si="0"/>
        <v>20000</v>
      </c>
    </row>
    <row r="24" spans="1:11" x14ac:dyDescent="0.3">
      <c r="A24" s="490">
        <v>1215000980</v>
      </c>
      <c r="B24" s="490" t="s">
        <v>56</v>
      </c>
      <c r="C24" s="490"/>
      <c r="D24" s="491">
        <f t="shared" si="1"/>
        <v>0</v>
      </c>
      <c r="E24" s="491">
        <v>126368</v>
      </c>
      <c r="F24" s="490"/>
      <c r="G24" s="491">
        <v>126368</v>
      </c>
      <c r="H24" s="490"/>
      <c r="I24" s="491">
        <v>50468</v>
      </c>
      <c r="K24" s="278">
        <f t="shared" si="0"/>
        <v>126368</v>
      </c>
    </row>
    <row r="25" spans="1:11" x14ac:dyDescent="0.3">
      <c r="A25" s="490">
        <v>1215100980</v>
      </c>
      <c r="B25" s="490" t="s">
        <v>57</v>
      </c>
      <c r="C25" s="491">
        <v>142486</v>
      </c>
      <c r="D25" s="491">
        <f t="shared" si="1"/>
        <v>59369.166666666672</v>
      </c>
      <c r="E25" s="491">
        <v>44107</v>
      </c>
      <c r="F25" s="491">
        <v>98379</v>
      </c>
      <c r="G25" s="490"/>
      <c r="H25" s="490">
        <v>30.96</v>
      </c>
      <c r="I25" s="491">
        <v>112379</v>
      </c>
      <c r="K25" s="278">
        <f t="shared" si="0"/>
        <v>44107</v>
      </c>
    </row>
    <row r="26" spans="1:11" x14ac:dyDescent="0.3">
      <c r="A26" s="490">
        <v>1215200980</v>
      </c>
      <c r="B26" s="490" t="s">
        <v>58</v>
      </c>
      <c r="C26" s="490"/>
      <c r="D26" s="491">
        <f t="shared" si="1"/>
        <v>0</v>
      </c>
      <c r="E26" s="491">
        <v>7400</v>
      </c>
      <c r="F26" s="490"/>
      <c r="G26" s="491">
        <v>7400</v>
      </c>
      <c r="H26" s="490"/>
      <c r="I26" s="491">
        <v>27300</v>
      </c>
      <c r="K26" s="278">
        <f t="shared" si="0"/>
        <v>7400</v>
      </c>
    </row>
    <row r="27" spans="1:11" x14ac:dyDescent="0.3">
      <c r="A27" s="490">
        <v>1227000970</v>
      </c>
      <c r="B27" s="490" t="s">
        <v>60</v>
      </c>
      <c r="C27" s="491">
        <v>92401</v>
      </c>
      <c r="D27" s="491">
        <f t="shared" si="1"/>
        <v>38500.416666666664</v>
      </c>
      <c r="E27" s="491">
        <v>46109.69</v>
      </c>
      <c r="F27" s="491">
        <v>46291.31</v>
      </c>
      <c r="G27" s="490"/>
      <c r="H27" s="490">
        <v>49.9</v>
      </c>
      <c r="I27" s="491">
        <v>2444.1999999999998</v>
      </c>
      <c r="K27" s="278">
        <f t="shared" si="0"/>
        <v>46109.69</v>
      </c>
    </row>
    <row r="28" spans="1:11" x14ac:dyDescent="0.3">
      <c r="A28" s="490">
        <v>1228000970</v>
      </c>
      <c r="B28" s="490" t="s">
        <v>3517</v>
      </c>
      <c r="C28" s="490"/>
      <c r="D28" s="491">
        <f t="shared" si="1"/>
        <v>0</v>
      </c>
      <c r="E28" s="491">
        <v>55101</v>
      </c>
      <c r="F28" s="490"/>
      <c r="G28" s="491">
        <v>55101</v>
      </c>
      <c r="H28" s="490"/>
      <c r="I28" s="490"/>
      <c r="K28" s="278">
        <f t="shared" si="0"/>
        <v>55101</v>
      </c>
    </row>
    <row r="29" spans="1:11" x14ac:dyDescent="0.3">
      <c r="A29" s="490">
        <v>1231000220</v>
      </c>
      <c r="B29" s="490" t="s">
        <v>61</v>
      </c>
      <c r="C29" s="491">
        <v>20000</v>
      </c>
      <c r="D29" s="491">
        <f t="shared" si="1"/>
        <v>8333.3333333333339</v>
      </c>
      <c r="E29" s="490"/>
      <c r="F29" s="491">
        <v>20000</v>
      </c>
      <c r="G29" s="490"/>
      <c r="H29" s="490"/>
      <c r="I29" s="491">
        <v>49300</v>
      </c>
      <c r="K29" s="278">
        <f t="shared" si="0"/>
        <v>0</v>
      </c>
    </row>
    <row r="30" spans="1:11" x14ac:dyDescent="0.3">
      <c r="A30" s="490">
        <v>1231000221</v>
      </c>
      <c r="B30" s="490" t="s">
        <v>62</v>
      </c>
      <c r="C30" s="491">
        <v>15000</v>
      </c>
      <c r="D30" s="491">
        <f t="shared" si="1"/>
        <v>6250</v>
      </c>
      <c r="E30" s="490"/>
      <c r="F30" s="491">
        <v>15000</v>
      </c>
      <c r="G30" s="490"/>
      <c r="H30" s="490"/>
      <c r="I30" s="491">
        <v>25294</v>
      </c>
      <c r="K30" s="278">
        <f t="shared" si="0"/>
        <v>0</v>
      </c>
    </row>
    <row r="31" spans="1:11" x14ac:dyDescent="0.3">
      <c r="A31" s="490">
        <v>1231000590</v>
      </c>
      <c r="B31" s="490" t="s">
        <v>3518</v>
      </c>
      <c r="C31" s="490"/>
      <c r="D31" s="491">
        <f t="shared" si="1"/>
        <v>0</v>
      </c>
      <c r="E31" s="491">
        <v>12639</v>
      </c>
      <c r="F31" s="490"/>
      <c r="G31" s="491">
        <v>12639</v>
      </c>
      <c r="H31" s="490"/>
      <c r="I31" s="490"/>
      <c r="K31" s="278">
        <f t="shared" si="0"/>
        <v>12639</v>
      </c>
    </row>
    <row r="32" spans="1:11" x14ac:dyDescent="0.3">
      <c r="A32" s="490">
        <v>1231000591</v>
      </c>
      <c r="B32" s="490" t="s">
        <v>63</v>
      </c>
      <c r="C32" s="491">
        <v>650000</v>
      </c>
      <c r="D32" s="491">
        <f t="shared" si="1"/>
        <v>270833.33333333331</v>
      </c>
      <c r="E32" s="490"/>
      <c r="F32" s="491">
        <v>650000</v>
      </c>
      <c r="G32" s="490"/>
      <c r="H32" s="490"/>
      <c r="I32" s="491">
        <v>793308.29</v>
      </c>
      <c r="J32">
        <v>300000</v>
      </c>
      <c r="K32" s="278">
        <f t="shared" si="0"/>
        <v>300000</v>
      </c>
    </row>
    <row r="33" spans="1:11" x14ac:dyDescent="0.3">
      <c r="A33" s="490">
        <v>1232000590</v>
      </c>
      <c r="B33" s="490" t="s">
        <v>64</v>
      </c>
      <c r="C33" s="491">
        <v>476100</v>
      </c>
      <c r="D33" s="491">
        <f t="shared" si="1"/>
        <v>198375</v>
      </c>
      <c r="E33" s="490"/>
      <c r="F33" s="491">
        <v>476100</v>
      </c>
      <c r="G33" s="490"/>
      <c r="H33" s="490"/>
      <c r="I33" s="491">
        <v>341033</v>
      </c>
      <c r="K33" s="278">
        <f t="shared" si="0"/>
        <v>0</v>
      </c>
    </row>
    <row r="34" spans="1:11" x14ac:dyDescent="0.3">
      <c r="A34" s="490">
        <v>1233100220</v>
      </c>
      <c r="B34" s="490" t="s">
        <v>65</v>
      </c>
      <c r="C34" s="491">
        <v>1100000</v>
      </c>
      <c r="D34" s="491">
        <f t="shared" si="1"/>
        <v>458333.33333333337</v>
      </c>
      <c r="E34" s="491">
        <v>423474.85</v>
      </c>
      <c r="F34" s="491">
        <v>676525.15</v>
      </c>
      <c r="G34" s="490"/>
      <c r="H34" s="490">
        <v>38.5</v>
      </c>
      <c r="I34" s="491">
        <v>1282486.3799999999</v>
      </c>
      <c r="K34" s="278">
        <f t="shared" si="0"/>
        <v>423474.85</v>
      </c>
    </row>
    <row r="35" spans="1:11" x14ac:dyDescent="0.3">
      <c r="A35" s="490">
        <v>1244000980</v>
      </c>
      <c r="B35" s="490" t="s">
        <v>66</v>
      </c>
      <c r="C35" s="491">
        <v>44000</v>
      </c>
      <c r="D35" s="491">
        <f t="shared" si="1"/>
        <v>18333.333333333332</v>
      </c>
      <c r="E35" s="491">
        <v>10069</v>
      </c>
      <c r="F35" s="491">
        <v>33931</v>
      </c>
      <c r="G35" s="490"/>
      <c r="H35" s="490">
        <v>22.88</v>
      </c>
      <c r="I35" s="491">
        <v>32931</v>
      </c>
      <c r="K35" s="278">
        <f t="shared" si="0"/>
        <v>10069</v>
      </c>
    </row>
    <row r="36" spans="1:11" x14ac:dyDescent="0.3">
      <c r="A36" s="490">
        <v>1265000690</v>
      </c>
      <c r="B36" s="490" t="s">
        <v>67</v>
      </c>
      <c r="C36" s="491">
        <v>1000000</v>
      </c>
      <c r="D36" s="491">
        <f t="shared" si="1"/>
        <v>416666.66666666663</v>
      </c>
      <c r="E36" s="491">
        <v>235108.05</v>
      </c>
      <c r="F36" s="491">
        <v>764891.95</v>
      </c>
      <c r="G36" s="490"/>
      <c r="H36" s="490">
        <v>23.51</v>
      </c>
      <c r="I36" s="491">
        <v>708948.99</v>
      </c>
      <c r="K36" s="278">
        <f t="shared" si="0"/>
        <v>235108.05</v>
      </c>
    </row>
    <row r="37" spans="1:11" x14ac:dyDescent="0.3">
      <c r="A37" s="490">
        <v>1267000690</v>
      </c>
      <c r="B37" s="490" t="s">
        <v>720</v>
      </c>
      <c r="C37" s="490"/>
      <c r="D37" s="491">
        <f t="shared" si="1"/>
        <v>0</v>
      </c>
      <c r="E37" s="490"/>
      <c r="F37" s="490"/>
      <c r="G37" s="490"/>
      <c r="H37" s="490"/>
      <c r="I37" s="491">
        <v>429679</v>
      </c>
      <c r="K37" s="278">
        <f t="shared" si="0"/>
        <v>0</v>
      </c>
    </row>
    <row r="38" spans="1:11" x14ac:dyDescent="0.3">
      <c r="A38" s="490">
        <v>1269000220</v>
      </c>
      <c r="B38" s="490" t="s">
        <v>68</v>
      </c>
      <c r="C38" s="491">
        <v>5000</v>
      </c>
      <c r="D38" s="491">
        <f t="shared" si="1"/>
        <v>2083.3333333333335</v>
      </c>
      <c r="E38" s="490"/>
      <c r="F38" s="491">
        <v>5000</v>
      </c>
      <c r="G38" s="490"/>
      <c r="H38" s="490"/>
      <c r="I38" s="490">
        <v>361</v>
      </c>
      <c r="K38" s="278">
        <f t="shared" si="0"/>
        <v>0</v>
      </c>
    </row>
    <row r="39" spans="1:11" x14ac:dyDescent="0.3">
      <c r="A39" s="490">
        <v>1269000221</v>
      </c>
      <c r="B39" s="490" t="s">
        <v>69</v>
      </c>
      <c r="C39" s="491">
        <v>40000</v>
      </c>
      <c r="D39" s="491">
        <f t="shared" si="1"/>
        <v>16666.666666666668</v>
      </c>
      <c r="E39" s="491">
        <v>74481</v>
      </c>
      <c r="F39" s="490"/>
      <c r="G39" s="491">
        <v>34481</v>
      </c>
      <c r="H39" s="490">
        <v>186.2</v>
      </c>
      <c r="I39" s="491">
        <v>65722</v>
      </c>
      <c r="K39" s="278">
        <f t="shared" si="0"/>
        <v>74481</v>
      </c>
    </row>
    <row r="40" spans="1:11" x14ac:dyDescent="0.3">
      <c r="A40" s="490">
        <v>1269000690</v>
      </c>
      <c r="B40" s="490" t="s">
        <v>70</v>
      </c>
      <c r="C40" s="491">
        <v>200000</v>
      </c>
      <c r="D40" s="491">
        <f t="shared" si="1"/>
        <v>83333.333333333343</v>
      </c>
      <c r="E40" s="491">
        <v>91749</v>
      </c>
      <c r="F40" s="491">
        <v>108251</v>
      </c>
      <c r="G40" s="490"/>
      <c r="H40" s="490">
        <v>45.87</v>
      </c>
      <c r="I40" s="491">
        <v>231708.38</v>
      </c>
      <c r="K40" s="278">
        <f t="shared" si="0"/>
        <v>91749</v>
      </c>
    </row>
    <row r="41" spans="1:11" x14ac:dyDescent="0.3">
      <c r="A41" s="490">
        <v>1269000692</v>
      </c>
      <c r="B41" s="490" t="s">
        <v>72</v>
      </c>
      <c r="C41" s="491">
        <v>10000</v>
      </c>
      <c r="D41" s="491">
        <f t="shared" si="1"/>
        <v>4166.666666666667</v>
      </c>
      <c r="E41" s="490">
        <v>45</v>
      </c>
      <c r="F41" s="491">
        <v>9955</v>
      </c>
      <c r="G41" s="490"/>
      <c r="H41" s="490">
        <v>0.45</v>
      </c>
      <c r="I41" s="491">
        <v>3366.75</v>
      </c>
      <c r="K41" s="278">
        <f t="shared" si="0"/>
        <v>45</v>
      </c>
    </row>
    <row r="42" spans="1:11" x14ac:dyDescent="0.3">
      <c r="A42" s="490">
        <v>1269000693</v>
      </c>
      <c r="B42" s="490" t="s">
        <v>73</v>
      </c>
      <c r="C42" s="490"/>
      <c r="D42" s="491">
        <f t="shared" si="1"/>
        <v>0</v>
      </c>
      <c r="E42" s="490"/>
      <c r="F42" s="490"/>
      <c r="G42" s="490"/>
      <c r="H42" s="490"/>
      <c r="I42" s="491">
        <v>867704.17</v>
      </c>
      <c r="K42" s="278">
        <f t="shared" si="0"/>
        <v>0</v>
      </c>
    </row>
    <row r="43" spans="1:11" x14ac:dyDescent="0.3">
      <c r="A43" s="490">
        <v>1269000696</v>
      </c>
      <c r="B43" s="490" t="s">
        <v>74</v>
      </c>
      <c r="C43" s="491">
        <v>148701</v>
      </c>
      <c r="D43" s="491">
        <f t="shared" si="1"/>
        <v>61958.75</v>
      </c>
      <c r="E43" s="490"/>
      <c r="F43" s="491">
        <v>148701</v>
      </c>
      <c r="G43" s="490"/>
      <c r="H43" s="490"/>
      <c r="I43" s="491">
        <v>93989.47</v>
      </c>
      <c r="K43" s="278">
        <f t="shared" si="0"/>
        <v>0</v>
      </c>
    </row>
    <row r="44" spans="1:11" x14ac:dyDescent="0.3">
      <c r="A44" s="490">
        <v>1269000697</v>
      </c>
      <c r="B44" s="490" t="s">
        <v>75</v>
      </c>
      <c r="C44" s="491">
        <v>385940</v>
      </c>
      <c r="D44" s="491">
        <f t="shared" si="1"/>
        <v>160808.33333333334</v>
      </c>
      <c r="E44" s="490"/>
      <c r="F44" s="491">
        <v>385940</v>
      </c>
      <c r="G44" s="490"/>
      <c r="H44" s="490"/>
      <c r="I44" s="491">
        <v>208936</v>
      </c>
      <c r="K44" s="278">
        <f t="shared" si="0"/>
        <v>0</v>
      </c>
    </row>
    <row r="45" spans="1:11" x14ac:dyDescent="0.3">
      <c r="A45" s="490">
        <v>1269000698</v>
      </c>
      <c r="B45" s="490" t="s">
        <v>76</v>
      </c>
      <c r="C45" s="491">
        <v>208000</v>
      </c>
      <c r="D45" s="491">
        <f t="shared" si="1"/>
        <v>86666.666666666657</v>
      </c>
      <c r="E45" s="491">
        <v>86805.55</v>
      </c>
      <c r="F45" s="491">
        <v>121194.45</v>
      </c>
      <c r="G45" s="490"/>
      <c r="H45" s="490">
        <v>41.73</v>
      </c>
      <c r="I45" s="491">
        <v>208333.32</v>
      </c>
      <c r="K45" s="278">
        <f t="shared" si="0"/>
        <v>86805.55</v>
      </c>
    </row>
    <row r="46" spans="1:11" x14ac:dyDescent="0.3">
      <c r="A46" s="490">
        <v>1269000699</v>
      </c>
      <c r="B46" s="490" t="s">
        <v>76</v>
      </c>
      <c r="C46" s="491">
        <v>73000</v>
      </c>
      <c r="D46" s="491">
        <f t="shared" si="1"/>
        <v>30416.666666666664</v>
      </c>
      <c r="E46" s="491">
        <v>17529.07</v>
      </c>
      <c r="F46" s="491">
        <v>55470.93</v>
      </c>
      <c r="G46" s="490"/>
      <c r="H46" s="490">
        <v>24.01</v>
      </c>
      <c r="I46" s="491">
        <v>43606.53</v>
      </c>
      <c r="K46" s="278">
        <f t="shared" si="0"/>
        <v>17529.07</v>
      </c>
    </row>
    <row r="47" spans="1:11" x14ac:dyDescent="0.3">
      <c r="A47" s="490">
        <v>1269000990</v>
      </c>
      <c r="B47" s="490" t="s">
        <v>77</v>
      </c>
      <c r="C47" s="491">
        <v>270781</v>
      </c>
      <c r="D47" s="491">
        <f t="shared" si="1"/>
        <v>112825.41666666666</v>
      </c>
      <c r="E47" s="490"/>
      <c r="F47" s="491">
        <v>270781</v>
      </c>
      <c r="G47" s="490"/>
      <c r="H47" s="490"/>
      <c r="I47" s="490"/>
      <c r="K47" s="278">
        <f t="shared" si="0"/>
        <v>0</v>
      </c>
    </row>
    <row r="48" spans="1:11" x14ac:dyDescent="0.3">
      <c r="A48" s="490">
        <v>1272000990</v>
      </c>
      <c r="B48" s="490" t="s">
        <v>78</v>
      </c>
      <c r="C48" s="491">
        <v>620000</v>
      </c>
      <c r="D48" s="491">
        <f t="shared" si="1"/>
        <v>258333.33333333331</v>
      </c>
      <c r="E48" s="491">
        <v>32916.300000000003</v>
      </c>
      <c r="F48" s="491">
        <v>587083.69999999995</v>
      </c>
      <c r="G48" s="490"/>
      <c r="H48" s="490">
        <v>5.31</v>
      </c>
      <c r="I48" s="491">
        <v>348165</v>
      </c>
      <c r="J48" s="492">
        <v>250000</v>
      </c>
      <c r="K48" s="278">
        <f t="shared" si="0"/>
        <v>282916.3</v>
      </c>
    </row>
    <row r="49" spans="1:11" x14ac:dyDescent="0.3">
      <c r="A49" s="490">
        <v>1272000991</v>
      </c>
      <c r="B49" s="490" t="s">
        <v>79</v>
      </c>
      <c r="C49" s="491">
        <v>455000</v>
      </c>
      <c r="D49" s="491">
        <f t="shared" si="1"/>
        <v>189583.33333333331</v>
      </c>
      <c r="E49" s="490"/>
      <c r="F49" s="491">
        <v>455000</v>
      </c>
      <c r="G49" s="490"/>
      <c r="H49" s="490"/>
      <c r="I49" s="491">
        <v>460199</v>
      </c>
      <c r="J49">
        <v>200000</v>
      </c>
      <c r="K49" s="278">
        <f t="shared" si="0"/>
        <v>200000</v>
      </c>
    </row>
    <row r="50" spans="1:11" x14ac:dyDescent="0.3">
      <c r="A50" s="490">
        <v>1272000992</v>
      </c>
      <c r="B50" s="490" t="s">
        <v>80</v>
      </c>
      <c r="C50" s="491">
        <v>175000</v>
      </c>
      <c r="D50" s="491">
        <f t="shared" si="1"/>
        <v>72916.666666666672</v>
      </c>
      <c r="E50" s="490"/>
      <c r="F50" s="491">
        <v>175000</v>
      </c>
      <c r="G50" s="490"/>
      <c r="H50" s="490"/>
      <c r="I50" s="490"/>
      <c r="K50" s="278">
        <f t="shared" si="0"/>
        <v>0</v>
      </c>
    </row>
    <row r="51" spans="1:11" x14ac:dyDescent="0.3">
      <c r="A51" s="490">
        <v>1281000690</v>
      </c>
      <c r="B51" s="490" t="s">
        <v>721</v>
      </c>
      <c r="C51" s="491">
        <v>5000000</v>
      </c>
      <c r="D51" s="491">
        <f t="shared" si="1"/>
        <v>2083333.3333333335</v>
      </c>
      <c r="E51" s="491">
        <v>1174499.26</v>
      </c>
      <c r="F51" s="491">
        <v>3825500.74</v>
      </c>
      <c r="G51" s="490"/>
      <c r="H51" s="490">
        <v>23.49</v>
      </c>
      <c r="I51" s="491">
        <v>5709162.9100000001</v>
      </c>
      <c r="J51" s="278">
        <f>1362000-E51</f>
        <v>187500.74</v>
      </c>
      <c r="K51" s="278">
        <f t="shared" si="0"/>
        <v>1362000</v>
      </c>
    </row>
    <row r="52" spans="1:11" x14ac:dyDescent="0.3">
      <c r="A52" s="490">
        <v>1282000690</v>
      </c>
      <c r="B52" s="490" t="s">
        <v>82</v>
      </c>
      <c r="C52" s="491">
        <v>50000</v>
      </c>
      <c r="D52" s="491">
        <f t="shared" si="1"/>
        <v>20833.333333333336</v>
      </c>
      <c r="E52" s="491">
        <v>1733.36</v>
      </c>
      <c r="F52" s="491">
        <v>48266.64</v>
      </c>
      <c r="G52" s="490"/>
      <c r="H52" s="490">
        <v>3.47</v>
      </c>
      <c r="I52" s="491">
        <v>110866.38</v>
      </c>
      <c r="K52" s="278">
        <f t="shared" si="0"/>
        <v>1733.36</v>
      </c>
    </row>
    <row r="53" spans="1:11" x14ac:dyDescent="0.3">
      <c r="A53" s="490">
        <v>1311000225</v>
      </c>
      <c r="B53" s="490" t="s">
        <v>83</v>
      </c>
      <c r="C53" s="491">
        <v>115533</v>
      </c>
      <c r="D53" s="491">
        <f t="shared" si="1"/>
        <v>48138.75</v>
      </c>
      <c r="E53" s="491">
        <v>59441</v>
      </c>
      <c r="F53" s="491">
        <v>56092</v>
      </c>
      <c r="G53" s="490"/>
      <c r="H53" s="490">
        <v>51.45</v>
      </c>
      <c r="I53" s="491">
        <v>66394</v>
      </c>
      <c r="K53" s="278">
        <f t="shared" si="0"/>
        <v>59441</v>
      </c>
    </row>
    <row r="54" spans="1:11" x14ac:dyDescent="0.3">
      <c r="A54" s="490">
        <v>1311000410</v>
      </c>
      <c r="B54" s="490" t="s">
        <v>84</v>
      </c>
      <c r="C54" s="491">
        <v>900000</v>
      </c>
      <c r="D54" s="491">
        <f t="shared" si="1"/>
        <v>375000</v>
      </c>
      <c r="E54" s="490"/>
      <c r="F54" s="491">
        <v>900000</v>
      </c>
      <c r="G54" s="490"/>
      <c r="H54" s="490"/>
      <c r="I54" s="491">
        <v>1117328.5900000001</v>
      </c>
      <c r="J54">
        <v>420000</v>
      </c>
      <c r="K54" s="278">
        <f t="shared" si="0"/>
        <v>420000</v>
      </c>
    </row>
    <row r="55" spans="1:11" x14ac:dyDescent="0.3">
      <c r="A55" s="490">
        <v>1311000920</v>
      </c>
      <c r="B55" s="490" t="s">
        <v>85</v>
      </c>
      <c r="C55" s="491">
        <v>60000</v>
      </c>
      <c r="D55" s="491">
        <f t="shared" si="1"/>
        <v>25000</v>
      </c>
      <c r="E55" s="491">
        <v>-3377.2</v>
      </c>
      <c r="F55" s="491">
        <v>63377.2</v>
      </c>
      <c r="G55" s="490"/>
      <c r="H55" s="490">
        <v>-5.63</v>
      </c>
      <c r="I55" s="491">
        <v>27437.25</v>
      </c>
      <c r="K55" s="278">
        <f t="shared" si="0"/>
        <v>-3377.2</v>
      </c>
    </row>
    <row r="56" spans="1:11" x14ac:dyDescent="0.3">
      <c r="A56" s="490">
        <v>1311000922</v>
      </c>
      <c r="B56" s="490" t="s">
        <v>87</v>
      </c>
      <c r="C56" s="491">
        <v>85000</v>
      </c>
      <c r="D56" s="491">
        <f t="shared" si="1"/>
        <v>35416.666666666664</v>
      </c>
      <c r="E56" s="490"/>
      <c r="F56" s="491">
        <v>85000</v>
      </c>
      <c r="G56" s="490"/>
      <c r="H56" s="490"/>
      <c r="I56" s="491">
        <v>80458.33</v>
      </c>
      <c r="K56" s="278">
        <f t="shared" si="0"/>
        <v>0</v>
      </c>
    </row>
    <row r="57" spans="1:11" x14ac:dyDescent="0.3">
      <c r="A57" s="490">
        <v>1311000925</v>
      </c>
      <c r="B57" s="490" t="s">
        <v>414</v>
      </c>
      <c r="C57" s="491">
        <v>400000</v>
      </c>
      <c r="D57" s="491">
        <f t="shared" si="1"/>
        <v>166666.66666666669</v>
      </c>
      <c r="E57" s="491">
        <v>42375.66</v>
      </c>
      <c r="F57" s="491">
        <v>357624.34</v>
      </c>
      <c r="G57" s="490"/>
      <c r="H57" s="490">
        <v>10.59</v>
      </c>
      <c r="I57" s="491">
        <v>411923.03</v>
      </c>
      <c r="K57" s="278">
        <f t="shared" si="0"/>
        <v>42375.66</v>
      </c>
    </row>
    <row r="58" spans="1:11" x14ac:dyDescent="0.3">
      <c r="A58" s="490">
        <v>1311000926</v>
      </c>
      <c r="B58" s="490" t="s">
        <v>89</v>
      </c>
      <c r="C58" s="491">
        <v>685000</v>
      </c>
      <c r="D58" s="491">
        <f t="shared" si="1"/>
        <v>285416.66666666669</v>
      </c>
      <c r="E58" s="491">
        <v>34455</v>
      </c>
      <c r="F58" s="491">
        <v>650545</v>
      </c>
      <c r="G58" s="490"/>
      <c r="H58" s="490">
        <v>5.03</v>
      </c>
      <c r="I58" s="491">
        <v>516665.33</v>
      </c>
      <c r="K58" s="278">
        <f t="shared" si="0"/>
        <v>34455</v>
      </c>
    </row>
    <row r="59" spans="1:11" x14ac:dyDescent="0.3">
      <c r="A59" s="490">
        <v>1311000990</v>
      </c>
      <c r="B59" s="490" t="s">
        <v>90</v>
      </c>
      <c r="C59" s="491">
        <v>2272400</v>
      </c>
      <c r="D59" s="491">
        <f t="shared" si="1"/>
        <v>946833.33333333326</v>
      </c>
      <c r="E59" s="491">
        <v>859892.08</v>
      </c>
      <c r="F59" s="491">
        <v>1412507.92</v>
      </c>
      <c r="G59" s="490"/>
      <c r="H59" s="490">
        <v>37.840000000000003</v>
      </c>
      <c r="I59" s="491">
        <v>1995642.49</v>
      </c>
      <c r="K59" s="278">
        <f t="shared" si="0"/>
        <v>859892.08</v>
      </c>
    </row>
    <row r="60" spans="1:11" x14ac:dyDescent="0.3">
      <c r="A60" s="490">
        <v>1312133921</v>
      </c>
      <c r="B60" s="490" t="s">
        <v>722</v>
      </c>
      <c r="C60" s="490"/>
      <c r="D60" s="491">
        <f t="shared" si="1"/>
        <v>0</v>
      </c>
      <c r="E60" s="490"/>
      <c r="F60" s="490"/>
      <c r="G60" s="490"/>
      <c r="H60" s="490"/>
      <c r="I60" s="491">
        <v>10000</v>
      </c>
      <c r="K60" s="278">
        <f t="shared" si="0"/>
        <v>0</v>
      </c>
    </row>
    <row r="61" spans="1:11" x14ac:dyDescent="0.3">
      <c r="A61" s="490">
        <v>1312200440</v>
      </c>
      <c r="B61" s="490" t="s">
        <v>91</v>
      </c>
      <c r="C61" s="491">
        <v>1938480</v>
      </c>
      <c r="D61" s="491">
        <f t="shared" si="1"/>
        <v>807700</v>
      </c>
      <c r="E61" s="491">
        <v>609834.69999999995</v>
      </c>
      <c r="F61" s="491">
        <v>1328645.3</v>
      </c>
      <c r="G61" s="490"/>
      <c r="H61" s="490">
        <v>31.46</v>
      </c>
      <c r="I61" s="491">
        <v>2393952.25</v>
      </c>
      <c r="J61" s="492">
        <v>80000</v>
      </c>
      <c r="K61" s="278">
        <f t="shared" si="0"/>
        <v>689834.7</v>
      </c>
    </row>
    <row r="62" spans="1:11" x14ac:dyDescent="0.3">
      <c r="A62" s="490">
        <v>1312200441</v>
      </c>
      <c r="B62" s="490" t="s">
        <v>92</v>
      </c>
      <c r="C62" s="491">
        <v>349524</v>
      </c>
      <c r="D62" s="491">
        <f t="shared" si="1"/>
        <v>145635</v>
      </c>
      <c r="E62" s="491">
        <v>129944.58</v>
      </c>
      <c r="F62" s="491">
        <v>219579.42</v>
      </c>
      <c r="G62" s="490"/>
      <c r="H62" s="490">
        <v>37.18</v>
      </c>
      <c r="I62" s="491">
        <v>224817.45</v>
      </c>
      <c r="K62" s="278">
        <f t="shared" si="0"/>
        <v>129944.58</v>
      </c>
    </row>
    <row r="63" spans="1:11" x14ac:dyDescent="0.3">
      <c r="A63" s="490">
        <v>1312200442</v>
      </c>
      <c r="B63" s="490" t="s">
        <v>93</v>
      </c>
      <c r="C63" s="491">
        <v>860200</v>
      </c>
      <c r="D63" s="491">
        <f t="shared" si="1"/>
        <v>358416.66666666663</v>
      </c>
      <c r="E63" s="491">
        <v>373321.9</v>
      </c>
      <c r="F63" s="491">
        <v>486878.1</v>
      </c>
      <c r="G63" s="490"/>
      <c r="H63" s="490">
        <v>43.4</v>
      </c>
      <c r="I63" s="491">
        <v>622922.89</v>
      </c>
      <c r="K63" s="278">
        <f t="shared" si="0"/>
        <v>373321.9</v>
      </c>
    </row>
    <row r="64" spans="1:11" x14ac:dyDescent="0.3">
      <c r="A64" s="490">
        <v>1312200920</v>
      </c>
      <c r="B64" s="490" t="s">
        <v>94</v>
      </c>
      <c r="C64" s="491">
        <v>10410863</v>
      </c>
      <c r="D64" s="491">
        <f t="shared" si="1"/>
        <v>4337859.583333333</v>
      </c>
      <c r="E64" s="491">
        <v>3461396.27</v>
      </c>
      <c r="F64" s="491">
        <v>6949466.7300000004</v>
      </c>
      <c r="G64" s="490"/>
      <c r="H64" s="490">
        <v>33.25</v>
      </c>
      <c r="I64" s="491">
        <v>10537635.73</v>
      </c>
      <c r="J64" s="492">
        <v>1200000</v>
      </c>
      <c r="K64" s="278">
        <f>E64+J64</f>
        <v>4661396.2699999996</v>
      </c>
    </row>
    <row r="65" spans="1:11" x14ac:dyDescent="0.3">
      <c r="A65" s="490">
        <v>1312200926</v>
      </c>
      <c r="B65" s="490" t="s">
        <v>3519</v>
      </c>
      <c r="C65" s="490"/>
      <c r="D65" s="491">
        <f t="shared" si="1"/>
        <v>0</v>
      </c>
      <c r="E65" s="490"/>
      <c r="F65" s="490"/>
      <c r="G65" s="490"/>
      <c r="H65" s="490"/>
      <c r="I65" s="491">
        <v>421200.99</v>
      </c>
      <c r="K65" s="278">
        <f t="shared" si="0"/>
        <v>0</v>
      </c>
    </row>
    <row r="66" spans="1:11" x14ac:dyDescent="0.3">
      <c r="A66" s="490">
        <v>1312200990</v>
      </c>
      <c r="B66" s="490" t="s">
        <v>96</v>
      </c>
      <c r="C66" s="491">
        <v>90000</v>
      </c>
      <c r="D66" s="491">
        <f t="shared" si="1"/>
        <v>37500</v>
      </c>
      <c r="E66" s="490"/>
      <c r="F66" s="491">
        <v>90000</v>
      </c>
      <c r="G66" s="490"/>
      <c r="H66" s="490"/>
      <c r="I66" s="491">
        <v>58700</v>
      </c>
      <c r="K66" s="278">
        <f t="shared" si="0"/>
        <v>0</v>
      </c>
    </row>
    <row r="67" spans="1:11" x14ac:dyDescent="0.3">
      <c r="A67" s="490">
        <v>1312201920</v>
      </c>
      <c r="B67" s="490" t="s">
        <v>723</v>
      </c>
      <c r="C67" s="490"/>
      <c r="D67" s="491">
        <f t="shared" si="1"/>
        <v>0</v>
      </c>
      <c r="E67" s="490"/>
      <c r="F67" s="490"/>
      <c r="G67" s="490"/>
      <c r="H67" s="490"/>
      <c r="I67" s="491">
        <v>-1875</v>
      </c>
      <c r="K67" s="278">
        <f t="shared" ref="K67:K130" si="2">E67+J67</f>
        <v>0</v>
      </c>
    </row>
    <row r="68" spans="1:11" x14ac:dyDescent="0.3">
      <c r="A68" s="490">
        <v>1312211920</v>
      </c>
      <c r="B68" s="490" t="s">
        <v>724</v>
      </c>
      <c r="C68" s="490"/>
      <c r="D68" s="491">
        <f t="shared" si="1"/>
        <v>0</v>
      </c>
      <c r="E68" s="490"/>
      <c r="F68" s="490"/>
      <c r="G68" s="490"/>
      <c r="H68" s="490"/>
      <c r="I68" s="490">
        <v>375</v>
      </c>
      <c r="K68" s="278">
        <f t="shared" si="2"/>
        <v>0</v>
      </c>
    </row>
    <row r="69" spans="1:11" x14ac:dyDescent="0.3">
      <c r="A69" s="490">
        <v>1312212920</v>
      </c>
      <c r="B69" s="490" t="s">
        <v>725</v>
      </c>
      <c r="C69" s="490"/>
      <c r="D69" s="491">
        <f t="shared" si="1"/>
        <v>0</v>
      </c>
      <c r="E69" s="490"/>
      <c r="F69" s="490"/>
      <c r="G69" s="490"/>
      <c r="H69" s="490"/>
      <c r="I69" s="490">
        <v>375</v>
      </c>
      <c r="K69" s="278">
        <f t="shared" si="2"/>
        <v>0</v>
      </c>
    </row>
    <row r="70" spans="1:11" x14ac:dyDescent="0.3">
      <c r="A70" s="490">
        <v>1312213920</v>
      </c>
      <c r="B70" s="490" t="s">
        <v>726</v>
      </c>
      <c r="C70" s="490"/>
      <c r="D70" s="491">
        <f t="shared" ref="D70:D133" si="3">C70/12*5</f>
        <v>0</v>
      </c>
      <c r="E70" s="490"/>
      <c r="F70" s="490"/>
      <c r="G70" s="490"/>
      <c r="H70" s="490"/>
      <c r="I70" s="490">
        <v>375</v>
      </c>
      <c r="K70" s="278">
        <f t="shared" si="2"/>
        <v>0</v>
      </c>
    </row>
    <row r="71" spans="1:11" x14ac:dyDescent="0.3">
      <c r="A71" s="490">
        <v>1312214920</v>
      </c>
      <c r="B71" s="490" t="s">
        <v>727</v>
      </c>
      <c r="C71" s="490"/>
      <c r="D71" s="491">
        <f t="shared" si="3"/>
        <v>0</v>
      </c>
      <c r="E71" s="490"/>
      <c r="F71" s="490"/>
      <c r="G71" s="490"/>
      <c r="H71" s="490"/>
      <c r="I71" s="490">
        <v>375</v>
      </c>
      <c r="K71" s="278">
        <f t="shared" si="2"/>
        <v>0</v>
      </c>
    </row>
    <row r="72" spans="1:11" x14ac:dyDescent="0.3">
      <c r="A72" s="490">
        <v>1312215920</v>
      </c>
      <c r="B72" s="490" t="s">
        <v>728</v>
      </c>
      <c r="C72" s="490"/>
      <c r="D72" s="491">
        <f t="shared" si="3"/>
        <v>0</v>
      </c>
      <c r="E72" s="490"/>
      <c r="F72" s="490"/>
      <c r="G72" s="490"/>
      <c r="H72" s="490"/>
      <c r="I72" s="490">
        <v>375</v>
      </c>
      <c r="K72" s="278">
        <f t="shared" si="2"/>
        <v>0</v>
      </c>
    </row>
    <row r="73" spans="1:11" x14ac:dyDescent="0.3">
      <c r="A73" s="490">
        <v>1312216920</v>
      </c>
      <c r="B73" s="490" t="s">
        <v>3520</v>
      </c>
      <c r="C73" s="490"/>
      <c r="D73" s="491">
        <f t="shared" si="3"/>
        <v>0</v>
      </c>
      <c r="E73" s="491">
        <v>19612.740000000002</v>
      </c>
      <c r="F73" s="490"/>
      <c r="G73" s="491">
        <v>19612.740000000002</v>
      </c>
      <c r="H73" s="490"/>
      <c r="I73" s="490"/>
      <c r="K73" s="278">
        <f t="shared" si="2"/>
        <v>19612.740000000002</v>
      </c>
    </row>
    <row r="74" spans="1:11" x14ac:dyDescent="0.3">
      <c r="A74" s="490">
        <v>1312217920</v>
      </c>
      <c r="B74" s="490" t="s">
        <v>3521</v>
      </c>
      <c r="C74" s="490"/>
      <c r="D74" s="491">
        <f t="shared" si="3"/>
        <v>0</v>
      </c>
      <c r="E74" s="491">
        <v>3686</v>
      </c>
      <c r="F74" s="490"/>
      <c r="G74" s="491">
        <v>3686</v>
      </c>
      <c r="H74" s="490"/>
      <c r="I74" s="490"/>
      <c r="K74" s="278">
        <f t="shared" si="2"/>
        <v>3686</v>
      </c>
    </row>
    <row r="75" spans="1:11" x14ac:dyDescent="0.3">
      <c r="A75" s="490">
        <v>1312230922</v>
      </c>
      <c r="B75" s="490" t="s">
        <v>729</v>
      </c>
      <c r="C75" s="490"/>
      <c r="D75" s="491">
        <f t="shared" si="3"/>
        <v>0</v>
      </c>
      <c r="E75" s="490"/>
      <c r="F75" s="490"/>
      <c r="G75" s="490"/>
      <c r="H75" s="490"/>
      <c r="I75" s="490">
        <v>272.64</v>
      </c>
      <c r="K75" s="278">
        <f t="shared" si="2"/>
        <v>0</v>
      </c>
    </row>
    <row r="76" spans="1:11" x14ac:dyDescent="0.3">
      <c r="A76" s="490">
        <v>1312233922</v>
      </c>
      <c r="B76" s="490" t="s">
        <v>730</v>
      </c>
      <c r="C76" s="490"/>
      <c r="D76" s="491">
        <f t="shared" si="3"/>
        <v>0</v>
      </c>
      <c r="E76" s="490"/>
      <c r="F76" s="490"/>
      <c r="G76" s="490"/>
      <c r="H76" s="490"/>
      <c r="I76" s="491">
        <v>-21339.88</v>
      </c>
      <c r="K76" s="278">
        <f t="shared" si="2"/>
        <v>0</v>
      </c>
    </row>
    <row r="77" spans="1:11" x14ac:dyDescent="0.3">
      <c r="A77" s="490">
        <v>1312234922</v>
      </c>
      <c r="B77" s="490" t="s">
        <v>731</v>
      </c>
      <c r="C77" s="490"/>
      <c r="D77" s="491">
        <f t="shared" si="3"/>
        <v>0</v>
      </c>
      <c r="E77" s="490"/>
      <c r="F77" s="490"/>
      <c r="G77" s="490"/>
      <c r="H77" s="490"/>
      <c r="I77" s="491">
        <v>3212.04</v>
      </c>
      <c r="K77" s="278">
        <f t="shared" si="2"/>
        <v>0</v>
      </c>
    </row>
    <row r="78" spans="1:11" x14ac:dyDescent="0.3">
      <c r="A78" s="490">
        <v>1312235922</v>
      </c>
      <c r="B78" s="490" t="s">
        <v>732</v>
      </c>
      <c r="C78" s="490"/>
      <c r="D78" s="491">
        <f t="shared" si="3"/>
        <v>0</v>
      </c>
      <c r="E78" s="490"/>
      <c r="F78" s="490"/>
      <c r="G78" s="490"/>
      <c r="H78" s="490"/>
      <c r="I78" s="491">
        <v>2615.64</v>
      </c>
      <c r="K78" s="278">
        <f t="shared" si="2"/>
        <v>0</v>
      </c>
    </row>
    <row r="79" spans="1:11" x14ac:dyDescent="0.3">
      <c r="A79" s="490">
        <v>1312236922</v>
      </c>
      <c r="B79" s="490" t="s">
        <v>733</v>
      </c>
      <c r="C79" s="490"/>
      <c r="D79" s="491">
        <f t="shared" si="3"/>
        <v>0</v>
      </c>
      <c r="E79" s="490"/>
      <c r="F79" s="490"/>
      <c r="G79" s="490"/>
      <c r="H79" s="490"/>
      <c r="I79" s="491">
        <v>2411.16</v>
      </c>
      <c r="K79" s="278">
        <f t="shared" si="2"/>
        <v>0</v>
      </c>
    </row>
    <row r="80" spans="1:11" x14ac:dyDescent="0.3">
      <c r="A80" s="490">
        <v>1312237922</v>
      </c>
      <c r="B80" s="490" t="s">
        <v>734</v>
      </c>
      <c r="C80" s="490"/>
      <c r="D80" s="491">
        <f t="shared" si="3"/>
        <v>0</v>
      </c>
      <c r="E80" s="490"/>
      <c r="F80" s="490"/>
      <c r="G80" s="490"/>
      <c r="H80" s="490"/>
      <c r="I80" s="490">
        <v>894.6</v>
      </c>
      <c r="K80" s="278">
        <f t="shared" si="2"/>
        <v>0</v>
      </c>
    </row>
    <row r="81" spans="1:11" x14ac:dyDescent="0.3">
      <c r="A81" s="490">
        <v>1312238922</v>
      </c>
      <c r="B81" s="490" t="s">
        <v>735</v>
      </c>
      <c r="C81" s="490"/>
      <c r="D81" s="491">
        <f t="shared" si="3"/>
        <v>0</v>
      </c>
      <c r="E81" s="490"/>
      <c r="F81" s="490"/>
      <c r="G81" s="490"/>
      <c r="H81" s="490"/>
      <c r="I81" s="491">
        <v>2112.96</v>
      </c>
      <c r="K81" s="278">
        <f t="shared" si="2"/>
        <v>0</v>
      </c>
    </row>
    <row r="82" spans="1:11" x14ac:dyDescent="0.3">
      <c r="A82" s="490">
        <v>1312239922</v>
      </c>
      <c r="B82" s="490" t="s">
        <v>736</v>
      </c>
      <c r="C82" s="490"/>
      <c r="D82" s="491">
        <f t="shared" si="3"/>
        <v>0</v>
      </c>
      <c r="E82" s="490"/>
      <c r="F82" s="490"/>
      <c r="G82" s="490"/>
      <c r="H82" s="490"/>
      <c r="I82" s="490">
        <v>920.16</v>
      </c>
      <c r="K82" s="278">
        <f t="shared" si="2"/>
        <v>0</v>
      </c>
    </row>
    <row r="83" spans="1:11" x14ac:dyDescent="0.3">
      <c r="A83" s="490">
        <v>1312300075</v>
      </c>
      <c r="B83" s="490" t="s">
        <v>3522</v>
      </c>
      <c r="C83" s="490"/>
      <c r="D83" s="491">
        <f t="shared" si="3"/>
        <v>0</v>
      </c>
      <c r="E83" s="491">
        <v>15883</v>
      </c>
      <c r="F83" s="490"/>
      <c r="G83" s="491">
        <v>15883</v>
      </c>
      <c r="H83" s="490"/>
      <c r="I83" s="490"/>
      <c r="K83" s="278">
        <f t="shared" si="2"/>
        <v>15883</v>
      </c>
    </row>
    <row r="84" spans="1:11" x14ac:dyDescent="0.3">
      <c r="A84" s="490">
        <v>1312330922</v>
      </c>
      <c r="B84" s="490" t="s">
        <v>737</v>
      </c>
      <c r="C84" s="490"/>
      <c r="D84" s="491">
        <f t="shared" si="3"/>
        <v>0</v>
      </c>
      <c r="E84" s="490"/>
      <c r="F84" s="490"/>
      <c r="G84" s="490"/>
      <c r="H84" s="490"/>
      <c r="I84" s="491">
        <v>8119.56</v>
      </c>
      <c r="K84" s="278">
        <f t="shared" si="2"/>
        <v>0</v>
      </c>
    </row>
    <row r="85" spans="1:11" x14ac:dyDescent="0.3">
      <c r="A85" s="490">
        <v>1312569850</v>
      </c>
      <c r="B85" s="490" t="s">
        <v>3523</v>
      </c>
      <c r="C85" s="490"/>
      <c r="D85" s="491">
        <f t="shared" si="3"/>
        <v>0</v>
      </c>
      <c r="E85" s="491">
        <v>8760.7999999999993</v>
      </c>
      <c r="F85" s="490"/>
      <c r="G85" s="491">
        <v>8760.7999999999993</v>
      </c>
      <c r="H85" s="490"/>
      <c r="I85" s="490"/>
      <c r="K85" s="278">
        <f t="shared" si="2"/>
        <v>8760.7999999999993</v>
      </c>
    </row>
    <row r="86" spans="1:11" x14ac:dyDescent="0.3">
      <c r="A86" s="490">
        <v>1313000920</v>
      </c>
      <c r="B86" s="490" t="s">
        <v>3524</v>
      </c>
      <c r="C86" s="490"/>
      <c r="D86" s="491">
        <f t="shared" si="3"/>
        <v>0</v>
      </c>
      <c r="E86" s="491">
        <v>31097.3</v>
      </c>
      <c r="F86" s="490"/>
      <c r="G86" s="491">
        <v>31097.3</v>
      </c>
      <c r="H86" s="490"/>
      <c r="I86" s="490"/>
      <c r="K86" s="278">
        <f t="shared" si="2"/>
        <v>31097.3</v>
      </c>
    </row>
    <row r="87" spans="1:11" x14ac:dyDescent="0.3">
      <c r="A87" s="490">
        <v>1313200440</v>
      </c>
      <c r="B87" s="490" t="s">
        <v>97</v>
      </c>
      <c r="C87" s="491">
        <v>548800</v>
      </c>
      <c r="D87" s="491">
        <f t="shared" si="3"/>
        <v>228666.66666666669</v>
      </c>
      <c r="E87" s="491">
        <v>167416</v>
      </c>
      <c r="F87" s="491">
        <v>381384</v>
      </c>
      <c r="G87" s="490"/>
      <c r="H87" s="490">
        <v>30.51</v>
      </c>
      <c r="I87" s="491">
        <v>386056.3</v>
      </c>
      <c r="K87" s="278">
        <f>E87+J87+50000</f>
        <v>217416</v>
      </c>
    </row>
    <row r="88" spans="1:11" x14ac:dyDescent="0.3">
      <c r="A88" s="490">
        <v>1313200441</v>
      </c>
      <c r="B88" s="490" t="s">
        <v>98</v>
      </c>
      <c r="C88" s="491">
        <v>1159200</v>
      </c>
      <c r="D88" s="491">
        <f t="shared" si="3"/>
        <v>483000</v>
      </c>
      <c r="E88" s="491">
        <v>352669.99</v>
      </c>
      <c r="F88" s="491">
        <v>806530.01</v>
      </c>
      <c r="G88" s="490"/>
      <c r="H88" s="490">
        <v>30.42</v>
      </c>
      <c r="I88" s="491">
        <v>1249964.44</v>
      </c>
      <c r="K88" s="278">
        <f>E88+J88+100000</f>
        <v>452669.99</v>
      </c>
    </row>
    <row r="89" spans="1:11" x14ac:dyDescent="0.3">
      <c r="A89" s="490">
        <v>1313210440</v>
      </c>
      <c r="B89" s="490" t="s">
        <v>99</v>
      </c>
      <c r="C89" s="490"/>
      <c r="D89" s="491">
        <f t="shared" si="3"/>
        <v>0</v>
      </c>
      <c r="E89" s="491">
        <v>32854</v>
      </c>
      <c r="F89" s="490"/>
      <c r="G89" s="491">
        <v>32854</v>
      </c>
      <c r="H89" s="490"/>
      <c r="I89" s="491">
        <v>68765</v>
      </c>
      <c r="K89" s="278">
        <f t="shared" si="2"/>
        <v>32854</v>
      </c>
    </row>
    <row r="90" spans="1:11" x14ac:dyDescent="0.3">
      <c r="A90" s="490">
        <v>1313210920</v>
      </c>
      <c r="B90" s="490" t="s">
        <v>100</v>
      </c>
      <c r="C90" s="491">
        <v>340000</v>
      </c>
      <c r="D90" s="491">
        <f t="shared" si="3"/>
        <v>141666.66666666666</v>
      </c>
      <c r="E90" s="491">
        <v>176834.92</v>
      </c>
      <c r="F90" s="491">
        <v>163165.07999999999</v>
      </c>
      <c r="G90" s="490"/>
      <c r="H90" s="490">
        <v>52.01</v>
      </c>
      <c r="I90" s="491">
        <v>356263.44</v>
      </c>
      <c r="K90" s="278">
        <f t="shared" si="2"/>
        <v>176834.92</v>
      </c>
    </row>
    <row r="91" spans="1:11" x14ac:dyDescent="0.3">
      <c r="A91" s="490">
        <v>1313220920</v>
      </c>
      <c r="B91" s="490" t="s">
        <v>101</v>
      </c>
      <c r="C91" s="491">
        <v>569752.80000000005</v>
      </c>
      <c r="D91" s="491">
        <f t="shared" si="3"/>
        <v>237397</v>
      </c>
      <c r="E91" s="491">
        <v>283930.55</v>
      </c>
      <c r="F91" s="491">
        <v>285822.25</v>
      </c>
      <c r="G91" s="490"/>
      <c r="H91" s="490">
        <v>49.83</v>
      </c>
      <c r="I91" s="491">
        <v>681960.77</v>
      </c>
      <c r="K91" s="278">
        <f t="shared" si="2"/>
        <v>283930.55</v>
      </c>
    </row>
    <row r="92" spans="1:11" x14ac:dyDescent="0.3">
      <c r="A92" s="490">
        <v>1313230920</v>
      </c>
      <c r="B92" s="490" t="s">
        <v>102</v>
      </c>
      <c r="C92" s="491">
        <v>562672</v>
      </c>
      <c r="D92" s="491">
        <f t="shared" si="3"/>
        <v>234446.66666666669</v>
      </c>
      <c r="E92" s="491">
        <v>228646.92</v>
      </c>
      <c r="F92" s="491">
        <v>334025.08</v>
      </c>
      <c r="G92" s="490"/>
      <c r="H92" s="490">
        <v>40.64</v>
      </c>
      <c r="I92" s="491">
        <v>584462.71</v>
      </c>
      <c r="K92" s="278">
        <f t="shared" si="2"/>
        <v>228646.92</v>
      </c>
    </row>
    <row r="93" spans="1:11" x14ac:dyDescent="0.3">
      <c r="A93" s="490">
        <v>1313240920</v>
      </c>
      <c r="B93" s="490" t="s">
        <v>103</v>
      </c>
      <c r="C93" s="491">
        <v>550528</v>
      </c>
      <c r="D93" s="491">
        <f t="shared" si="3"/>
        <v>229386.66666666669</v>
      </c>
      <c r="E93" s="491">
        <v>213112.41</v>
      </c>
      <c r="F93" s="491">
        <v>337415.59</v>
      </c>
      <c r="G93" s="490"/>
      <c r="H93" s="490">
        <v>38.71</v>
      </c>
      <c r="I93" s="491">
        <v>538577.66</v>
      </c>
      <c r="K93" s="278">
        <f t="shared" si="2"/>
        <v>213112.41</v>
      </c>
    </row>
    <row r="94" spans="1:11" x14ac:dyDescent="0.3">
      <c r="A94" s="490">
        <v>1313250920</v>
      </c>
      <c r="B94" s="490" t="s">
        <v>104</v>
      </c>
      <c r="C94" s="491">
        <v>420000</v>
      </c>
      <c r="D94" s="491">
        <f t="shared" si="3"/>
        <v>175000</v>
      </c>
      <c r="E94" s="491">
        <v>192894.71</v>
      </c>
      <c r="F94" s="491">
        <v>227105.29</v>
      </c>
      <c r="G94" s="490"/>
      <c r="H94" s="490">
        <v>45.93</v>
      </c>
      <c r="I94" s="491">
        <v>504853.12</v>
      </c>
      <c r="K94" s="278">
        <f t="shared" si="2"/>
        <v>192894.71</v>
      </c>
    </row>
    <row r="95" spans="1:11" x14ac:dyDescent="0.3">
      <c r="A95" s="490">
        <v>1313260920</v>
      </c>
      <c r="B95" s="490" t="s">
        <v>105</v>
      </c>
      <c r="C95" s="491">
        <v>229000</v>
      </c>
      <c r="D95" s="491">
        <f t="shared" si="3"/>
        <v>95416.666666666657</v>
      </c>
      <c r="E95" s="491">
        <v>77108.28</v>
      </c>
      <c r="F95" s="491">
        <v>151891.72</v>
      </c>
      <c r="G95" s="490"/>
      <c r="H95" s="490">
        <v>33.67</v>
      </c>
      <c r="I95" s="491">
        <v>156339.72</v>
      </c>
      <c r="K95" s="278">
        <f t="shared" si="2"/>
        <v>77108.28</v>
      </c>
    </row>
    <row r="96" spans="1:11" x14ac:dyDescent="0.3">
      <c r="A96" s="490">
        <v>1313270920</v>
      </c>
      <c r="B96" s="490" t="s">
        <v>106</v>
      </c>
      <c r="C96" s="491">
        <v>510000</v>
      </c>
      <c r="D96" s="491">
        <f t="shared" si="3"/>
        <v>212500</v>
      </c>
      <c r="E96" s="491">
        <v>191363.67</v>
      </c>
      <c r="F96" s="491">
        <v>318636.33</v>
      </c>
      <c r="G96" s="490"/>
      <c r="H96" s="490">
        <v>37.520000000000003</v>
      </c>
      <c r="I96" s="491">
        <v>499203.12</v>
      </c>
      <c r="K96" s="278">
        <f t="shared" si="2"/>
        <v>191363.67</v>
      </c>
    </row>
    <row r="97" spans="1:11" x14ac:dyDescent="0.3">
      <c r="A97" s="490">
        <v>1313280920</v>
      </c>
      <c r="B97" s="490" t="s">
        <v>107</v>
      </c>
      <c r="C97" s="491">
        <v>650000</v>
      </c>
      <c r="D97" s="491">
        <f t="shared" si="3"/>
        <v>270833.33333333331</v>
      </c>
      <c r="E97" s="491">
        <v>383339.14</v>
      </c>
      <c r="F97" s="491">
        <v>266660.86</v>
      </c>
      <c r="G97" s="490"/>
      <c r="H97" s="490">
        <v>58.98</v>
      </c>
      <c r="I97" s="491">
        <v>878718.53</v>
      </c>
      <c r="K97" s="278">
        <f t="shared" si="2"/>
        <v>383339.14</v>
      </c>
    </row>
    <row r="98" spans="1:11" x14ac:dyDescent="0.3">
      <c r="A98" s="490">
        <v>1313280925</v>
      </c>
      <c r="B98" s="490" t="s">
        <v>108</v>
      </c>
      <c r="C98" s="491">
        <v>150000</v>
      </c>
      <c r="D98" s="491">
        <f t="shared" si="3"/>
        <v>62500</v>
      </c>
      <c r="E98" s="491">
        <v>39474.86</v>
      </c>
      <c r="F98" s="491">
        <v>110525.14</v>
      </c>
      <c r="G98" s="490"/>
      <c r="H98" s="490">
        <v>26.32</v>
      </c>
      <c r="I98" s="491">
        <v>214340.77</v>
      </c>
      <c r="K98" s="278">
        <f t="shared" si="2"/>
        <v>39474.86</v>
      </c>
    </row>
    <row r="99" spans="1:11" x14ac:dyDescent="0.3">
      <c r="A99" s="490">
        <v>1313300920</v>
      </c>
      <c r="B99" s="490" t="s">
        <v>109</v>
      </c>
      <c r="C99" s="491">
        <v>1720400</v>
      </c>
      <c r="D99" s="491">
        <f t="shared" si="3"/>
        <v>716833.33333333326</v>
      </c>
      <c r="E99" s="491">
        <v>690559.75</v>
      </c>
      <c r="F99" s="491">
        <v>1029840.25</v>
      </c>
      <c r="G99" s="490"/>
      <c r="H99" s="490">
        <v>40.14</v>
      </c>
      <c r="I99" s="491">
        <v>1827289.49</v>
      </c>
      <c r="J99" s="492">
        <v>50000</v>
      </c>
      <c r="K99" s="278">
        <f>E99+J99</f>
        <v>740559.75</v>
      </c>
    </row>
    <row r="100" spans="1:11" x14ac:dyDescent="0.3">
      <c r="A100" s="490">
        <v>1313300925</v>
      </c>
      <c r="B100" s="490" t="s">
        <v>110</v>
      </c>
      <c r="C100" s="491">
        <v>80000</v>
      </c>
      <c r="D100" s="491">
        <f t="shared" si="3"/>
        <v>33333.333333333336</v>
      </c>
      <c r="E100" s="491">
        <v>3538.46</v>
      </c>
      <c r="F100" s="491">
        <v>76461.539999999994</v>
      </c>
      <c r="G100" s="490"/>
      <c r="H100" s="490">
        <v>4.42</v>
      </c>
      <c r="I100" s="491">
        <v>180742.58</v>
      </c>
      <c r="K100" s="278">
        <f t="shared" si="2"/>
        <v>3538.46</v>
      </c>
    </row>
    <row r="101" spans="1:11" x14ac:dyDescent="0.3">
      <c r="A101" s="490">
        <v>1313600920</v>
      </c>
      <c r="B101" s="490" t="s">
        <v>111</v>
      </c>
      <c r="C101" s="491">
        <v>250000</v>
      </c>
      <c r="D101" s="491">
        <f t="shared" si="3"/>
        <v>104166.66666666666</v>
      </c>
      <c r="E101" s="491">
        <v>83139.429999999993</v>
      </c>
      <c r="F101" s="491">
        <v>166860.57</v>
      </c>
      <c r="G101" s="490"/>
      <c r="H101" s="490">
        <v>33.26</v>
      </c>
      <c r="I101" s="491">
        <v>257231.26</v>
      </c>
      <c r="K101" s="278">
        <f t="shared" si="2"/>
        <v>83139.429999999993</v>
      </c>
    </row>
    <row r="102" spans="1:11" x14ac:dyDescent="0.3">
      <c r="A102" s="490">
        <v>1313610920</v>
      </c>
      <c r="B102" s="490" t="s">
        <v>738</v>
      </c>
      <c r="C102" s="490"/>
      <c r="D102" s="491">
        <f t="shared" si="3"/>
        <v>0</v>
      </c>
      <c r="E102" s="490"/>
      <c r="F102" s="490"/>
      <c r="G102" s="490"/>
      <c r="H102" s="490"/>
      <c r="I102" s="491">
        <v>2028.24</v>
      </c>
      <c r="K102" s="278">
        <f t="shared" si="2"/>
        <v>0</v>
      </c>
    </row>
    <row r="103" spans="1:11" x14ac:dyDescent="0.3">
      <c r="A103" s="490">
        <v>1313611920</v>
      </c>
      <c r="B103" s="490" t="s">
        <v>739</v>
      </c>
      <c r="C103" s="490"/>
      <c r="D103" s="491">
        <f t="shared" si="3"/>
        <v>0</v>
      </c>
      <c r="E103" s="490">
        <v>69.459999999999994</v>
      </c>
      <c r="F103" s="490"/>
      <c r="G103" s="490">
        <v>69.459999999999994</v>
      </c>
      <c r="H103" s="490"/>
      <c r="I103" s="491">
        <v>3979.96</v>
      </c>
      <c r="K103" s="278">
        <f t="shared" si="2"/>
        <v>69.459999999999994</v>
      </c>
    </row>
    <row r="104" spans="1:11" x14ac:dyDescent="0.3">
      <c r="A104" s="490">
        <v>1313700920</v>
      </c>
      <c r="B104" s="490" t="s">
        <v>112</v>
      </c>
      <c r="C104" s="491">
        <v>219750</v>
      </c>
      <c r="D104" s="491">
        <f t="shared" si="3"/>
        <v>91562.5</v>
      </c>
      <c r="E104" s="491">
        <v>54929.1</v>
      </c>
      <c r="F104" s="491">
        <v>164820.9</v>
      </c>
      <c r="G104" s="490"/>
      <c r="H104" s="490">
        <v>25</v>
      </c>
      <c r="I104" s="491">
        <v>193582.87</v>
      </c>
      <c r="K104" s="278">
        <f t="shared" si="2"/>
        <v>54929.1</v>
      </c>
    </row>
    <row r="105" spans="1:11" x14ac:dyDescent="0.3">
      <c r="A105" s="490">
        <v>1313800420</v>
      </c>
      <c r="B105" s="490" t="s">
        <v>113</v>
      </c>
      <c r="C105" s="491">
        <v>240000</v>
      </c>
      <c r="D105" s="491">
        <f t="shared" si="3"/>
        <v>100000</v>
      </c>
      <c r="E105" s="491">
        <v>-2326.1</v>
      </c>
      <c r="F105" s="491">
        <v>242326.1</v>
      </c>
      <c r="G105" s="490"/>
      <c r="H105" s="490">
        <v>-0.97</v>
      </c>
      <c r="I105" s="491">
        <v>291351.06</v>
      </c>
      <c r="K105" s="278">
        <v>0</v>
      </c>
    </row>
    <row r="106" spans="1:11" x14ac:dyDescent="0.3">
      <c r="A106" s="490">
        <v>1313800920</v>
      </c>
      <c r="B106" s="490" t="s">
        <v>114</v>
      </c>
      <c r="C106" s="491">
        <v>650000</v>
      </c>
      <c r="D106" s="491">
        <f t="shared" si="3"/>
        <v>270833.33333333331</v>
      </c>
      <c r="E106" s="490"/>
      <c r="F106" s="491">
        <v>650000</v>
      </c>
      <c r="G106" s="490"/>
      <c r="H106" s="490"/>
      <c r="I106" s="491">
        <v>514241.42</v>
      </c>
      <c r="K106" s="278">
        <f t="shared" si="2"/>
        <v>0</v>
      </c>
    </row>
    <row r="107" spans="1:11" x14ac:dyDescent="0.3">
      <c r="A107" s="490">
        <v>1313830420</v>
      </c>
      <c r="B107" s="490" t="s">
        <v>115</v>
      </c>
      <c r="C107" s="491">
        <v>43100</v>
      </c>
      <c r="D107" s="491">
        <f t="shared" si="3"/>
        <v>17958.333333333332</v>
      </c>
      <c r="E107" s="490">
        <v>-100.4</v>
      </c>
      <c r="F107" s="491">
        <v>43200.4</v>
      </c>
      <c r="G107" s="490"/>
      <c r="H107" s="490">
        <v>-0.23</v>
      </c>
      <c r="I107" s="490">
        <v>141.91999999999999</v>
      </c>
      <c r="K107" s="278">
        <f t="shared" si="2"/>
        <v>-100.4</v>
      </c>
    </row>
    <row r="108" spans="1:11" x14ac:dyDescent="0.3">
      <c r="A108" s="490">
        <v>1315000490</v>
      </c>
      <c r="B108" s="490" t="s">
        <v>116</v>
      </c>
      <c r="C108" s="491">
        <v>924000</v>
      </c>
      <c r="D108" s="491">
        <f t="shared" si="3"/>
        <v>385000</v>
      </c>
      <c r="E108" s="491">
        <v>238184.14</v>
      </c>
      <c r="F108" s="491">
        <v>685815.86</v>
      </c>
      <c r="G108" s="490"/>
      <c r="H108" s="490">
        <v>25.78</v>
      </c>
      <c r="I108" s="491">
        <v>1105201.25</v>
      </c>
      <c r="J108" s="492">
        <v>150000</v>
      </c>
      <c r="K108" s="278">
        <f>E108+J108</f>
        <v>388184.14</v>
      </c>
    </row>
    <row r="109" spans="1:11" x14ac:dyDescent="0.3">
      <c r="A109" s="490">
        <v>1317100920</v>
      </c>
      <c r="B109" s="490" t="s">
        <v>117</v>
      </c>
      <c r="C109" s="491">
        <v>153000</v>
      </c>
      <c r="D109" s="491">
        <f t="shared" si="3"/>
        <v>63750</v>
      </c>
      <c r="E109" s="491">
        <v>67456.63</v>
      </c>
      <c r="F109" s="491">
        <v>85543.37</v>
      </c>
      <c r="G109" s="490"/>
      <c r="H109" s="490">
        <v>44.09</v>
      </c>
      <c r="I109" s="491">
        <v>159377.87</v>
      </c>
      <c r="K109" s="278">
        <f t="shared" si="2"/>
        <v>67456.63</v>
      </c>
    </row>
    <row r="110" spans="1:11" x14ac:dyDescent="0.3">
      <c r="A110" s="490">
        <v>1317300920</v>
      </c>
      <c r="B110" s="490" t="s">
        <v>118</v>
      </c>
      <c r="C110" s="491">
        <v>1181000</v>
      </c>
      <c r="D110" s="491">
        <f t="shared" si="3"/>
        <v>492083.33333333337</v>
      </c>
      <c r="E110" s="491">
        <v>660887.94999999995</v>
      </c>
      <c r="F110" s="491">
        <v>520112.05</v>
      </c>
      <c r="G110" s="490"/>
      <c r="H110" s="490">
        <v>55.96</v>
      </c>
      <c r="I110" s="491">
        <v>1527543.41</v>
      </c>
      <c r="K110" s="278">
        <f t="shared" si="2"/>
        <v>660887.94999999995</v>
      </c>
    </row>
    <row r="111" spans="1:11" x14ac:dyDescent="0.3">
      <c r="A111" s="490">
        <v>1317310920</v>
      </c>
      <c r="B111" s="490" t="s">
        <v>119</v>
      </c>
      <c r="C111" s="490"/>
      <c r="D111" s="491">
        <f t="shared" si="3"/>
        <v>0</v>
      </c>
      <c r="E111" s="490"/>
      <c r="F111" s="490"/>
      <c r="G111" s="490"/>
      <c r="H111" s="490"/>
      <c r="I111" s="491">
        <v>50398.5</v>
      </c>
      <c r="K111" s="278">
        <f t="shared" si="2"/>
        <v>0</v>
      </c>
    </row>
    <row r="112" spans="1:11" x14ac:dyDescent="0.3">
      <c r="A112" s="490">
        <v>1317400920</v>
      </c>
      <c r="B112" s="490" t="s">
        <v>120</v>
      </c>
      <c r="C112" s="491">
        <v>160000</v>
      </c>
      <c r="D112" s="491">
        <f t="shared" si="3"/>
        <v>66666.666666666672</v>
      </c>
      <c r="E112" s="491">
        <v>71427.27</v>
      </c>
      <c r="F112" s="491">
        <v>88572.73</v>
      </c>
      <c r="G112" s="490"/>
      <c r="H112" s="490">
        <v>44.64</v>
      </c>
      <c r="I112" s="491">
        <v>209370.93</v>
      </c>
      <c r="K112" s="278">
        <f t="shared" si="2"/>
        <v>71427.27</v>
      </c>
    </row>
    <row r="113" spans="1:11" x14ac:dyDescent="0.3">
      <c r="A113" s="490">
        <v>1317400925</v>
      </c>
      <c r="B113" s="490" t="s">
        <v>121</v>
      </c>
      <c r="C113" s="491">
        <v>25000</v>
      </c>
      <c r="D113" s="491">
        <f t="shared" si="3"/>
        <v>10416.666666666668</v>
      </c>
      <c r="E113" s="490"/>
      <c r="F113" s="491">
        <v>25000</v>
      </c>
      <c r="G113" s="490"/>
      <c r="H113" s="490"/>
      <c r="I113" s="490"/>
      <c r="K113" s="278">
        <f t="shared" si="2"/>
        <v>0</v>
      </c>
    </row>
    <row r="114" spans="1:11" x14ac:dyDescent="0.3">
      <c r="A114" s="490">
        <v>1317600920</v>
      </c>
      <c r="B114" s="490" t="s">
        <v>122</v>
      </c>
      <c r="C114" s="491">
        <v>719727</v>
      </c>
      <c r="D114" s="491">
        <f t="shared" si="3"/>
        <v>299886.25</v>
      </c>
      <c r="E114" s="491">
        <v>96195</v>
      </c>
      <c r="F114" s="491">
        <v>623532</v>
      </c>
      <c r="G114" s="490"/>
      <c r="H114" s="490">
        <v>13.37</v>
      </c>
      <c r="I114" s="491">
        <v>629230</v>
      </c>
      <c r="J114" s="492">
        <v>200000</v>
      </c>
      <c r="K114" s="278">
        <f t="shared" si="2"/>
        <v>296195</v>
      </c>
    </row>
    <row r="115" spans="1:11" x14ac:dyDescent="0.3">
      <c r="A115" s="490">
        <v>1317700920</v>
      </c>
      <c r="B115" s="490" t="s">
        <v>123</v>
      </c>
      <c r="C115" s="491">
        <v>292000</v>
      </c>
      <c r="D115" s="491">
        <f t="shared" si="3"/>
        <v>121666.66666666666</v>
      </c>
      <c r="E115" s="491">
        <v>95693.3</v>
      </c>
      <c r="F115" s="491">
        <v>196306.7</v>
      </c>
      <c r="G115" s="490"/>
      <c r="H115" s="490">
        <v>32.770000000000003</v>
      </c>
      <c r="I115" s="491">
        <v>254920.66</v>
      </c>
      <c r="K115" s="278">
        <f t="shared" si="2"/>
        <v>95693.3</v>
      </c>
    </row>
    <row r="116" spans="1:11" x14ac:dyDescent="0.3">
      <c r="A116" s="490">
        <v>1317800920</v>
      </c>
      <c r="B116" s="490" t="s">
        <v>124</v>
      </c>
      <c r="C116" s="491">
        <v>800000</v>
      </c>
      <c r="D116" s="491">
        <f t="shared" si="3"/>
        <v>333333.33333333337</v>
      </c>
      <c r="E116" s="491">
        <v>323638.42</v>
      </c>
      <c r="F116" s="491">
        <v>476361.58</v>
      </c>
      <c r="G116" s="490"/>
      <c r="H116" s="490">
        <v>40.450000000000003</v>
      </c>
      <c r="I116" s="491">
        <v>556691.81000000006</v>
      </c>
      <c r="K116" s="278">
        <f t="shared" si="2"/>
        <v>323638.42</v>
      </c>
    </row>
    <row r="117" spans="1:11" x14ac:dyDescent="0.3">
      <c r="A117" s="490">
        <v>1317800921</v>
      </c>
      <c r="B117" s="490" t="s">
        <v>125</v>
      </c>
      <c r="C117" s="491">
        <v>850000</v>
      </c>
      <c r="D117" s="491">
        <f t="shared" si="3"/>
        <v>354166.66666666663</v>
      </c>
      <c r="E117" s="491">
        <v>510580.47999999998</v>
      </c>
      <c r="F117" s="491">
        <v>339419.52</v>
      </c>
      <c r="G117" s="490"/>
      <c r="H117" s="490">
        <v>60.07</v>
      </c>
      <c r="I117" s="491">
        <v>1265397.76</v>
      </c>
      <c r="K117" s="278">
        <f t="shared" si="2"/>
        <v>510580.47999999998</v>
      </c>
    </row>
    <row r="118" spans="1:11" x14ac:dyDescent="0.3">
      <c r="A118" s="490">
        <v>1317800922</v>
      </c>
      <c r="B118" s="490" t="s">
        <v>126</v>
      </c>
      <c r="C118" s="491">
        <v>2900000</v>
      </c>
      <c r="D118" s="491">
        <f t="shared" si="3"/>
        <v>1208333.3333333333</v>
      </c>
      <c r="E118" s="491">
        <v>1073176.27</v>
      </c>
      <c r="F118" s="491">
        <v>1826823.73</v>
      </c>
      <c r="G118" s="490"/>
      <c r="H118" s="490">
        <v>37.01</v>
      </c>
      <c r="I118" s="491">
        <v>2796523.68</v>
      </c>
      <c r="J118" s="492">
        <v>200000</v>
      </c>
      <c r="K118" s="278">
        <f t="shared" si="2"/>
        <v>1273176.27</v>
      </c>
    </row>
    <row r="119" spans="1:11" x14ac:dyDescent="0.3">
      <c r="A119" s="490">
        <v>1317800923</v>
      </c>
      <c r="B119" s="490" t="s">
        <v>127</v>
      </c>
      <c r="C119" s="491">
        <v>2090000</v>
      </c>
      <c r="D119" s="491">
        <f t="shared" si="3"/>
        <v>870833.33333333326</v>
      </c>
      <c r="E119" s="491">
        <v>1102897.01</v>
      </c>
      <c r="F119" s="491">
        <v>987102.99</v>
      </c>
      <c r="G119" s="490"/>
      <c r="H119" s="490">
        <v>52.77</v>
      </c>
      <c r="I119" s="491">
        <v>2313495.71</v>
      </c>
      <c r="K119" s="278">
        <f t="shared" si="2"/>
        <v>1102897.01</v>
      </c>
    </row>
    <row r="120" spans="1:11" x14ac:dyDescent="0.3">
      <c r="A120" s="490">
        <v>1317800924</v>
      </c>
      <c r="B120" s="490" t="s">
        <v>128</v>
      </c>
      <c r="C120" s="491">
        <v>140000</v>
      </c>
      <c r="D120" s="491">
        <f t="shared" si="3"/>
        <v>58333.333333333328</v>
      </c>
      <c r="E120" s="490"/>
      <c r="F120" s="491">
        <v>140000</v>
      </c>
      <c r="G120" s="490"/>
      <c r="H120" s="490"/>
      <c r="I120" s="491">
        <v>87000</v>
      </c>
      <c r="K120" s="278">
        <f t="shared" si="2"/>
        <v>0</v>
      </c>
    </row>
    <row r="121" spans="1:11" x14ac:dyDescent="0.3">
      <c r="A121" s="490">
        <v>1317811923</v>
      </c>
      <c r="B121" s="490" t="s">
        <v>740</v>
      </c>
      <c r="C121" s="490"/>
      <c r="D121" s="491">
        <f t="shared" si="3"/>
        <v>0</v>
      </c>
      <c r="E121" s="490"/>
      <c r="F121" s="490"/>
      <c r="G121" s="490"/>
      <c r="H121" s="490"/>
      <c r="I121" s="490">
        <v>-2.2999999999999998</v>
      </c>
      <c r="K121" s="278">
        <f t="shared" si="2"/>
        <v>0</v>
      </c>
    </row>
    <row r="122" spans="1:11" x14ac:dyDescent="0.3">
      <c r="A122" s="490">
        <v>1317910920</v>
      </c>
      <c r="B122" s="490" t="s">
        <v>129</v>
      </c>
      <c r="C122" s="491">
        <v>286000</v>
      </c>
      <c r="D122" s="491">
        <f t="shared" si="3"/>
        <v>119166.66666666666</v>
      </c>
      <c r="E122" s="490"/>
      <c r="F122" s="491">
        <v>286000</v>
      </c>
      <c r="G122" s="490"/>
      <c r="H122" s="490"/>
      <c r="I122" s="491">
        <v>180000</v>
      </c>
      <c r="K122" s="278">
        <f t="shared" si="2"/>
        <v>0</v>
      </c>
    </row>
    <row r="123" spans="1:11" x14ac:dyDescent="0.3">
      <c r="A123" s="490">
        <v>1318000980</v>
      </c>
      <c r="B123" s="490" t="s">
        <v>130</v>
      </c>
      <c r="C123" s="491">
        <v>171961</v>
      </c>
      <c r="D123" s="491">
        <f t="shared" si="3"/>
        <v>71650.416666666672</v>
      </c>
      <c r="E123" s="491">
        <v>25079</v>
      </c>
      <c r="F123" s="491">
        <v>146882</v>
      </c>
      <c r="G123" s="490"/>
      <c r="H123" s="490">
        <v>14.58</v>
      </c>
      <c r="I123" s="491">
        <v>197736.5</v>
      </c>
      <c r="K123" s="278">
        <f t="shared" si="2"/>
        <v>25079</v>
      </c>
    </row>
    <row r="124" spans="1:11" x14ac:dyDescent="0.3">
      <c r="A124" s="490">
        <v>1318100970</v>
      </c>
      <c r="B124" s="490" t="s">
        <v>131</v>
      </c>
      <c r="C124" s="491">
        <v>80000</v>
      </c>
      <c r="D124" s="491">
        <f t="shared" si="3"/>
        <v>33333.333333333336</v>
      </c>
      <c r="E124" s="490"/>
      <c r="F124" s="491">
        <v>80000</v>
      </c>
      <c r="G124" s="490"/>
      <c r="H124" s="490"/>
      <c r="I124" s="491">
        <v>63592</v>
      </c>
      <c r="K124" s="278">
        <f t="shared" si="2"/>
        <v>0</v>
      </c>
    </row>
    <row r="125" spans="1:11" x14ac:dyDescent="0.3">
      <c r="A125" s="490">
        <v>1322000920</v>
      </c>
      <c r="B125" s="490" t="s">
        <v>3525</v>
      </c>
      <c r="C125" s="490"/>
      <c r="D125" s="491">
        <f t="shared" si="3"/>
        <v>0</v>
      </c>
      <c r="E125" s="491">
        <v>52085</v>
      </c>
      <c r="F125" s="490"/>
      <c r="G125" s="491">
        <v>52085</v>
      </c>
      <c r="H125" s="490"/>
      <c r="I125" s="490"/>
      <c r="K125" s="278">
        <f t="shared" si="2"/>
        <v>52085</v>
      </c>
    </row>
    <row r="126" spans="1:11" x14ac:dyDescent="0.3">
      <c r="A126" s="490">
        <v>1328100990</v>
      </c>
      <c r="B126" s="490" t="s">
        <v>132</v>
      </c>
      <c r="C126" s="491">
        <v>615289.5</v>
      </c>
      <c r="D126" s="491">
        <f t="shared" si="3"/>
        <v>256370.625</v>
      </c>
      <c r="E126" s="491">
        <v>55851</v>
      </c>
      <c r="F126" s="491">
        <v>559438.5</v>
      </c>
      <c r="G126" s="490"/>
      <c r="H126" s="490">
        <v>9.08</v>
      </c>
      <c r="I126" s="491">
        <v>420426</v>
      </c>
      <c r="J126" s="492">
        <v>200000</v>
      </c>
      <c r="K126" s="278">
        <f t="shared" si="2"/>
        <v>255851</v>
      </c>
    </row>
    <row r="127" spans="1:11" x14ac:dyDescent="0.3">
      <c r="A127" s="490">
        <v>1328100991</v>
      </c>
      <c r="B127" s="490" t="s">
        <v>133</v>
      </c>
      <c r="C127" s="491">
        <v>82450</v>
      </c>
      <c r="D127" s="491">
        <f t="shared" si="3"/>
        <v>34354.166666666664</v>
      </c>
      <c r="E127" s="490"/>
      <c r="F127" s="491">
        <v>82450</v>
      </c>
      <c r="G127" s="490"/>
      <c r="H127" s="490"/>
      <c r="I127" s="491">
        <v>31190</v>
      </c>
      <c r="K127" s="278">
        <f t="shared" si="2"/>
        <v>0</v>
      </c>
    </row>
    <row r="128" spans="1:11" x14ac:dyDescent="0.3">
      <c r="A128" s="490">
        <v>1328200920</v>
      </c>
      <c r="B128" s="490" t="s">
        <v>134</v>
      </c>
      <c r="C128" s="491">
        <v>1090000</v>
      </c>
      <c r="D128" s="491">
        <f t="shared" si="3"/>
        <v>454166.66666666663</v>
      </c>
      <c r="E128" s="491">
        <v>359558</v>
      </c>
      <c r="F128" s="491">
        <v>730442</v>
      </c>
      <c r="G128" s="490"/>
      <c r="H128" s="490">
        <v>32.99</v>
      </c>
      <c r="I128" s="491">
        <v>1111627.8</v>
      </c>
      <c r="J128" s="492">
        <v>100000</v>
      </c>
      <c r="K128" s="278">
        <f t="shared" si="2"/>
        <v>459558</v>
      </c>
    </row>
    <row r="129" spans="1:11" x14ac:dyDescent="0.3">
      <c r="A129" s="490">
        <v>1328200990</v>
      </c>
      <c r="B129" s="490" t="s">
        <v>135</v>
      </c>
      <c r="C129" s="491">
        <v>267416</v>
      </c>
      <c r="D129" s="491">
        <f t="shared" si="3"/>
        <v>111423.33333333334</v>
      </c>
      <c r="E129" s="490"/>
      <c r="F129" s="491">
        <v>267416</v>
      </c>
      <c r="G129" s="490"/>
      <c r="H129" s="490"/>
      <c r="I129" s="491">
        <v>356699</v>
      </c>
      <c r="K129" s="278">
        <f t="shared" si="2"/>
        <v>0</v>
      </c>
    </row>
    <row r="130" spans="1:11" x14ac:dyDescent="0.3">
      <c r="A130" s="490">
        <v>1329200640</v>
      </c>
      <c r="B130" s="490" t="s">
        <v>136</v>
      </c>
      <c r="C130" s="491">
        <v>5000</v>
      </c>
      <c r="D130" s="491">
        <f t="shared" si="3"/>
        <v>2083.3333333333335</v>
      </c>
      <c r="E130" s="490"/>
      <c r="F130" s="491">
        <v>5000</v>
      </c>
      <c r="G130" s="490"/>
      <c r="H130" s="490"/>
      <c r="I130" s="491">
        <v>61800</v>
      </c>
      <c r="K130" s="278">
        <f t="shared" si="2"/>
        <v>0</v>
      </c>
    </row>
    <row r="131" spans="1:11" x14ac:dyDescent="0.3">
      <c r="A131" s="490">
        <v>1329200920</v>
      </c>
      <c r="B131" s="490" t="s">
        <v>137</v>
      </c>
      <c r="C131" s="491">
        <v>405000</v>
      </c>
      <c r="D131" s="491">
        <f t="shared" si="3"/>
        <v>168750</v>
      </c>
      <c r="E131" s="491">
        <v>98000</v>
      </c>
      <c r="F131" s="491">
        <v>307000</v>
      </c>
      <c r="G131" s="490"/>
      <c r="H131" s="490">
        <v>24.2</v>
      </c>
      <c r="I131" s="491">
        <v>245000</v>
      </c>
      <c r="K131" s="278">
        <f t="shared" ref="K131:K194" si="4">E131+J131</f>
        <v>98000</v>
      </c>
    </row>
    <row r="132" spans="1:11" x14ac:dyDescent="0.3">
      <c r="A132" s="490">
        <v>1335000940</v>
      </c>
      <c r="B132" s="490" t="s">
        <v>138</v>
      </c>
      <c r="C132" s="491">
        <v>69004</v>
      </c>
      <c r="D132" s="491">
        <f t="shared" si="3"/>
        <v>28751.666666666664</v>
      </c>
      <c r="E132" s="491">
        <v>20442</v>
      </c>
      <c r="F132" s="491">
        <v>48562</v>
      </c>
      <c r="G132" s="490"/>
      <c r="H132" s="490">
        <v>29.62</v>
      </c>
      <c r="I132" s="491">
        <v>142886.54999999999</v>
      </c>
      <c r="K132" s="278">
        <f t="shared" si="4"/>
        <v>20442</v>
      </c>
    </row>
    <row r="133" spans="1:11" x14ac:dyDescent="0.3">
      <c r="A133" s="490">
        <v>1341000930</v>
      </c>
      <c r="B133" s="490" t="s">
        <v>139</v>
      </c>
      <c r="C133" s="491">
        <v>4512729.5599999996</v>
      </c>
      <c r="D133" s="491">
        <f t="shared" si="3"/>
        <v>1880303.9833333332</v>
      </c>
      <c r="E133" s="491">
        <v>1936692</v>
      </c>
      <c r="F133" s="491">
        <v>2576037.56</v>
      </c>
      <c r="G133" s="490"/>
      <c r="H133" s="490">
        <v>42.92</v>
      </c>
      <c r="I133" s="491">
        <v>4578569</v>
      </c>
      <c r="K133" s="278">
        <f t="shared" si="4"/>
        <v>1936692</v>
      </c>
    </row>
    <row r="134" spans="1:11" x14ac:dyDescent="0.3">
      <c r="A134" s="490">
        <v>1341000931</v>
      </c>
      <c r="B134" s="490" t="s">
        <v>140</v>
      </c>
      <c r="C134" s="491">
        <v>18750</v>
      </c>
      <c r="D134" s="491">
        <f t="shared" ref="D134:D197" si="5">C134/12*5</f>
        <v>7812.5</v>
      </c>
      <c r="E134" s="490"/>
      <c r="F134" s="491">
        <v>18750</v>
      </c>
      <c r="G134" s="490"/>
      <c r="H134" s="490"/>
      <c r="I134" s="490"/>
      <c r="K134" s="278">
        <f t="shared" si="4"/>
        <v>0</v>
      </c>
    </row>
    <row r="135" spans="1:11" x14ac:dyDescent="0.3">
      <c r="A135" s="490">
        <v>1341500930</v>
      </c>
      <c r="B135" s="490" t="s">
        <v>141</v>
      </c>
      <c r="C135" s="491">
        <v>126000</v>
      </c>
      <c r="D135" s="491">
        <f t="shared" si="5"/>
        <v>52500</v>
      </c>
      <c r="E135" s="491">
        <v>81220</v>
      </c>
      <c r="F135" s="491">
        <v>44780</v>
      </c>
      <c r="G135" s="490"/>
      <c r="H135" s="490">
        <v>64.459999999999994</v>
      </c>
      <c r="I135" s="491">
        <v>319480</v>
      </c>
      <c r="K135" s="278">
        <f t="shared" si="4"/>
        <v>81220</v>
      </c>
    </row>
    <row r="136" spans="1:11" x14ac:dyDescent="0.3">
      <c r="A136" s="490">
        <v>1342200220</v>
      </c>
      <c r="B136" s="490" t="s">
        <v>142</v>
      </c>
      <c r="C136" s="491">
        <v>1000</v>
      </c>
      <c r="D136" s="491">
        <f t="shared" si="5"/>
        <v>416.66666666666663</v>
      </c>
      <c r="E136" s="490"/>
      <c r="F136" s="491">
        <v>1000</v>
      </c>
      <c r="G136" s="490"/>
      <c r="H136" s="490"/>
      <c r="I136" s="490"/>
      <c r="K136" s="278">
        <f t="shared" si="4"/>
        <v>0</v>
      </c>
    </row>
    <row r="137" spans="1:11" x14ac:dyDescent="0.3">
      <c r="A137" s="490">
        <v>1342200770</v>
      </c>
      <c r="B137" s="490" t="s">
        <v>143</v>
      </c>
      <c r="C137" s="490"/>
      <c r="D137" s="491">
        <f t="shared" si="5"/>
        <v>0</v>
      </c>
      <c r="E137" s="490"/>
      <c r="F137" s="490"/>
      <c r="G137" s="490"/>
      <c r="H137" s="490"/>
      <c r="I137" s="491">
        <v>38966.080000000002</v>
      </c>
      <c r="K137" s="278">
        <f t="shared" si="4"/>
        <v>0</v>
      </c>
    </row>
    <row r="138" spans="1:11" x14ac:dyDescent="0.3">
      <c r="A138" s="490">
        <v>1342200931</v>
      </c>
      <c r="B138" s="490" t="s">
        <v>142</v>
      </c>
      <c r="C138" s="491">
        <v>140000</v>
      </c>
      <c r="D138" s="491">
        <f t="shared" si="5"/>
        <v>58333.333333333328</v>
      </c>
      <c r="E138" s="491">
        <v>48754</v>
      </c>
      <c r="F138" s="491">
        <v>91246</v>
      </c>
      <c r="G138" s="490"/>
      <c r="H138" s="490">
        <v>34.82</v>
      </c>
      <c r="I138" s="491">
        <v>51152</v>
      </c>
      <c r="K138" s="278">
        <f t="shared" si="4"/>
        <v>48754</v>
      </c>
    </row>
    <row r="139" spans="1:11" x14ac:dyDescent="0.3">
      <c r="A139" s="490">
        <v>1342200936</v>
      </c>
      <c r="B139" s="490" t="s">
        <v>144</v>
      </c>
      <c r="C139" s="491">
        <v>67716</v>
      </c>
      <c r="D139" s="491">
        <f t="shared" si="5"/>
        <v>28215</v>
      </c>
      <c r="E139" s="490"/>
      <c r="F139" s="491">
        <v>67716</v>
      </c>
      <c r="G139" s="490"/>
      <c r="H139" s="490"/>
      <c r="I139" s="491">
        <v>35784</v>
      </c>
      <c r="K139" s="278">
        <f t="shared" si="4"/>
        <v>0</v>
      </c>
    </row>
    <row r="140" spans="1:11" x14ac:dyDescent="0.3">
      <c r="A140" s="490">
        <v>1342200937</v>
      </c>
      <c r="B140" s="490" t="s">
        <v>145</v>
      </c>
      <c r="C140" s="491">
        <v>56799.75</v>
      </c>
      <c r="D140" s="491">
        <f t="shared" si="5"/>
        <v>23666.5625</v>
      </c>
      <c r="E140" s="490">
        <v>472</v>
      </c>
      <c r="F140" s="491">
        <v>56327.75</v>
      </c>
      <c r="G140" s="490"/>
      <c r="H140" s="490">
        <v>0.83</v>
      </c>
      <c r="I140" s="491">
        <v>21029</v>
      </c>
      <c r="K140" s="278">
        <f t="shared" si="4"/>
        <v>472</v>
      </c>
    </row>
    <row r="141" spans="1:11" x14ac:dyDescent="0.3">
      <c r="A141" s="490">
        <v>1342300931</v>
      </c>
      <c r="B141" s="490" t="s">
        <v>146</v>
      </c>
      <c r="C141" s="491">
        <v>191541</v>
      </c>
      <c r="D141" s="491">
        <f t="shared" si="5"/>
        <v>79808.75</v>
      </c>
      <c r="E141" s="491">
        <v>75648</v>
      </c>
      <c r="F141" s="491">
        <v>115893</v>
      </c>
      <c r="G141" s="490"/>
      <c r="H141" s="490">
        <v>39.49</v>
      </c>
      <c r="I141" s="491">
        <v>75394</v>
      </c>
      <c r="K141" s="278">
        <f t="shared" si="4"/>
        <v>75648</v>
      </c>
    </row>
    <row r="142" spans="1:11" x14ac:dyDescent="0.3">
      <c r="A142" s="490">
        <v>1342400930</v>
      </c>
      <c r="B142" s="490" t="s">
        <v>147</v>
      </c>
      <c r="C142" s="491">
        <v>204351</v>
      </c>
      <c r="D142" s="491">
        <f t="shared" si="5"/>
        <v>85146.25</v>
      </c>
      <c r="E142" s="491">
        <v>122779</v>
      </c>
      <c r="F142" s="491">
        <v>81572</v>
      </c>
      <c r="G142" s="490"/>
      <c r="H142" s="490">
        <v>60.08</v>
      </c>
      <c r="I142" s="491">
        <v>354214</v>
      </c>
      <c r="K142" s="278">
        <f t="shared" si="4"/>
        <v>122779</v>
      </c>
    </row>
    <row r="143" spans="1:11" x14ac:dyDescent="0.3">
      <c r="A143" s="490">
        <v>1342400931</v>
      </c>
      <c r="B143" s="490" t="s">
        <v>148</v>
      </c>
      <c r="C143" s="491">
        <v>40500</v>
      </c>
      <c r="D143" s="491">
        <f t="shared" si="5"/>
        <v>16875</v>
      </c>
      <c r="E143" s="490"/>
      <c r="F143" s="491">
        <v>40500</v>
      </c>
      <c r="G143" s="490"/>
      <c r="H143" s="490"/>
      <c r="I143" s="491">
        <v>119355</v>
      </c>
      <c r="K143" s="278">
        <f t="shared" si="4"/>
        <v>0</v>
      </c>
    </row>
    <row r="144" spans="1:11" x14ac:dyDescent="0.3">
      <c r="A144" s="490">
        <v>1343500930</v>
      </c>
      <c r="B144" s="490" t="s">
        <v>149</v>
      </c>
      <c r="C144" s="491">
        <v>534600</v>
      </c>
      <c r="D144" s="491">
        <f t="shared" si="5"/>
        <v>222750</v>
      </c>
      <c r="E144" s="491">
        <v>195674</v>
      </c>
      <c r="F144" s="491">
        <v>338926</v>
      </c>
      <c r="G144" s="490"/>
      <c r="H144" s="490">
        <v>36.6</v>
      </c>
      <c r="I144" s="491">
        <v>666473</v>
      </c>
      <c r="K144" s="278">
        <f t="shared" si="4"/>
        <v>195674</v>
      </c>
    </row>
    <row r="145" spans="1:11" x14ac:dyDescent="0.3">
      <c r="A145" s="490">
        <v>1343500931</v>
      </c>
      <c r="B145" s="490" t="s">
        <v>150</v>
      </c>
      <c r="C145" s="491">
        <v>57000</v>
      </c>
      <c r="D145" s="491">
        <f t="shared" si="5"/>
        <v>23750</v>
      </c>
      <c r="E145" s="490"/>
      <c r="F145" s="491">
        <v>57000</v>
      </c>
      <c r="G145" s="490"/>
      <c r="H145" s="490"/>
      <c r="I145" s="491">
        <v>56539</v>
      </c>
      <c r="K145" s="278">
        <f t="shared" si="4"/>
        <v>0</v>
      </c>
    </row>
    <row r="146" spans="1:11" x14ac:dyDescent="0.3">
      <c r="A146" s="490">
        <v>1343500932</v>
      </c>
      <c r="B146" s="490" t="s">
        <v>151</v>
      </c>
      <c r="C146" s="491">
        <v>262500</v>
      </c>
      <c r="D146" s="491">
        <f t="shared" si="5"/>
        <v>109375</v>
      </c>
      <c r="E146" s="491">
        <v>95841</v>
      </c>
      <c r="F146" s="491">
        <v>166659</v>
      </c>
      <c r="G146" s="490"/>
      <c r="H146" s="490">
        <v>36.51</v>
      </c>
      <c r="I146" s="491">
        <v>291721</v>
      </c>
      <c r="K146" s="278">
        <f t="shared" si="4"/>
        <v>95841</v>
      </c>
    </row>
    <row r="147" spans="1:11" x14ac:dyDescent="0.3">
      <c r="A147" s="490">
        <v>1343500933</v>
      </c>
      <c r="B147" s="490" t="s">
        <v>152</v>
      </c>
      <c r="C147" s="491">
        <v>70000</v>
      </c>
      <c r="D147" s="491">
        <f t="shared" si="5"/>
        <v>29166.666666666664</v>
      </c>
      <c r="E147" s="491">
        <v>20982</v>
      </c>
      <c r="F147" s="491">
        <v>49018</v>
      </c>
      <c r="G147" s="490"/>
      <c r="H147" s="490">
        <v>29.97</v>
      </c>
      <c r="I147" s="491">
        <v>50624</v>
      </c>
      <c r="K147" s="278">
        <f t="shared" si="4"/>
        <v>20982</v>
      </c>
    </row>
    <row r="148" spans="1:11" x14ac:dyDescent="0.3">
      <c r="A148" s="490">
        <v>1343500934</v>
      </c>
      <c r="B148" s="490" t="s">
        <v>153</v>
      </c>
      <c r="C148" s="491">
        <v>55629.75</v>
      </c>
      <c r="D148" s="491">
        <f t="shared" si="5"/>
        <v>23179.0625</v>
      </c>
      <c r="E148" s="491">
        <v>30077</v>
      </c>
      <c r="F148" s="491">
        <v>25552.75</v>
      </c>
      <c r="G148" s="490"/>
      <c r="H148" s="490">
        <v>54.07</v>
      </c>
      <c r="I148" s="491">
        <v>52461</v>
      </c>
      <c r="K148" s="278">
        <f t="shared" si="4"/>
        <v>30077</v>
      </c>
    </row>
    <row r="149" spans="1:11" x14ac:dyDescent="0.3">
      <c r="A149" s="490">
        <v>1343500935</v>
      </c>
      <c r="B149" s="490" t="s">
        <v>545</v>
      </c>
      <c r="C149" s="491">
        <v>56538</v>
      </c>
      <c r="D149" s="491">
        <f t="shared" si="5"/>
        <v>23557.5</v>
      </c>
      <c r="E149" s="491">
        <v>35951</v>
      </c>
      <c r="F149" s="491">
        <v>20587</v>
      </c>
      <c r="G149" s="490"/>
      <c r="H149" s="490">
        <v>63.59</v>
      </c>
      <c r="I149" s="490"/>
      <c r="K149" s="278">
        <f t="shared" si="4"/>
        <v>35951</v>
      </c>
    </row>
    <row r="150" spans="1:11" x14ac:dyDescent="0.3">
      <c r="A150" s="490">
        <v>1343800220</v>
      </c>
      <c r="B150" s="490" t="s">
        <v>155</v>
      </c>
      <c r="C150" s="491">
        <v>55000</v>
      </c>
      <c r="D150" s="491">
        <f t="shared" si="5"/>
        <v>22916.666666666664</v>
      </c>
      <c r="E150" s="490"/>
      <c r="F150" s="491">
        <v>55000</v>
      </c>
      <c r="G150" s="490"/>
      <c r="H150" s="490"/>
      <c r="I150" s="491">
        <v>40913</v>
      </c>
      <c r="J150">
        <v>42000</v>
      </c>
      <c r="K150" s="278">
        <f t="shared" si="4"/>
        <v>42000</v>
      </c>
    </row>
    <row r="151" spans="1:11" x14ac:dyDescent="0.3">
      <c r="A151" s="490">
        <v>1343800930</v>
      </c>
      <c r="B151" s="490" t="s">
        <v>156</v>
      </c>
      <c r="C151" s="491">
        <v>2925000</v>
      </c>
      <c r="D151" s="491">
        <f t="shared" si="5"/>
        <v>1218750</v>
      </c>
      <c r="E151" s="491">
        <v>668181</v>
      </c>
      <c r="F151" s="491">
        <v>2256819</v>
      </c>
      <c r="G151" s="490"/>
      <c r="H151" s="490">
        <v>22.84</v>
      </c>
      <c r="I151" s="491">
        <v>2245281</v>
      </c>
      <c r="J151" s="492">
        <v>300000</v>
      </c>
      <c r="K151" s="278">
        <f t="shared" si="4"/>
        <v>968181</v>
      </c>
    </row>
    <row r="152" spans="1:11" x14ac:dyDescent="0.3">
      <c r="A152" s="490">
        <v>1343900930</v>
      </c>
      <c r="B152" s="490" t="s">
        <v>158</v>
      </c>
      <c r="C152" s="491">
        <v>1050000</v>
      </c>
      <c r="D152" s="491">
        <f t="shared" si="5"/>
        <v>437500</v>
      </c>
      <c r="E152" s="491">
        <v>348598</v>
      </c>
      <c r="F152" s="491">
        <v>701402</v>
      </c>
      <c r="G152" s="490"/>
      <c r="H152" s="490">
        <v>33.200000000000003</v>
      </c>
      <c r="I152" s="491">
        <v>1209674</v>
      </c>
      <c r="J152" s="492">
        <v>100000</v>
      </c>
      <c r="K152" s="278">
        <f t="shared" si="4"/>
        <v>448598</v>
      </c>
    </row>
    <row r="153" spans="1:11" x14ac:dyDescent="0.3">
      <c r="A153" s="490">
        <v>1344300220</v>
      </c>
      <c r="B153" s="490" t="s">
        <v>159</v>
      </c>
      <c r="C153" s="491">
        <v>20000</v>
      </c>
      <c r="D153" s="491">
        <f t="shared" si="5"/>
        <v>8333.3333333333339</v>
      </c>
      <c r="E153" s="491">
        <v>7696</v>
      </c>
      <c r="F153" s="491">
        <v>12304</v>
      </c>
      <c r="G153" s="490"/>
      <c r="H153" s="490">
        <v>38.479999999999997</v>
      </c>
      <c r="I153" s="491">
        <v>17126.080000000002</v>
      </c>
      <c r="K153" s="278">
        <f t="shared" si="4"/>
        <v>7696</v>
      </c>
    </row>
    <row r="154" spans="1:11" x14ac:dyDescent="0.3">
      <c r="A154" s="490">
        <v>1344300930</v>
      </c>
      <c r="B154" s="490" t="s">
        <v>159</v>
      </c>
      <c r="C154" s="491">
        <v>675000</v>
      </c>
      <c r="D154" s="491">
        <f t="shared" si="5"/>
        <v>281250</v>
      </c>
      <c r="E154" s="490"/>
      <c r="F154" s="491">
        <v>675000</v>
      </c>
      <c r="G154" s="490"/>
      <c r="H154" s="490"/>
      <c r="I154" s="491">
        <v>564816</v>
      </c>
      <c r="K154" s="278">
        <f t="shared" si="4"/>
        <v>0</v>
      </c>
    </row>
    <row r="155" spans="1:11" x14ac:dyDescent="0.3">
      <c r="A155" s="490">
        <v>1344400220</v>
      </c>
      <c r="B155" s="490" t="s">
        <v>160</v>
      </c>
      <c r="C155" s="491">
        <v>25000</v>
      </c>
      <c r="D155" s="491">
        <f t="shared" si="5"/>
        <v>10416.666666666668</v>
      </c>
      <c r="E155" s="491">
        <v>3700</v>
      </c>
      <c r="F155" s="491">
        <v>21300</v>
      </c>
      <c r="G155" s="490"/>
      <c r="H155" s="490">
        <v>14.8</v>
      </c>
      <c r="I155" s="491">
        <v>8062.9</v>
      </c>
      <c r="K155" s="278">
        <f t="shared" si="4"/>
        <v>3700</v>
      </c>
    </row>
    <row r="156" spans="1:11" x14ac:dyDescent="0.3">
      <c r="A156" s="490">
        <v>1344400931</v>
      </c>
      <c r="B156" s="490" t="s">
        <v>160</v>
      </c>
      <c r="C156" s="491">
        <v>225000</v>
      </c>
      <c r="D156" s="491">
        <f t="shared" si="5"/>
        <v>93750</v>
      </c>
      <c r="E156" s="491">
        <v>14626</v>
      </c>
      <c r="F156" s="491">
        <v>210374</v>
      </c>
      <c r="G156" s="490"/>
      <c r="H156" s="490">
        <v>6.5</v>
      </c>
      <c r="I156" s="491">
        <v>175927</v>
      </c>
      <c r="K156" s="278">
        <f t="shared" si="4"/>
        <v>14626</v>
      </c>
    </row>
    <row r="157" spans="1:11" x14ac:dyDescent="0.3">
      <c r="A157" s="490">
        <v>1344400933</v>
      </c>
      <c r="B157" s="490" t="s">
        <v>161</v>
      </c>
      <c r="C157" s="491">
        <v>32000</v>
      </c>
      <c r="D157" s="491">
        <f t="shared" si="5"/>
        <v>13333.333333333332</v>
      </c>
      <c r="E157" s="491">
        <v>-2000</v>
      </c>
      <c r="F157" s="491">
        <v>34000</v>
      </c>
      <c r="G157" s="490"/>
      <c r="H157" s="490">
        <v>-6.25</v>
      </c>
      <c r="I157" s="491">
        <v>24568</v>
      </c>
      <c r="K157" s="278">
        <f t="shared" si="4"/>
        <v>-2000</v>
      </c>
    </row>
    <row r="158" spans="1:11" x14ac:dyDescent="0.3">
      <c r="A158" s="490">
        <v>1344400934</v>
      </c>
      <c r="B158" s="490" t="s">
        <v>162</v>
      </c>
      <c r="C158" s="491">
        <v>67500</v>
      </c>
      <c r="D158" s="491">
        <f t="shared" si="5"/>
        <v>28125</v>
      </c>
      <c r="E158" s="490"/>
      <c r="F158" s="491">
        <v>67500</v>
      </c>
      <c r="G158" s="490"/>
      <c r="H158" s="490"/>
      <c r="I158" s="490"/>
      <c r="K158" s="278">
        <f t="shared" si="4"/>
        <v>0</v>
      </c>
    </row>
    <row r="159" spans="1:11" x14ac:dyDescent="0.3">
      <c r="A159" s="490">
        <v>1344400935</v>
      </c>
      <c r="B159" s="490" t="s">
        <v>163</v>
      </c>
      <c r="C159" s="491">
        <v>18000</v>
      </c>
      <c r="D159" s="491">
        <f t="shared" si="5"/>
        <v>7500</v>
      </c>
      <c r="E159" s="490"/>
      <c r="F159" s="491">
        <v>18000</v>
      </c>
      <c r="G159" s="490"/>
      <c r="H159" s="490"/>
      <c r="I159" s="491">
        <v>3361</v>
      </c>
      <c r="K159" s="278">
        <f t="shared" si="4"/>
        <v>0</v>
      </c>
    </row>
    <row r="160" spans="1:11" x14ac:dyDescent="0.3">
      <c r="A160" s="490">
        <v>1344400936</v>
      </c>
      <c r="B160" s="490" t="s">
        <v>164</v>
      </c>
      <c r="C160" s="491">
        <v>31500</v>
      </c>
      <c r="D160" s="491">
        <f t="shared" si="5"/>
        <v>13125</v>
      </c>
      <c r="E160" s="490"/>
      <c r="F160" s="491">
        <v>31500</v>
      </c>
      <c r="G160" s="490"/>
      <c r="H160" s="490"/>
      <c r="I160" s="490"/>
      <c r="K160" s="278">
        <f t="shared" si="4"/>
        <v>0</v>
      </c>
    </row>
    <row r="161" spans="1:11" x14ac:dyDescent="0.3">
      <c r="A161" s="490">
        <v>1344400937</v>
      </c>
      <c r="B161" s="490" t="s">
        <v>165</v>
      </c>
      <c r="C161" s="491">
        <v>40000</v>
      </c>
      <c r="D161" s="491">
        <f t="shared" si="5"/>
        <v>16666.666666666668</v>
      </c>
      <c r="E161" s="490"/>
      <c r="F161" s="491">
        <v>40000</v>
      </c>
      <c r="G161" s="490"/>
      <c r="H161" s="490"/>
      <c r="I161" s="490"/>
      <c r="K161" s="278">
        <f t="shared" si="4"/>
        <v>0</v>
      </c>
    </row>
    <row r="162" spans="1:11" x14ac:dyDescent="0.3">
      <c r="A162" s="490">
        <v>1344500220</v>
      </c>
      <c r="B162" s="490" t="s">
        <v>167</v>
      </c>
      <c r="C162" s="491">
        <v>35000</v>
      </c>
      <c r="D162" s="491">
        <f t="shared" si="5"/>
        <v>14583.333333333332</v>
      </c>
      <c r="E162" s="491">
        <v>44954</v>
      </c>
      <c r="F162" s="490"/>
      <c r="G162" s="491">
        <v>9954</v>
      </c>
      <c r="H162" s="490">
        <v>128.44</v>
      </c>
      <c r="I162" s="491">
        <v>36752</v>
      </c>
      <c r="K162" s="278">
        <f t="shared" si="4"/>
        <v>44954</v>
      </c>
    </row>
    <row r="163" spans="1:11" x14ac:dyDescent="0.3">
      <c r="A163" s="490">
        <v>1344500930</v>
      </c>
      <c r="B163" s="490" t="s">
        <v>168</v>
      </c>
      <c r="C163" s="491">
        <v>202500</v>
      </c>
      <c r="D163" s="491">
        <f t="shared" si="5"/>
        <v>84375</v>
      </c>
      <c r="E163" s="491">
        <v>248499</v>
      </c>
      <c r="F163" s="490"/>
      <c r="G163" s="491">
        <v>45999</v>
      </c>
      <c r="H163" s="490">
        <v>122.72</v>
      </c>
      <c r="I163" s="491">
        <v>178279</v>
      </c>
      <c r="K163" s="278">
        <f t="shared" si="4"/>
        <v>248499</v>
      </c>
    </row>
    <row r="164" spans="1:11" x14ac:dyDescent="0.3">
      <c r="A164" s="490">
        <v>1344600220</v>
      </c>
      <c r="B164" s="490" t="s">
        <v>169</v>
      </c>
      <c r="C164" s="491">
        <v>40000</v>
      </c>
      <c r="D164" s="491">
        <f t="shared" si="5"/>
        <v>16666.666666666668</v>
      </c>
      <c r="E164" s="491">
        <v>13985</v>
      </c>
      <c r="F164" s="491">
        <v>26015</v>
      </c>
      <c r="G164" s="490"/>
      <c r="H164" s="490">
        <v>34.96</v>
      </c>
      <c r="I164" s="491">
        <v>29269.3</v>
      </c>
      <c r="K164" s="278">
        <f t="shared" si="4"/>
        <v>13985</v>
      </c>
    </row>
    <row r="165" spans="1:11" x14ac:dyDescent="0.3">
      <c r="A165" s="490">
        <v>1345100930</v>
      </c>
      <c r="B165" s="490" t="s">
        <v>170</v>
      </c>
      <c r="C165" s="491">
        <v>4200000</v>
      </c>
      <c r="D165" s="491">
        <f t="shared" si="5"/>
        <v>1750000</v>
      </c>
      <c r="E165" s="491">
        <v>2039152</v>
      </c>
      <c r="F165" s="491">
        <v>2160848</v>
      </c>
      <c r="G165" s="490"/>
      <c r="H165" s="490">
        <v>48.55</v>
      </c>
      <c r="I165" s="491">
        <v>4911810</v>
      </c>
      <c r="K165" s="278">
        <f t="shared" si="4"/>
        <v>2039152</v>
      </c>
    </row>
    <row r="166" spans="1:11" x14ac:dyDescent="0.3">
      <c r="A166" s="490">
        <v>1345100931</v>
      </c>
      <c r="B166" s="490" t="s">
        <v>171</v>
      </c>
      <c r="C166" s="491">
        <v>243750</v>
      </c>
      <c r="D166" s="491">
        <f t="shared" si="5"/>
        <v>101562.5</v>
      </c>
      <c r="E166" s="491">
        <v>162564</v>
      </c>
      <c r="F166" s="491">
        <v>81186</v>
      </c>
      <c r="G166" s="490"/>
      <c r="H166" s="490">
        <v>66.69</v>
      </c>
      <c r="I166" s="491">
        <v>370950</v>
      </c>
      <c r="K166" s="278">
        <f t="shared" si="4"/>
        <v>162564</v>
      </c>
    </row>
    <row r="167" spans="1:11" x14ac:dyDescent="0.3">
      <c r="A167" s="490">
        <v>1345100932</v>
      </c>
      <c r="B167" s="490" t="s">
        <v>172</v>
      </c>
      <c r="C167" s="491">
        <v>7500</v>
      </c>
      <c r="D167" s="491">
        <f t="shared" si="5"/>
        <v>3125</v>
      </c>
      <c r="E167" s="490"/>
      <c r="F167" s="491">
        <v>7500</v>
      </c>
      <c r="G167" s="490"/>
      <c r="H167" s="490"/>
      <c r="I167" s="491">
        <v>7820</v>
      </c>
      <c r="K167" s="278">
        <f t="shared" si="4"/>
        <v>0</v>
      </c>
    </row>
    <row r="168" spans="1:11" x14ac:dyDescent="0.3">
      <c r="A168" s="490">
        <v>1345100933</v>
      </c>
      <c r="B168" s="490" t="s">
        <v>173</v>
      </c>
      <c r="C168" s="491">
        <v>52500</v>
      </c>
      <c r="D168" s="491">
        <f t="shared" si="5"/>
        <v>21875</v>
      </c>
      <c r="E168" s="491">
        <v>10084</v>
      </c>
      <c r="F168" s="491">
        <v>42416</v>
      </c>
      <c r="G168" s="490"/>
      <c r="H168" s="490">
        <v>19.21</v>
      </c>
      <c r="I168" s="491">
        <v>55447</v>
      </c>
      <c r="K168" s="278">
        <f t="shared" si="4"/>
        <v>10084</v>
      </c>
    </row>
    <row r="169" spans="1:11" x14ac:dyDescent="0.3">
      <c r="A169" s="490">
        <v>1345100934</v>
      </c>
      <c r="B169" s="490" t="s">
        <v>174</v>
      </c>
      <c r="C169" s="491">
        <v>50250</v>
      </c>
      <c r="D169" s="491">
        <f t="shared" si="5"/>
        <v>20937.5</v>
      </c>
      <c r="E169" s="491">
        <v>17502</v>
      </c>
      <c r="F169" s="491">
        <v>32748</v>
      </c>
      <c r="G169" s="490"/>
      <c r="H169" s="490">
        <v>34.83</v>
      </c>
      <c r="I169" s="491">
        <v>51539</v>
      </c>
      <c r="K169" s="278">
        <f t="shared" si="4"/>
        <v>17502</v>
      </c>
    </row>
    <row r="170" spans="1:11" x14ac:dyDescent="0.3">
      <c r="A170" s="490">
        <v>1345100935</v>
      </c>
      <c r="B170" s="490" t="s">
        <v>175</v>
      </c>
      <c r="C170" s="491">
        <v>67200</v>
      </c>
      <c r="D170" s="491">
        <f t="shared" si="5"/>
        <v>28000</v>
      </c>
      <c r="E170" s="490"/>
      <c r="F170" s="491">
        <v>67200</v>
      </c>
      <c r="G170" s="490"/>
      <c r="H170" s="490"/>
      <c r="I170" s="491">
        <v>20430</v>
      </c>
      <c r="K170" s="278">
        <f t="shared" si="4"/>
        <v>0</v>
      </c>
    </row>
    <row r="171" spans="1:11" x14ac:dyDescent="0.3">
      <c r="A171" s="490">
        <v>1345100936</v>
      </c>
      <c r="B171" s="490" t="s">
        <v>176</v>
      </c>
      <c r="C171" s="491">
        <v>37500</v>
      </c>
      <c r="D171" s="491">
        <f t="shared" si="5"/>
        <v>15625</v>
      </c>
      <c r="E171" s="491">
        <v>12501</v>
      </c>
      <c r="F171" s="491">
        <v>24999</v>
      </c>
      <c r="G171" s="490"/>
      <c r="H171" s="490">
        <v>33.340000000000003</v>
      </c>
      <c r="I171" s="491">
        <v>35816</v>
      </c>
      <c r="K171" s="278">
        <f t="shared" si="4"/>
        <v>12501</v>
      </c>
    </row>
    <row r="172" spans="1:11" x14ac:dyDescent="0.3">
      <c r="A172" s="490">
        <v>1345100937</v>
      </c>
      <c r="B172" s="490" t="s">
        <v>177</v>
      </c>
      <c r="C172" s="491">
        <v>1200000</v>
      </c>
      <c r="D172" s="491">
        <f t="shared" si="5"/>
        <v>500000</v>
      </c>
      <c r="E172" s="491">
        <v>541498</v>
      </c>
      <c r="F172" s="491">
        <v>658502</v>
      </c>
      <c r="G172" s="490"/>
      <c r="H172" s="490">
        <v>45.12</v>
      </c>
      <c r="I172" s="491">
        <v>1424918</v>
      </c>
      <c r="K172" s="278">
        <f t="shared" si="4"/>
        <v>541498</v>
      </c>
    </row>
    <row r="173" spans="1:11" x14ac:dyDescent="0.3">
      <c r="A173" s="490">
        <v>1345100938</v>
      </c>
      <c r="B173" s="490" t="s">
        <v>178</v>
      </c>
      <c r="C173" s="491">
        <v>3750</v>
      </c>
      <c r="D173" s="491">
        <f t="shared" si="5"/>
        <v>1562.5</v>
      </c>
      <c r="E173" s="490"/>
      <c r="F173" s="491">
        <v>3750</v>
      </c>
      <c r="G173" s="490"/>
      <c r="H173" s="490"/>
      <c r="I173" s="490"/>
      <c r="K173" s="278">
        <f t="shared" si="4"/>
        <v>0</v>
      </c>
    </row>
    <row r="174" spans="1:11" x14ac:dyDescent="0.3">
      <c r="A174" s="490">
        <v>1345200220</v>
      </c>
      <c r="B174" s="490" t="s">
        <v>179</v>
      </c>
      <c r="C174" s="491">
        <v>48000</v>
      </c>
      <c r="D174" s="491">
        <f t="shared" si="5"/>
        <v>20000</v>
      </c>
      <c r="E174" s="491">
        <v>3909.5</v>
      </c>
      <c r="F174" s="491">
        <v>44090.5</v>
      </c>
      <c r="G174" s="490"/>
      <c r="H174" s="490">
        <v>8.14</v>
      </c>
      <c r="I174" s="491">
        <v>30179.01</v>
      </c>
      <c r="K174" s="278">
        <f t="shared" si="4"/>
        <v>3909.5</v>
      </c>
    </row>
    <row r="175" spans="1:11" x14ac:dyDescent="0.3">
      <c r="A175" s="490">
        <v>1345200221</v>
      </c>
      <c r="B175" s="490" t="s">
        <v>180</v>
      </c>
      <c r="C175" s="491">
        <v>11000</v>
      </c>
      <c r="D175" s="491">
        <f t="shared" si="5"/>
        <v>4583.333333333333</v>
      </c>
      <c r="E175" s="491">
        <v>1347.98</v>
      </c>
      <c r="F175" s="491">
        <v>9652.02</v>
      </c>
      <c r="G175" s="490"/>
      <c r="H175" s="490">
        <v>12.25</v>
      </c>
      <c r="I175" s="491">
        <v>13041.38</v>
      </c>
      <c r="K175" s="278">
        <f t="shared" si="4"/>
        <v>1347.98</v>
      </c>
    </row>
    <row r="176" spans="1:11" x14ac:dyDescent="0.3">
      <c r="A176" s="490">
        <v>1345200930</v>
      </c>
      <c r="B176" s="490" t="s">
        <v>181</v>
      </c>
      <c r="C176" s="491">
        <v>699000</v>
      </c>
      <c r="D176" s="491">
        <f t="shared" si="5"/>
        <v>291250</v>
      </c>
      <c r="E176" s="491">
        <v>352080</v>
      </c>
      <c r="F176" s="491">
        <v>346920</v>
      </c>
      <c r="G176" s="490"/>
      <c r="H176" s="490">
        <v>50.37</v>
      </c>
      <c r="I176" s="491">
        <v>664278</v>
      </c>
      <c r="K176" s="278">
        <f t="shared" si="4"/>
        <v>352080</v>
      </c>
    </row>
    <row r="177" spans="1:11" x14ac:dyDescent="0.3">
      <c r="A177" s="490">
        <v>1345200933</v>
      </c>
      <c r="B177" s="490" t="s">
        <v>182</v>
      </c>
      <c r="C177" s="491">
        <v>760000</v>
      </c>
      <c r="D177" s="491">
        <f t="shared" si="5"/>
        <v>316666.66666666669</v>
      </c>
      <c r="E177" s="491">
        <v>113442</v>
      </c>
      <c r="F177" s="491">
        <v>646558</v>
      </c>
      <c r="G177" s="490"/>
      <c r="H177" s="490">
        <v>14.93</v>
      </c>
      <c r="I177" s="491">
        <v>751251</v>
      </c>
      <c r="K177" s="278">
        <f t="shared" si="4"/>
        <v>113442</v>
      </c>
    </row>
    <row r="178" spans="1:11" x14ac:dyDescent="0.3">
      <c r="A178" s="490">
        <v>1345300930</v>
      </c>
      <c r="B178" s="490" t="s">
        <v>183</v>
      </c>
      <c r="C178" s="491">
        <v>4000</v>
      </c>
      <c r="D178" s="491">
        <f t="shared" si="5"/>
        <v>1666.6666666666665</v>
      </c>
      <c r="E178" s="490"/>
      <c r="F178" s="491">
        <v>4000</v>
      </c>
      <c r="G178" s="490"/>
      <c r="H178" s="490"/>
      <c r="I178" s="491">
        <v>11669</v>
      </c>
      <c r="K178" s="278">
        <f t="shared" si="4"/>
        <v>0</v>
      </c>
    </row>
    <row r="179" spans="1:11" x14ac:dyDescent="0.3">
      <c r="A179" s="490">
        <v>1345300932</v>
      </c>
      <c r="B179" s="490" t="s">
        <v>184</v>
      </c>
      <c r="C179" s="491">
        <v>4000</v>
      </c>
      <c r="D179" s="491">
        <f t="shared" si="5"/>
        <v>1666.6666666666665</v>
      </c>
      <c r="E179" s="490"/>
      <c r="F179" s="491">
        <v>4000</v>
      </c>
      <c r="G179" s="490"/>
      <c r="H179" s="490"/>
      <c r="I179" s="491">
        <v>1400</v>
      </c>
      <c r="K179" s="278">
        <f t="shared" si="4"/>
        <v>0</v>
      </c>
    </row>
    <row r="180" spans="1:11" x14ac:dyDescent="0.3">
      <c r="A180" s="490">
        <v>1345300933</v>
      </c>
      <c r="B180" s="490" t="s">
        <v>185</v>
      </c>
      <c r="C180" s="491">
        <v>180000</v>
      </c>
      <c r="D180" s="491">
        <f t="shared" si="5"/>
        <v>75000</v>
      </c>
      <c r="E180" s="490"/>
      <c r="F180" s="491">
        <v>180000</v>
      </c>
      <c r="G180" s="490"/>
      <c r="H180" s="490"/>
      <c r="I180" s="491">
        <v>169435</v>
      </c>
      <c r="K180" s="278">
        <f t="shared" si="4"/>
        <v>0</v>
      </c>
    </row>
    <row r="181" spans="1:11" x14ac:dyDescent="0.3">
      <c r="A181" s="490">
        <v>1346300930</v>
      </c>
      <c r="B181" s="490" t="s">
        <v>186</v>
      </c>
      <c r="C181" s="491">
        <v>15000</v>
      </c>
      <c r="D181" s="491">
        <f t="shared" si="5"/>
        <v>6250</v>
      </c>
      <c r="E181" s="491">
        <v>4583</v>
      </c>
      <c r="F181" s="491">
        <v>10417</v>
      </c>
      <c r="G181" s="490"/>
      <c r="H181" s="490">
        <v>30.55</v>
      </c>
      <c r="I181" s="491">
        <v>11353</v>
      </c>
      <c r="K181" s="278">
        <f t="shared" si="4"/>
        <v>4583</v>
      </c>
    </row>
    <row r="182" spans="1:11" x14ac:dyDescent="0.3">
      <c r="A182" s="490">
        <v>1346400931</v>
      </c>
      <c r="B182" s="490" t="s">
        <v>187</v>
      </c>
      <c r="C182" s="490"/>
      <c r="D182" s="491">
        <f t="shared" si="5"/>
        <v>0</v>
      </c>
      <c r="E182" s="490"/>
      <c r="F182" s="490"/>
      <c r="G182" s="490"/>
      <c r="H182" s="490"/>
      <c r="I182" s="491">
        <v>3362</v>
      </c>
      <c r="K182" s="278">
        <f t="shared" si="4"/>
        <v>0</v>
      </c>
    </row>
    <row r="183" spans="1:11" x14ac:dyDescent="0.3">
      <c r="A183" s="490">
        <v>1346500930</v>
      </c>
      <c r="B183" s="490" t="s">
        <v>188</v>
      </c>
      <c r="C183" s="491">
        <v>105300</v>
      </c>
      <c r="D183" s="491">
        <f t="shared" si="5"/>
        <v>43875</v>
      </c>
      <c r="E183" s="490"/>
      <c r="F183" s="491">
        <v>105300</v>
      </c>
      <c r="G183" s="490"/>
      <c r="H183" s="490"/>
      <c r="I183" s="491">
        <v>65925</v>
      </c>
      <c r="K183" s="278">
        <f t="shared" si="4"/>
        <v>0</v>
      </c>
    </row>
    <row r="184" spans="1:11" x14ac:dyDescent="0.3">
      <c r="A184" s="490">
        <v>1346500932</v>
      </c>
      <c r="B184" s="490" t="s">
        <v>189</v>
      </c>
      <c r="C184" s="491">
        <v>1762500</v>
      </c>
      <c r="D184" s="491">
        <f t="shared" si="5"/>
        <v>734375</v>
      </c>
      <c r="E184" s="491">
        <v>1100892</v>
      </c>
      <c r="F184" s="491">
        <v>661608</v>
      </c>
      <c r="G184" s="490"/>
      <c r="H184" s="490">
        <v>62.46</v>
      </c>
      <c r="I184" s="491">
        <v>2140849</v>
      </c>
      <c r="K184" s="278">
        <f t="shared" si="4"/>
        <v>1100892</v>
      </c>
    </row>
    <row r="185" spans="1:11" x14ac:dyDescent="0.3">
      <c r="A185" s="490">
        <v>1346500933</v>
      </c>
      <c r="B185" s="490" t="s">
        <v>190</v>
      </c>
      <c r="C185" s="491">
        <v>337500</v>
      </c>
      <c r="D185" s="491">
        <f t="shared" si="5"/>
        <v>140625</v>
      </c>
      <c r="E185" s="491">
        <v>116707</v>
      </c>
      <c r="F185" s="491">
        <v>220793</v>
      </c>
      <c r="G185" s="490"/>
      <c r="H185" s="490">
        <v>34.58</v>
      </c>
      <c r="I185" s="491">
        <v>367108</v>
      </c>
      <c r="K185" s="278">
        <f t="shared" si="4"/>
        <v>116707</v>
      </c>
    </row>
    <row r="186" spans="1:11" x14ac:dyDescent="0.3">
      <c r="A186" s="490">
        <v>1346600220</v>
      </c>
      <c r="B186" s="490" t="s">
        <v>191</v>
      </c>
      <c r="C186" s="491">
        <v>52500</v>
      </c>
      <c r="D186" s="491">
        <f t="shared" si="5"/>
        <v>21875</v>
      </c>
      <c r="E186" s="491">
        <v>19883.32</v>
      </c>
      <c r="F186" s="491">
        <v>32616.68</v>
      </c>
      <c r="G186" s="490"/>
      <c r="H186" s="490">
        <v>37.869999999999997</v>
      </c>
      <c r="I186" s="491">
        <v>81249.740000000005</v>
      </c>
      <c r="K186" s="278">
        <f t="shared" si="4"/>
        <v>19883.32</v>
      </c>
    </row>
    <row r="187" spans="1:11" x14ac:dyDescent="0.3">
      <c r="A187" s="490">
        <v>1346600930</v>
      </c>
      <c r="B187" s="490" t="s">
        <v>192</v>
      </c>
      <c r="C187" s="491">
        <v>150000</v>
      </c>
      <c r="D187" s="491">
        <f t="shared" si="5"/>
        <v>62500</v>
      </c>
      <c r="E187" s="491">
        <v>32041</v>
      </c>
      <c r="F187" s="491">
        <v>117959</v>
      </c>
      <c r="G187" s="490"/>
      <c r="H187" s="490">
        <v>21.36</v>
      </c>
      <c r="I187" s="491">
        <v>112298</v>
      </c>
      <c r="K187" s="278">
        <f t="shared" si="4"/>
        <v>32041</v>
      </c>
    </row>
    <row r="188" spans="1:11" x14ac:dyDescent="0.3">
      <c r="A188" s="490">
        <v>1346700930</v>
      </c>
      <c r="B188" s="490" t="s">
        <v>193</v>
      </c>
      <c r="C188" s="491">
        <v>154500</v>
      </c>
      <c r="D188" s="491">
        <f t="shared" si="5"/>
        <v>64375</v>
      </c>
      <c r="E188" s="490"/>
      <c r="F188" s="491">
        <v>154500</v>
      </c>
      <c r="G188" s="490"/>
      <c r="H188" s="490"/>
      <c r="I188" s="491">
        <v>131088</v>
      </c>
      <c r="K188" s="278">
        <f t="shared" si="4"/>
        <v>0</v>
      </c>
    </row>
    <row r="189" spans="1:11" x14ac:dyDescent="0.3">
      <c r="A189" s="490">
        <v>1346700931</v>
      </c>
      <c r="B189" s="490" t="s">
        <v>194</v>
      </c>
      <c r="C189" s="491">
        <v>30000</v>
      </c>
      <c r="D189" s="491">
        <f t="shared" si="5"/>
        <v>12500</v>
      </c>
      <c r="E189" s="491">
        <v>76157</v>
      </c>
      <c r="F189" s="490"/>
      <c r="G189" s="491">
        <v>46157</v>
      </c>
      <c r="H189" s="490">
        <v>253.86</v>
      </c>
      <c r="I189" s="491">
        <v>201126</v>
      </c>
      <c r="K189" s="278">
        <f t="shared" si="4"/>
        <v>76157</v>
      </c>
    </row>
    <row r="190" spans="1:11" x14ac:dyDescent="0.3">
      <c r="A190" s="490">
        <v>1346700933</v>
      </c>
      <c r="B190" s="490" t="s">
        <v>196</v>
      </c>
      <c r="C190" s="491">
        <v>525000</v>
      </c>
      <c r="D190" s="491">
        <f t="shared" si="5"/>
        <v>218750</v>
      </c>
      <c r="E190" s="491">
        <v>372070</v>
      </c>
      <c r="F190" s="491">
        <v>152930</v>
      </c>
      <c r="G190" s="490"/>
      <c r="H190" s="490">
        <v>70.87</v>
      </c>
      <c r="I190" s="491">
        <v>817452</v>
      </c>
      <c r="K190" s="278">
        <f t="shared" si="4"/>
        <v>372070</v>
      </c>
    </row>
    <row r="191" spans="1:11" x14ac:dyDescent="0.3">
      <c r="A191" s="490">
        <v>1346700935</v>
      </c>
      <c r="B191" s="490" t="s">
        <v>197</v>
      </c>
      <c r="C191" s="491">
        <v>30000</v>
      </c>
      <c r="D191" s="491">
        <f t="shared" si="5"/>
        <v>12500</v>
      </c>
      <c r="E191" s="491">
        <v>13751</v>
      </c>
      <c r="F191" s="491">
        <v>16249</v>
      </c>
      <c r="G191" s="490"/>
      <c r="H191" s="490">
        <v>45.84</v>
      </c>
      <c r="I191" s="491">
        <v>39380</v>
      </c>
      <c r="K191" s="278">
        <f t="shared" si="4"/>
        <v>13751</v>
      </c>
    </row>
    <row r="192" spans="1:11" x14ac:dyDescent="0.3">
      <c r="A192" s="490">
        <v>1346700936</v>
      </c>
      <c r="B192" s="490" t="s">
        <v>198</v>
      </c>
      <c r="C192" s="491">
        <v>157500</v>
      </c>
      <c r="D192" s="491">
        <f t="shared" si="5"/>
        <v>65625</v>
      </c>
      <c r="E192" s="491">
        <v>3333</v>
      </c>
      <c r="F192" s="491">
        <v>154167</v>
      </c>
      <c r="G192" s="490"/>
      <c r="H192" s="490">
        <v>2.12</v>
      </c>
      <c r="I192" s="491">
        <v>16376</v>
      </c>
      <c r="K192" s="278">
        <f t="shared" si="4"/>
        <v>3333</v>
      </c>
    </row>
    <row r="193" spans="1:11" x14ac:dyDescent="0.3">
      <c r="A193" s="490">
        <v>1346700937</v>
      </c>
      <c r="B193" s="490" t="s">
        <v>199</v>
      </c>
      <c r="C193" s="491">
        <v>63750</v>
      </c>
      <c r="D193" s="491">
        <f t="shared" si="5"/>
        <v>26562.5</v>
      </c>
      <c r="E193" s="491">
        <v>60620</v>
      </c>
      <c r="F193" s="491">
        <v>3130</v>
      </c>
      <c r="G193" s="490"/>
      <c r="H193" s="490">
        <v>95.09</v>
      </c>
      <c r="I193" s="491">
        <v>83234</v>
      </c>
      <c r="K193" s="278">
        <f t="shared" si="4"/>
        <v>60620</v>
      </c>
    </row>
    <row r="194" spans="1:11" x14ac:dyDescent="0.3">
      <c r="A194" s="490">
        <v>1346700938</v>
      </c>
      <c r="B194" s="490" t="s">
        <v>200</v>
      </c>
      <c r="C194" s="491">
        <v>52710</v>
      </c>
      <c r="D194" s="491">
        <f t="shared" si="5"/>
        <v>21962.5</v>
      </c>
      <c r="E194" s="491">
        <v>32074</v>
      </c>
      <c r="F194" s="491">
        <v>20636</v>
      </c>
      <c r="G194" s="490"/>
      <c r="H194" s="490">
        <v>60.85</v>
      </c>
      <c r="I194" s="491">
        <v>86154</v>
      </c>
      <c r="K194" s="278">
        <f t="shared" si="4"/>
        <v>32074</v>
      </c>
    </row>
    <row r="195" spans="1:11" x14ac:dyDescent="0.3">
      <c r="A195" s="490">
        <v>1346800930</v>
      </c>
      <c r="B195" s="490" t="s">
        <v>201</v>
      </c>
      <c r="C195" s="491">
        <v>11250</v>
      </c>
      <c r="D195" s="491">
        <f t="shared" si="5"/>
        <v>4687.5</v>
      </c>
      <c r="E195" s="490"/>
      <c r="F195" s="491">
        <v>11250</v>
      </c>
      <c r="G195" s="490"/>
      <c r="H195" s="490"/>
      <c r="I195" s="491">
        <v>1217</v>
      </c>
      <c r="K195" s="278">
        <f t="shared" ref="K195:K258" si="6">E195+J195</f>
        <v>0</v>
      </c>
    </row>
    <row r="196" spans="1:11" x14ac:dyDescent="0.3">
      <c r="A196" s="490">
        <v>1346800931</v>
      </c>
      <c r="B196" s="490" t="s">
        <v>202</v>
      </c>
      <c r="C196" s="491">
        <v>4500</v>
      </c>
      <c r="D196" s="491">
        <f t="shared" si="5"/>
        <v>1875</v>
      </c>
      <c r="E196" s="491">
        <v>72190</v>
      </c>
      <c r="F196" s="490"/>
      <c r="G196" s="491">
        <v>67690</v>
      </c>
      <c r="H196" s="491">
        <v>1604.22</v>
      </c>
      <c r="I196" s="491">
        <v>61080</v>
      </c>
      <c r="K196" s="278">
        <f t="shared" si="6"/>
        <v>72190</v>
      </c>
    </row>
    <row r="197" spans="1:11" x14ac:dyDescent="0.3">
      <c r="A197" s="490">
        <v>1346800932</v>
      </c>
      <c r="B197" s="490" t="s">
        <v>203</v>
      </c>
      <c r="C197" s="491">
        <v>40000</v>
      </c>
      <c r="D197" s="491">
        <f t="shared" si="5"/>
        <v>16666.666666666668</v>
      </c>
      <c r="E197" s="490"/>
      <c r="F197" s="491">
        <v>40000</v>
      </c>
      <c r="G197" s="490"/>
      <c r="H197" s="490"/>
      <c r="I197" s="491">
        <v>32266</v>
      </c>
      <c r="K197" s="278">
        <f t="shared" si="6"/>
        <v>0</v>
      </c>
    </row>
    <row r="198" spans="1:11" x14ac:dyDescent="0.3">
      <c r="A198" s="490">
        <v>1346800933</v>
      </c>
      <c r="B198" s="490" t="s">
        <v>204</v>
      </c>
      <c r="C198" s="491">
        <v>3750</v>
      </c>
      <c r="D198" s="491">
        <f t="shared" ref="D198:D261" si="7">C198/12*5</f>
        <v>1562.5</v>
      </c>
      <c r="E198" s="490"/>
      <c r="F198" s="491">
        <v>3750</v>
      </c>
      <c r="G198" s="490"/>
      <c r="H198" s="490"/>
      <c r="I198" s="490"/>
      <c r="K198" s="278">
        <f t="shared" si="6"/>
        <v>0</v>
      </c>
    </row>
    <row r="199" spans="1:11" x14ac:dyDescent="0.3">
      <c r="A199" s="490">
        <v>1347100931</v>
      </c>
      <c r="B199" s="490" t="s">
        <v>205</v>
      </c>
      <c r="C199" s="491">
        <v>15000</v>
      </c>
      <c r="D199" s="491">
        <f t="shared" si="7"/>
        <v>6250</v>
      </c>
      <c r="E199" s="490"/>
      <c r="F199" s="491">
        <v>15000</v>
      </c>
      <c r="G199" s="490"/>
      <c r="H199" s="490"/>
      <c r="I199" s="490"/>
      <c r="K199" s="278">
        <f t="shared" si="6"/>
        <v>0</v>
      </c>
    </row>
    <row r="200" spans="1:11" x14ac:dyDescent="0.3">
      <c r="A200" s="490">
        <v>1347100932</v>
      </c>
      <c r="B200" s="490" t="s">
        <v>206</v>
      </c>
      <c r="C200" s="491">
        <v>9477.75</v>
      </c>
      <c r="D200" s="491">
        <f t="shared" si="7"/>
        <v>3949.0625</v>
      </c>
      <c r="E200" s="491">
        <v>3751</v>
      </c>
      <c r="F200" s="491">
        <v>5726.75</v>
      </c>
      <c r="G200" s="490"/>
      <c r="H200" s="490">
        <v>39.58</v>
      </c>
      <c r="I200" s="491">
        <v>17443</v>
      </c>
      <c r="K200" s="278">
        <f t="shared" si="6"/>
        <v>3751</v>
      </c>
    </row>
    <row r="201" spans="1:11" x14ac:dyDescent="0.3">
      <c r="A201" s="490">
        <v>1347100935</v>
      </c>
      <c r="B201" s="490" t="s">
        <v>207</v>
      </c>
      <c r="C201" s="491">
        <v>15000</v>
      </c>
      <c r="D201" s="491">
        <f t="shared" si="7"/>
        <v>6250</v>
      </c>
      <c r="E201" s="491">
        <v>-1806</v>
      </c>
      <c r="F201" s="491">
        <v>16806</v>
      </c>
      <c r="G201" s="490"/>
      <c r="H201" s="490">
        <v>-12.04</v>
      </c>
      <c r="I201" s="491">
        <v>25726</v>
      </c>
      <c r="K201" s="278">
        <f t="shared" si="6"/>
        <v>-1806</v>
      </c>
    </row>
    <row r="202" spans="1:11" x14ac:dyDescent="0.3">
      <c r="A202" s="490">
        <v>1347100936</v>
      </c>
      <c r="B202" s="490" t="s">
        <v>208</v>
      </c>
      <c r="C202" s="491">
        <v>204000</v>
      </c>
      <c r="D202" s="491">
        <f t="shared" si="7"/>
        <v>85000</v>
      </c>
      <c r="E202" s="491">
        <v>74828</v>
      </c>
      <c r="F202" s="491">
        <v>129172</v>
      </c>
      <c r="G202" s="490"/>
      <c r="H202" s="490">
        <v>36.68</v>
      </c>
      <c r="I202" s="491">
        <v>220908</v>
      </c>
      <c r="K202" s="278">
        <f t="shared" si="6"/>
        <v>74828</v>
      </c>
    </row>
    <row r="203" spans="1:11" x14ac:dyDescent="0.3">
      <c r="A203" s="490">
        <v>1347100937</v>
      </c>
      <c r="B203" s="490" t="s">
        <v>209</v>
      </c>
      <c r="C203" s="491">
        <v>30750</v>
      </c>
      <c r="D203" s="491">
        <f t="shared" si="7"/>
        <v>12812.5</v>
      </c>
      <c r="E203" s="490"/>
      <c r="F203" s="491">
        <v>30750</v>
      </c>
      <c r="G203" s="490"/>
      <c r="H203" s="490"/>
      <c r="I203" s="490"/>
      <c r="K203" s="278">
        <f t="shared" si="6"/>
        <v>0</v>
      </c>
    </row>
    <row r="204" spans="1:11" x14ac:dyDescent="0.3">
      <c r="A204" s="490">
        <v>1347300930</v>
      </c>
      <c r="B204" s="490" t="s">
        <v>210</v>
      </c>
      <c r="C204" s="491">
        <v>2250</v>
      </c>
      <c r="D204" s="491">
        <f t="shared" si="7"/>
        <v>937.5</v>
      </c>
      <c r="E204" s="490"/>
      <c r="F204" s="491">
        <v>2250</v>
      </c>
      <c r="G204" s="490"/>
      <c r="H204" s="490"/>
      <c r="I204" s="490"/>
      <c r="K204" s="278">
        <f t="shared" si="6"/>
        <v>0</v>
      </c>
    </row>
    <row r="205" spans="1:11" x14ac:dyDescent="0.3">
      <c r="A205" s="490">
        <v>1347300931</v>
      </c>
      <c r="B205" s="490" t="s">
        <v>211</v>
      </c>
      <c r="C205" s="491">
        <v>180000</v>
      </c>
      <c r="D205" s="491">
        <f t="shared" si="7"/>
        <v>75000</v>
      </c>
      <c r="E205" s="490"/>
      <c r="F205" s="491">
        <v>180000</v>
      </c>
      <c r="G205" s="490"/>
      <c r="H205" s="490"/>
      <c r="I205" s="491">
        <v>99715</v>
      </c>
      <c r="K205" s="278">
        <f t="shared" si="6"/>
        <v>0</v>
      </c>
    </row>
    <row r="206" spans="1:11" x14ac:dyDescent="0.3">
      <c r="A206" s="490">
        <v>1348200220</v>
      </c>
      <c r="B206" s="490" t="s">
        <v>3526</v>
      </c>
      <c r="C206" s="490"/>
      <c r="D206" s="491">
        <f t="shared" si="7"/>
        <v>0</v>
      </c>
      <c r="E206" s="491">
        <v>1425</v>
      </c>
      <c r="F206" s="490"/>
      <c r="G206" s="491">
        <v>1425</v>
      </c>
      <c r="H206" s="490"/>
      <c r="I206" s="490"/>
      <c r="K206" s="278">
        <f t="shared" si="6"/>
        <v>1425</v>
      </c>
    </row>
    <row r="207" spans="1:11" x14ac:dyDescent="0.3">
      <c r="A207" s="490">
        <v>1348200930</v>
      </c>
      <c r="B207" s="490" t="s">
        <v>213</v>
      </c>
      <c r="C207" s="490"/>
      <c r="D207" s="491">
        <f t="shared" si="7"/>
        <v>0</v>
      </c>
      <c r="E207" s="490"/>
      <c r="F207" s="490"/>
      <c r="G207" s="490"/>
      <c r="H207" s="490"/>
      <c r="I207" s="490">
        <v>750</v>
      </c>
      <c r="K207" s="278">
        <f t="shared" si="6"/>
        <v>0</v>
      </c>
    </row>
    <row r="208" spans="1:11" x14ac:dyDescent="0.3">
      <c r="A208" s="490">
        <v>1348500930</v>
      </c>
      <c r="B208" s="490" t="s">
        <v>214</v>
      </c>
      <c r="C208" s="491">
        <v>3000</v>
      </c>
      <c r="D208" s="491">
        <f t="shared" si="7"/>
        <v>1250</v>
      </c>
      <c r="E208" s="490"/>
      <c r="F208" s="491">
        <v>3000</v>
      </c>
      <c r="G208" s="490"/>
      <c r="H208" s="490"/>
      <c r="I208" s="490"/>
      <c r="K208" s="278">
        <f t="shared" si="6"/>
        <v>0</v>
      </c>
    </row>
    <row r="209" spans="1:11" x14ac:dyDescent="0.3">
      <c r="A209" s="490">
        <v>1349000220</v>
      </c>
      <c r="B209" s="490" t="s">
        <v>3527</v>
      </c>
      <c r="C209" s="490"/>
      <c r="D209" s="491">
        <f t="shared" si="7"/>
        <v>0</v>
      </c>
      <c r="E209" s="491">
        <v>17888</v>
      </c>
      <c r="F209" s="490"/>
      <c r="G209" s="491">
        <v>17888</v>
      </c>
      <c r="H209" s="490"/>
      <c r="I209" s="490"/>
      <c r="K209" s="278">
        <f t="shared" si="6"/>
        <v>17888</v>
      </c>
    </row>
    <row r="210" spans="1:11" x14ac:dyDescent="0.3">
      <c r="A210" s="490">
        <v>1349000933</v>
      </c>
      <c r="B210" s="490" t="s">
        <v>215</v>
      </c>
      <c r="C210" s="491">
        <v>7500</v>
      </c>
      <c r="D210" s="491">
        <f t="shared" si="7"/>
        <v>3125</v>
      </c>
      <c r="E210" s="490"/>
      <c r="F210" s="491">
        <v>7500</v>
      </c>
      <c r="G210" s="490"/>
      <c r="H210" s="490"/>
      <c r="I210" s="491">
        <v>5175</v>
      </c>
      <c r="K210" s="278">
        <f t="shared" si="6"/>
        <v>0</v>
      </c>
    </row>
    <row r="211" spans="1:11" x14ac:dyDescent="0.3">
      <c r="A211" s="490">
        <v>1349000935</v>
      </c>
      <c r="B211" s="490" t="s">
        <v>217</v>
      </c>
      <c r="C211" s="490"/>
      <c r="D211" s="491">
        <f t="shared" si="7"/>
        <v>0</v>
      </c>
      <c r="E211" s="490"/>
      <c r="F211" s="490"/>
      <c r="G211" s="490"/>
      <c r="H211" s="490"/>
      <c r="I211" s="491">
        <v>49450</v>
      </c>
      <c r="K211" s="278">
        <f t="shared" si="6"/>
        <v>0</v>
      </c>
    </row>
    <row r="212" spans="1:11" x14ac:dyDescent="0.3">
      <c r="A212" s="490">
        <v>1349000936</v>
      </c>
      <c r="B212" s="490" t="s">
        <v>741</v>
      </c>
      <c r="C212" s="490"/>
      <c r="D212" s="491">
        <f t="shared" si="7"/>
        <v>0</v>
      </c>
      <c r="E212" s="491">
        <v>108158</v>
      </c>
      <c r="F212" s="490"/>
      <c r="G212" s="491">
        <v>108158</v>
      </c>
      <c r="H212" s="490"/>
      <c r="I212" s="491">
        <v>278724</v>
      </c>
      <c r="K212" s="278">
        <f t="shared" si="6"/>
        <v>108158</v>
      </c>
    </row>
    <row r="213" spans="1:11" x14ac:dyDescent="0.3">
      <c r="A213" s="490">
        <v>1349000937</v>
      </c>
      <c r="B213" s="490" t="s">
        <v>218</v>
      </c>
      <c r="C213" s="491">
        <v>3750</v>
      </c>
      <c r="D213" s="491">
        <f t="shared" si="7"/>
        <v>1562.5</v>
      </c>
      <c r="E213" s="490"/>
      <c r="F213" s="491">
        <v>3750</v>
      </c>
      <c r="G213" s="490"/>
      <c r="H213" s="490"/>
      <c r="I213" s="490"/>
      <c r="K213" s="278">
        <f t="shared" si="6"/>
        <v>0</v>
      </c>
    </row>
    <row r="214" spans="1:11" x14ac:dyDescent="0.3">
      <c r="A214" s="490">
        <v>1349200930</v>
      </c>
      <c r="B214" s="490" t="s">
        <v>219</v>
      </c>
      <c r="C214" s="491">
        <v>24750</v>
      </c>
      <c r="D214" s="491">
        <f t="shared" si="7"/>
        <v>10312.5</v>
      </c>
      <c r="E214" s="490"/>
      <c r="F214" s="491">
        <v>24750</v>
      </c>
      <c r="G214" s="490"/>
      <c r="H214" s="490"/>
      <c r="I214" s="490"/>
      <c r="K214" s="278">
        <f t="shared" si="6"/>
        <v>0</v>
      </c>
    </row>
    <row r="215" spans="1:11" x14ac:dyDescent="0.3">
      <c r="A215" s="490">
        <v>1361000950</v>
      </c>
      <c r="B215" s="490" t="s">
        <v>220</v>
      </c>
      <c r="C215" s="491">
        <v>400000</v>
      </c>
      <c r="D215" s="491">
        <f t="shared" si="7"/>
        <v>166666.66666666669</v>
      </c>
      <c r="E215" s="490"/>
      <c r="F215" s="491">
        <v>400000</v>
      </c>
      <c r="G215" s="490"/>
      <c r="H215" s="490"/>
      <c r="I215" s="491">
        <v>125656</v>
      </c>
      <c r="K215" s="278">
        <f t="shared" si="6"/>
        <v>0</v>
      </c>
    </row>
    <row r="216" spans="1:11" x14ac:dyDescent="0.3">
      <c r="A216" s="490">
        <v>1371000220</v>
      </c>
      <c r="B216" s="490" t="s">
        <v>221</v>
      </c>
      <c r="C216" s="491">
        <v>3000</v>
      </c>
      <c r="D216" s="491">
        <f t="shared" si="7"/>
        <v>1250</v>
      </c>
      <c r="E216" s="490"/>
      <c r="F216" s="491">
        <v>3000</v>
      </c>
      <c r="G216" s="490"/>
      <c r="H216" s="490"/>
      <c r="I216" s="490">
        <v>800</v>
      </c>
      <c r="K216" s="278">
        <f t="shared" si="6"/>
        <v>0</v>
      </c>
    </row>
    <row r="217" spans="1:11" x14ac:dyDescent="0.3">
      <c r="A217" s="490">
        <v>1371000221</v>
      </c>
      <c r="B217" s="490" t="s">
        <v>222</v>
      </c>
      <c r="C217" s="491">
        <v>1000</v>
      </c>
      <c r="D217" s="491">
        <f t="shared" si="7"/>
        <v>416.66666666666663</v>
      </c>
      <c r="E217" s="490"/>
      <c r="F217" s="491">
        <v>1000</v>
      </c>
      <c r="G217" s="490"/>
      <c r="H217" s="490"/>
      <c r="I217" s="490"/>
      <c r="K217" s="278">
        <f t="shared" si="6"/>
        <v>0</v>
      </c>
    </row>
    <row r="218" spans="1:11" x14ac:dyDescent="0.3">
      <c r="A218" s="490">
        <v>1371000990</v>
      </c>
      <c r="B218" s="490" t="s">
        <v>742</v>
      </c>
      <c r="C218" s="491">
        <v>929269</v>
      </c>
      <c r="D218" s="491">
        <f t="shared" si="7"/>
        <v>387195.41666666663</v>
      </c>
      <c r="E218" s="490"/>
      <c r="F218" s="491">
        <v>929269</v>
      </c>
      <c r="G218" s="490"/>
      <c r="H218" s="490"/>
      <c r="I218" s="491">
        <v>817058</v>
      </c>
      <c r="K218" s="278">
        <f t="shared" si="6"/>
        <v>0</v>
      </c>
    </row>
    <row r="219" spans="1:11" x14ac:dyDescent="0.3">
      <c r="A219" s="490">
        <v>1371000991</v>
      </c>
      <c r="B219" s="490" t="s">
        <v>223</v>
      </c>
      <c r="C219" s="491">
        <v>354176</v>
      </c>
      <c r="D219" s="491">
        <f t="shared" si="7"/>
        <v>147573.33333333334</v>
      </c>
      <c r="E219" s="490"/>
      <c r="F219" s="491">
        <v>354176</v>
      </c>
      <c r="G219" s="490"/>
      <c r="H219" s="490"/>
      <c r="I219" s="491">
        <v>106253</v>
      </c>
      <c r="J219">
        <v>150000</v>
      </c>
      <c r="K219" s="278">
        <f t="shared" si="6"/>
        <v>150000</v>
      </c>
    </row>
    <row r="220" spans="1:11" x14ac:dyDescent="0.3">
      <c r="A220" s="490">
        <v>1413100211</v>
      </c>
      <c r="B220" s="490" t="s">
        <v>224</v>
      </c>
      <c r="C220" s="491">
        <v>20000</v>
      </c>
      <c r="D220" s="491">
        <f t="shared" si="7"/>
        <v>8333.3333333333339</v>
      </c>
      <c r="E220" s="491">
        <v>31783.05</v>
      </c>
      <c r="F220" s="490"/>
      <c r="G220" s="491">
        <v>11783.05</v>
      </c>
      <c r="H220" s="490">
        <v>158.91999999999999</v>
      </c>
      <c r="I220" s="491">
        <v>4696.32</v>
      </c>
      <c r="K220" s="278">
        <f t="shared" si="6"/>
        <v>31783.05</v>
      </c>
    </row>
    <row r="221" spans="1:11" x14ac:dyDescent="0.3">
      <c r="A221" s="490">
        <v>1413200220</v>
      </c>
      <c r="B221" s="490" t="s">
        <v>225</v>
      </c>
      <c r="C221" s="490"/>
      <c r="D221" s="491">
        <f t="shared" si="7"/>
        <v>0</v>
      </c>
      <c r="E221" s="490"/>
      <c r="F221" s="490"/>
      <c r="G221" s="490"/>
      <c r="H221" s="490"/>
      <c r="I221" s="490">
        <v>220.4</v>
      </c>
      <c r="K221" s="278">
        <f t="shared" si="6"/>
        <v>0</v>
      </c>
    </row>
    <row r="222" spans="1:11" x14ac:dyDescent="0.3">
      <c r="A222" s="490">
        <v>1432000510</v>
      </c>
      <c r="B222" s="490" t="s">
        <v>227</v>
      </c>
      <c r="C222" s="491">
        <v>1098000</v>
      </c>
      <c r="D222" s="491">
        <f t="shared" si="7"/>
        <v>457500</v>
      </c>
      <c r="E222" s="491">
        <v>200000</v>
      </c>
      <c r="F222" s="491">
        <v>898000</v>
      </c>
      <c r="G222" s="490"/>
      <c r="H222" s="490">
        <v>18.21</v>
      </c>
      <c r="I222" s="491">
        <v>875973</v>
      </c>
      <c r="J222" s="492">
        <v>258000</v>
      </c>
      <c r="K222" s="278">
        <f t="shared" si="6"/>
        <v>458000</v>
      </c>
    </row>
    <row r="223" spans="1:11" x14ac:dyDescent="0.3">
      <c r="A223" s="490">
        <v>1432000640</v>
      </c>
      <c r="B223" s="490" t="s">
        <v>228</v>
      </c>
      <c r="C223" s="491">
        <v>266000</v>
      </c>
      <c r="D223" s="491">
        <f t="shared" si="7"/>
        <v>110833.33333333334</v>
      </c>
      <c r="E223" s="491">
        <v>67697.58</v>
      </c>
      <c r="F223" s="491">
        <v>198302.42</v>
      </c>
      <c r="G223" s="490"/>
      <c r="H223" s="490">
        <v>25.45</v>
      </c>
      <c r="I223" s="491">
        <v>269773.26</v>
      </c>
      <c r="J223" s="492">
        <v>50000</v>
      </c>
      <c r="K223" s="278">
        <f t="shared" si="6"/>
        <v>117697.58</v>
      </c>
    </row>
    <row r="224" spans="1:11" x14ac:dyDescent="0.3">
      <c r="A224" s="490">
        <v>1472000212</v>
      </c>
      <c r="B224" s="490" t="s">
        <v>229</v>
      </c>
      <c r="C224" s="491">
        <v>2000</v>
      </c>
      <c r="D224" s="491">
        <f t="shared" si="7"/>
        <v>833.33333333333326</v>
      </c>
      <c r="E224" s="490">
        <v>3.65</v>
      </c>
      <c r="F224" s="491">
        <v>1996.35</v>
      </c>
      <c r="G224" s="490"/>
      <c r="H224" s="490">
        <v>0.18</v>
      </c>
      <c r="I224" s="490">
        <v>461.37</v>
      </c>
      <c r="K224" s="278">
        <f t="shared" si="6"/>
        <v>3.65</v>
      </c>
    </row>
    <row r="225" spans="1:12" x14ac:dyDescent="0.3">
      <c r="A225" s="490">
        <v>1472000590</v>
      </c>
      <c r="B225" s="490" t="s">
        <v>230</v>
      </c>
      <c r="C225" s="491">
        <v>245000</v>
      </c>
      <c r="D225" s="491">
        <f t="shared" si="7"/>
        <v>102083.33333333334</v>
      </c>
      <c r="E225" s="490"/>
      <c r="F225" s="491">
        <v>245000</v>
      </c>
      <c r="G225" s="490"/>
      <c r="H225" s="490"/>
      <c r="I225" s="491">
        <v>118201</v>
      </c>
      <c r="J225" s="490">
        <v>100000</v>
      </c>
      <c r="K225" s="278">
        <f t="shared" si="6"/>
        <v>100000</v>
      </c>
    </row>
    <row r="226" spans="1:12" x14ac:dyDescent="0.3">
      <c r="A226" s="490">
        <v>1473000591</v>
      </c>
      <c r="B226" s="490" t="s">
        <v>231</v>
      </c>
      <c r="C226" s="491">
        <v>225202</v>
      </c>
      <c r="D226" s="491">
        <f t="shared" si="7"/>
        <v>93834.166666666657</v>
      </c>
      <c r="E226" s="490"/>
      <c r="F226" s="491">
        <v>225202</v>
      </c>
      <c r="G226" s="490"/>
      <c r="H226" s="490"/>
      <c r="I226" s="491">
        <v>695412</v>
      </c>
      <c r="J226" s="490">
        <v>100000</v>
      </c>
      <c r="K226" s="278">
        <f t="shared" si="6"/>
        <v>100000</v>
      </c>
    </row>
    <row r="227" spans="1:12" x14ac:dyDescent="0.3">
      <c r="A227" s="490">
        <v>1590000590</v>
      </c>
      <c r="B227" s="490" t="s">
        <v>232</v>
      </c>
      <c r="C227" s="491">
        <v>693027.27</v>
      </c>
      <c r="D227" s="491">
        <f t="shared" si="7"/>
        <v>288761.36249999999</v>
      </c>
      <c r="E227" s="491">
        <v>181804.93</v>
      </c>
      <c r="F227" s="491">
        <v>511222.34</v>
      </c>
      <c r="G227" s="490"/>
      <c r="H227" s="490">
        <v>26.23</v>
      </c>
      <c r="I227" s="491">
        <v>591077.18000000005</v>
      </c>
      <c r="J227" s="490">
        <v>100000</v>
      </c>
      <c r="K227" s="278">
        <f t="shared" si="6"/>
        <v>281804.93</v>
      </c>
    </row>
    <row r="228" spans="1:12" x14ac:dyDescent="0.3">
      <c r="A228" s="490">
        <v>1590000730</v>
      </c>
      <c r="B228" s="490" t="s">
        <v>233</v>
      </c>
      <c r="C228" s="491">
        <v>136000</v>
      </c>
      <c r="D228" s="491">
        <f t="shared" si="7"/>
        <v>56666.666666666672</v>
      </c>
      <c r="E228" s="491">
        <v>29735.9</v>
      </c>
      <c r="F228" s="491">
        <v>106264.1</v>
      </c>
      <c r="G228" s="490"/>
      <c r="H228" s="490">
        <v>21.86</v>
      </c>
      <c r="I228" s="491">
        <v>91490.65</v>
      </c>
      <c r="J228" s="490"/>
      <c r="K228" s="278">
        <f t="shared" si="6"/>
        <v>29735.9</v>
      </c>
    </row>
    <row r="229" spans="1:12" x14ac:dyDescent="0.3">
      <c r="A229" s="490">
        <v>1599000910</v>
      </c>
      <c r="B229" s="490" t="s">
        <v>16</v>
      </c>
      <c r="C229" s="490"/>
      <c r="D229" s="491">
        <f t="shared" si="7"/>
        <v>0</v>
      </c>
      <c r="E229" s="491">
        <v>1700000</v>
      </c>
      <c r="F229" s="490"/>
      <c r="G229" s="491">
        <v>1700000</v>
      </c>
      <c r="H229" s="490"/>
      <c r="I229" s="491">
        <v>8259000</v>
      </c>
      <c r="J229" s="490"/>
      <c r="K229" s="278">
        <f t="shared" si="6"/>
        <v>1700000</v>
      </c>
    </row>
    <row r="230" spans="1:12" x14ac:dyDescent="0.3">
      <c r="A230" s="490">
        <v>1599000912</v>
      </c>
      <c r="B230" s="490" t="s">
        <v>743</v>
      </c>
      <c r="C230" s="490"/>
      <c r="D230" s="491">
        <f t="shared" si="7"/>
        <v>0</v>
      </c>
      <c r="E230" s="490"/>
      <c r="F230" s="490"/>
      <c r="G230" s="490"/>
      <c r="H230" s="490"/>
      <c r="I230" s="491">
        <v>27499999</v>
      </c>
      <c r="J230" s="490"/>
      <c r="K230" s="278">
        <f t="shared" si="6"/>
        <v>0</v>
      </c>
    </row>
    <row r="231" spans="1:12" x14ac:dyDescent="0.3">
      <c r="A231" s="490"/>
      <c r="B231" s="490" t="s">
        <v>647</v>
      </c>
      <c r="C231" s="491">
        <v>179815638.09</v>
      </c>
      <c r="D231" s="491">
        <f t="shared" si="7"/>
        <v>74923182.537499994</v>
      </c>
      <c r="E231" s="491">
        <v>70896930.390000001</v>
      </c>
      <c r="F231" s="491">
        <v>116002926.25</v>
      </c>
      <c r="G231" s="491">
        <v>7084218.5499999998</v>
      </c>
      <c r="H231" s="490">
        <v>39.43</v>
      </c>
      <c r="I231" s="491">
        <v>217638998.36000001</v>
      </c>
      <c r="J231" s="490"/>
      <c r="K231" s="278">
        <f t="shared" si="6"/>
        <v>70896930.390000001</v>
      </c>
    </row>
    <row r="232" spans="1:12" x14ac:dyDescent="0.3">
      <c r="A232" s="490">
        <v>1611000110</v>
      </c>
      <c r="B232" s="490" t="s">
        <v>234</v>
      </c>
      <c r="C232" s="491">
        <v>558080.99</v>
      </c>
      <c r="D232" s="491">
        <f t="shared" si="7"/>
        <v>232533.74583333335</v>
      </c>
      <c r="E232" s="491">
        <v>10644.02</v>
      </c>
      <c r="F232" s="491">
        <v>547436.97</v>
      </c>
      <c r="G232" s="490"/>
      <c r="H232" s="490">
        <v>1.91</v>
      </c>
      <c r="I232" s="491">
        <v>187049.46</v>
      </c>
      <c r="J232" s="490"/>
      <c r="K232" s="278">
        <f t="shared" si="6"/>
        <v>10644.02</v>
      </c>
      <c r="L232" s="171" t="s">
        <v>3537</v>
      </c>
    </row>
    <row r="233" spans="1:12" x14ac:dyDescent="0.3">
      <c r="A233" s="490">
        <v>1611000510</v>
      </c>
      <c r="B233" s="490" t="s">
        <v>235</v>
      </c>
      <c r="C233" s="491">
        <v>11000</v>
      </c>
      <c r="D233" s="491">
        <f t="shared" si="7"/>
        <v>4583.333333333333</v>
      </c>
      <c r="E233" s="490"/>
      <c r="F233" s="491">
        <v>11000</v>
      </c>
      <c r="G233" s="490"/>
      <c r="H233" s="490"/>
      <c r="I233" s="491">
        <v>13774.05</v>
      </c>
      <c r="J233" s="490"/>
      <c r="K233" s="278">
        <f t="shared" si="6"/>
        <v>0</v>
      </c>
    </row>
    <row r="234" spans="1:12" x14ac:dyDescent="0.3">
      <c r="A234" s="490">
        <v>1611000512</v>
      </c>
      <c r="B234" s="490" t="s">
        <v>236</v>
      </c>
      <c r="C234" s="491">
        <v>2000</v>
      </c>
      <c r="D234" s="491">
        <f t="shared" si="7"/>
        <v>833.33333333333326</v>
      </c>
      <c r="E234" s="490"/>
      <c r="F234" s="491">
        <v>2000</v>
      </c>
      <c r="G234" s="490"/>
      <c r="H234" s="490"/>
      <c r="I234" s="491">
        <v>3083.93</v>
      </c>
      <c r="J234" s="490"/>
      <c r="K234" s="278">
        <f t="shared" si="6"/>
        <v>0</v>
      </c>
    </row>
    <row r="235" spans="1:12" x14ac:dyDescent="0.3">
      <c r="A235" s="490">
        <v>1611000513</v>
      </c>
      <c r="B235" s="490" t="s">
        <v>237</v>
      </c>
      <c r="C235" s="491">
        <v>12000</v>
      </c>
      <c r="D235" s="491">
        <f t="shared" si="7"/>
        <v>5000</v>
      </c>
      <c r="E235" s="490"/>
      <c r="F235" s="491">
        <v>12000</v>
      </c>
      <c r="G235" s="490"/>
      <c r="H235" s="490"/>
      <c r="I235" s="490"/>
      <c r="J235" s="490"/>
      <c r="K235" s="278">
        <f t="shared" si="6"/>
        <v>0</v>
      </c>
    </row>
    <row r="236" spans="1:12" x14ac:dyDescent="0.3">
      <c r="A236" s="490">
        <v>1611000520</v>
      </c>
      <c r="B236" s="490" t="s">
        <v>238</v>
      </c>
      <c r="C236" s="491">
        <v>2000</v>
      </c>
      <c r="D236" s="491">
        <f t="shared" si="7"/>
        <v>833.33333333333326</v>
      </c>
      <c r="E236" s="490"/>
      <c r="F236" s="491">
        <v>2000</v>
      </c>
      <c r="G236" s="490"/>
      <c r="H236" s="490"/>
      <c r="I236" s="491">
        <v>2784</v>
      </c>
      <c r="J236" s="490"/>
      <c r="K236" s="278">
        <f t="shared" si="6"/>
        <v>0</v>
      </c>
    </row>
    <row r="237" spans="1:12" x14ac:dyDescent="0.3">
      <c r="A237" s="490">
        <v>1611000531</v>
      </c>
      <c r="B237" s="490" t="s">
        <v>239</v>
      </c>
      <c r="C237" s="491">
        <v>39000</v>
      </c>
      <c r="D237" s="491">
        <f t="shared" si="7"/>
        <v>16250</v>
      </c>
      <c r="E237" s="491">
        <v>3620.23</v>
      </c>
      <c r="F237" s="491">
        <v>35379.769999999997</v>
      </c>
      <c r="G237" s="490"/>
      <c r="H237" s="490">
        <v>9.2799999999999994</v>
      </c>
      <c r="I237" s="491">
        <v>21208</v>
      </c>
      <c r="J237" s="490"/>
      <c r="K237" s="278">
        <f t="shared" si="6"/>
        <v>3620.23</v>
      </c>
    </row>
    <row r="238" spans="1:12" x14ac:dyDescent="0.3">
      <c r="A238" s="490">
        <v>1611000535</v>
      </c>
      <c r="B238" s="490" t="s">
        <v>240</v>
      </c>
      <c r="C238" s="491">
        <v>60000</v>
      </c>
      <c r="D238" s="491">
        <f t="shared" si="7"/>
        <v>25000</v>
      </c>
      <c r="E238" s="491">
        <v>22009.5</v>
      </c>
      <c r="F238" s="491">
        <v>37990.5</v>
      </c>
      <c r="G238" s="490"/>
      <c r="H238" s="490">
        <v>36.68</v>
      </c>
      <c r="I238" s="491">
        <v>86439.72</v>
      </c>
      <c r="J238" s="490"/>
      <c r="K238" s="278">
        <f t="shared" si="6"/>
        <v>22009.5</v>
      </c>
    </row>
    <row r="239" spans="1:12" x14ac:dyDescent="0.3">
      <c r="A239" s="490">
        <v>1611000540</v>
      </c>
      <c r="B239" s="490" t="s">
        <v>241</v>
      </c>
      <c r="C239" s="491">
        <v>4000</v>
      </c>
      <c r="D239" s="491">
        <f t="shared" si="7"/>
        <v>1666.6666666666665</v>
      </c>
      <c r="E239" s="490"/>
      <c r="F239" s="491">
        <v>4000</v>
      </c>
      <c r="G239" s="490"/>
      <c r="H239" s="490"/>
      <c r="I239" s="491">
        <v>7800.35</v>
      </c>
      <c r="J239" s="490"/>
      <c r="K239" s="278">
        <f t="shared" si="6"/>
        <v>0</v>
      </c>
    </row>
    <row r="240" spans="1:12" x14ac:dyDescent="0.3">
      <c r="A240" s="490">
        <v>1611000780</v>
      </c>
      <c r="B240" s="490" t="s">
        <v>242</v>
      </c>
      <c r="C240" s="491">
        <v>50000</v>
      </c>
      <c r="D240" s="491">
        <f t="shared" si="7"/>
        <v>20833.333333333336</v>
      </c>
      <c r="E240" s="491">
        <v>22169.68</v>
      </c>
      <c r="F240" s="491">
        <v>27830.32</v>
      </c>
      <c r="G240" s="490"/>
      <c r="H240" s="490">
        <v>44.34</v>
      </c>
      <c r="I240" s="491">
        <v>95365.22</v>
      </c>
      <c r="J240" s="491">
        <v>20618.400000000001</v>
      </c>
      <c r="K240" s="278">
        <f t="shared" si="6"/>
        <v>42788.08</v>
      </c>
    </row>
    <row r="241" spans="1:12" x14ac:dyDescent="0.3">
      <c r="A241" s="490">
        <v>1611000980</v>
      </c>
      <c r="B241" s="490" t="s">
        <v>245</v>
      </c>
      <c r="C241" s="491">
        <v>200000</v>
      </c>
      <c r="D241" s="491">
        <f t="shared" si="7"/>
        <v>83333.333333333343</v>
      </c>
      <c r="E241" s="491">
        <v>22757.9</v>
      </c>
      <c r="F241" s="491">
        <v>177242.1</v>
      </c>
      <c r="G241" s="490"/>
      <c r="H241" s="490">
        <v>11.38</v>
      </c>
      <c r="I241" s="491">
        <v>181286.38</v>
      </c>
      <c r="J241" s="491">
        <v>34340.39</v>
      </c>
      <c r="K241" s="278">
        <f t="shared" si="6"/>
        <v>57098.29</v>
      </c>
    </row>
    <row r="242" spans="1:12" x14ac:dyDescent="0.3">
      <c r="A242" s="490">
        <v>1611100110</v>
      </c>
      <c r="B242" s="490" t="s">
        <v>246</v>
      </c>
      <c r="C242" s="491">
        <v>1376127.37</v>
      </c>
      <c r="D242" s="491">
        <f t="shared" si="7"/>
        <v>573386.40416666667</v>
      </c>
      <c r="E242" s="491">
        <v>638751.98</v>
      </c>
      <c r="F242" s="491">
        <v>737375.39</v>
      </c>
      <c r="G242" s="490"/>
      <c r="H242" s="490">
        <v>46.42</v>
      </c>
      <c r="I242" s="491">
        <v>1403126.44</v>
      </c>
      <c r="J242" s="490">
        <v>1061000</v>
      </c>
      <c r="K242" s="278">
        <f t="shared" si="6"/>
        <v>1699751.98</v>
      </c>
      <c r="L242" s="171" t="s">
        <v>3537</v>
      </c>
    </row>
    <row r="243" spans="1:12" x14ac:dyDescent="0.3">
      <c r="A243" s="490">
        <v>1612000110</v>
      </c>
      <c r="B243" s="490" t="s">
        <v>247</v>
      </c>
      <c r="C243" s="491">
        <v>660174.22</v>
      </c>
      <c r="D243" s="491">
        <f t="shared" si="7"/>
        <v>275072.59166666667</v>
      </c>
      <c r="E243" s="491">
        <v>228845.99</v>
      </c>
      <c r="F243" s="491">
        <v>431328.23</v>
      </c>
      <c r="G243" s="490"/>
      <c r="H243" s="490">
        <v>34.659999999999997</v>
      </c>
      <c r="I243" s="491">
        <v>559801.43999999994</v>
      </c>
      <c r="J243" s="490"/>
      <c r="K243" s="278">
        <f t="shared" si="6"/>
        <v>228845.99</v>
      </c>
    </row>
    <row r="244" spans="1:12" x14ac:dyDescent="0.3">
      <c r="A244" s="490">
        <v>1612000430</v>
      </c>
      <c r="B244" s="490" t="s">
        <v>248</v>
      </c>
      <c r="C244" s="491">
        <v>70020</v>
      </c>
      <c r="D244" s="491">
        <f t="shared" si="7"/>
        <v>29175</v>
      </c>
      <c r="E244" s="491">
        <v>9953.91</v>
      </c>
      <c r="F244" s="491">
        <v>60066.09</v>
      </c>
      <c r="G244" s="490"/>
      <c r="H244" s="490">
        <v>14.22</v>
      </c>
      <c r="I244" s="491">
        <v>72783.33</v>
      </c>
      <c r="J244" s="490"/>
      <c r="K244" s="278">
        <f t="shared" si="6"/>
        <v>9953.91</v>
      </c>
    </row>
    <row r="245" spans="1:12" x14ac:dyDescent="0.3">
      <c r="A245" s="490">
        <v>1612000780</v>
      </c>
      <c r="B245" s="490" t="s">
        <v>249</v>
      </c>
      <c r="C245" s="491">
        <v>75000</v>
      </c>
      <c r="D245" s="491">
        <f t="shared" si="7"/>
        <v>31250</v>
      </c>
      <c r="E245" s="491">
        <v>17311.2</v>
      </c>
      <c r="F245" s="491">
        <v>57688.800000000003</v>
      </c>
      <c r="G245" s="490"/>
      <c r="H245" s="490">
        <v>23.08</v>
      </c>
      <c r="I245" s="491">
        <v>76170.92</v>
      </c>
      <c r="J245" s="491">
        <v>10389.14</v>
      </c>
      <c r="K245" s="278">
        <f t="shared" si="6"/>
        <v>27700.34</v>
      </c>
    </row>
    <row r="246" spans="1:12" x14ac:dyDescent="0.3">
      <c r="A246" s="490">
        <v>1613000110</v>
      </c>
      <c r="B246" s="490" t="s">
        <v>250</v>
      </c>
      <c r="C246" s="491">
        <v>2076343.02</v>
      </c>
      <c r="D246" s="491">
        <f t="shared" si="7"/>
        <v>865142.92499999993</v>
      </c>
      <c r="E246" s="491">
        <v>974851.73</v>
      </c>
      <c r="F246" s="491">
        <v>1101491.29</v>
      </c>
      <c r="G246" s="490"/>
      <c r="H246" s="490">
        <v>46.95</v>
      </c>
      <c r="I246" s="491">
        <v>2635281.81</v>
      </c>
      <c r="J246" s="490"/>
      <c r="K246" s="278">
        <f t="shared" si="6"/>
        <v>974851.73</v>
      </c>
    </row>
    <row r="247" spans="1:12" x14ac:dyDescent="0.3">
      <c r="A247" s="490">
        <v>1613000420</v>
      </c>
      <c r="B247" s="490" t="s">
        <v>251</v>
      </c>
      <c r="C247" s="491">
        <v>25000</v>
      </c>
      <c r="D247" s="491">
        <f t="shared" si="7"/>
        <v>10416.666666666668</v>
      </c>
      <c r="E247" s="491">
        <v>5069.5</v>
      </c>
      <c r="F247" s="491">
        <v>19930.5</v>
      </c>
      <c r="G247" s="490"/>
      <c r="H247" s="490">
        <v>20.28</v>
      </c>
      <c r="I247" s="491">
        <v>25971.040000000001</v>
      </c>
      <c r="J247" s="491">
        <v>2220</v>
      </c>
      <c r="K247" s="278">
        <f t="shared" si="6"/>
        <v>7289.5</v>
      </c>
    </row>
    <row r="248" spans="1:12" x14ac:dyDescent="0.3">
      <c r="A248" s="490">
        <v>1613000431</v>
      </c>
      <c r="B248" s="490" t="s">
        <v>252</v>
      </c>
      <c r="C248" s="491">
        <v>252042.5</v>
      </c>
      <c r="D248" s="491">
        <f t="shared" si="7"/>
        <v>105017.70833333334</v>
      </c>
      <c r="E248" s="491">
        <v>22302.99</v>
      </c>
      <c r="F248" s="491">
        <v>229739.51</v>
      </c>
      <c r="G248" s="490"/>
      <c r="H248" s="490">
        <v>8.85</v>
      </c>
      <c r="I248" s="491">
        <v>275574.92</v>
      </c>
      <c r="J248" s="490"/>
      <c r="K248" s="278">
        <f t="shared" si="6"/>
        <v>22302.99</v>
      </c>
    </row>
    <row r="249" spans="1:12" x14ac:dyDescent="0.3">
      <c r="A249" s="490">
        <v>1613000432</v>
      </c>
      <c r="B249" s="490" t="s">
        <v>253</v>
      </c>
      <c r="C249" s="491">
        <v>38000</v>
      </c>
      <c r="D249" s="491">
        <f t="shared" si="7"/>
        <v>15833.333333333332</v>
      </c>
      <c r="E249" s="491">
        <v>14946.75</v>
      </c>
      <c r="F249" s="491">
        <v>23053.25</v>
      </c>
      <c r="G249" s="490"/>
      <c r="H249" s="490">
        <v>39.33</v>
      </c>
      <c r="I249" s="491">
        <v>59673.97</v>
      </c>
      <c r="J249" s="490"/>
      <c r="K249" s="278">
        <f t="shared" si="6"/>
        <v>14946.75</v>
      </c>
    </row>
    <row r="250" spans="1:12" x14ac:dyDescent="0.3">
      <c r="A250" s="490">
        <v>1613000433</v>
      </c>
      <c r="B250" s="490" t="s">
        <v>254</v>
      </c>
      <c r="C250" s="491">
        <v>11000</v>
      </c>
      <c r="D250" s="491">
        <f t="shared" si="7"/>
        <v>4583.333333333333</v>
      </c>
      <c r="E250" s="490"/>
      <c r="F250" s="491">
        <v>11000</v>
      </c>
      <c r="G250" s="490"/>
      <c r="H250" s="490"/>
      <c r="I250" s="490"/>
      <c r="J250" s="490"/>
      <c r="K250" s="278">
        <f t="shared" si="6"/>
        <v>0</v>
      </c>
    </row>
    <row r="251" spans="1:12" x14ac:dyDescent="0.3">
      <c r="A251" s="490">
        <v>1613000435</v>
      </c>
      <c r="B251" s="490" t="s">
        <v>255</v>
      </c>
      <c r="C251" s="491">
        <v>19000</v>
      </c>
      <c r="D251" s="491">
        <f t="shared" si="7"/>
        <v>7916.6666666666661</v>
      </c>
      <c r="E251" s="491">
        <v>5883.89</v>
      </c>
      <c r="F251" s="491">
        <v>13116.11</v>
      </c>
      <c r="G251" s="490"/>
      <c r="H251" s="490">
        <v>30.97</v>
      </c>
      <c r="I251" s="491">
        <v>11004.1</v>
      </c>
      <c r="J251" s="490"/>
      <c r="K251" s="278">
        <f t="shared" si="6"/>
        <v>5883.89</v>
      </c>
    </row>
    <row r="252" spans="1:12" x14ac:dyDescent="0.3">
      <c r="A252" s="490">
        <v>1613000470</v>
      </c>
      <c r="B252" s="490" t="s">
        <v>256</v>
      </c>
      <c r="C252" s="491">
        <v>53200</v>
      </c>
      <c r="D252" s="491">
        <f t="shared" si="7"/>
        <v>22166.666666666664</v>
      </c>
      <c r="E252" s="491">
        <v>33185.56</v>
      </c>
      <c r="F252" s="491">
        <v>20014.439999999999</v>
      </c>
      <c r="G252" s="490"/>
      <c r="H252" s="490">
        <v>62.38</v>
      </c>
      <c r="I252" s="491">
        <v>84300.1</v>
      </c>
      <c r="J252" s="490"/>
      <c r="K252" s="278">
        <f t="shared" si="6"/>
        <v>33185.56</v>
      </c>
    </row>
    <row r="253" spans="1:12" x14ac:dyDescent="0.3">
      <c r="A253" s="490">
        <v>1613000471</v>
      </c>
      <c r="B253" s="490" t="s">
        <v>257</v>
      </c>
      <c r="C253" s="491">
        <v>45000</v>
      </c>
      <c r="D253" s="491">
        <f t="shared" si="7"/>
        <v>18750</v>
      </c>
      <c r="E253" s="491">
        <v>1800</v>
      </c>
      <c r="F253" s="491">
        <v>43200</v>
      </c>
      <c r="G253" s="490"/>
      <c r="H253" s="490">
        <v>4</v>
      </c>
      <c r="I253" s="491">
        <v>1263.5999999999999</v>
      </c>
      <c r="J253" s="490"/>
      <c r="K253" s="278">
        <f t="shared" si="6"/>
        <v>1800</v>
      </c>
    </row>
    <row r="254" spans="1:12" x14ac:dyDescent="0.3">
      <c r="A254" s="490">
        <v>1613000511</v>
      </c>
      <c r="B254" s="490" t="s">
        <v>258</v>
      </c>
      <c r="C254" s="491">
        <v>5000</v>
      </c>
      <c r="D254" s="491">
        <f t="shared" si="7"/>
        <v>2083.3333333333335</v>
      </c>
      <c r="E254" s="491">
        <v>3439.39</v>
      </c>
      <c r="F254" s="491">
        <v>1560.61</v>
      </c>
      <c r="G254" s="490"/>
      <c r="H254" s="490">
        <v>68.790000000000006</v>
      </c>
      <c r="I254" s="491">
        <v>9586.07</v>
      </c>
      <c r="J254" s="491">
        <v>2911.95</v>
      </c>
      <c r="K254" s="278">
        <f t="shared" si="6"/>
        <v>6351.34</v>
      </c>
    </row>
    <row r="255" spans="1:12" x14ac:dyDescent="0.3">
      <c r="A255" s="490">
        <v>1613000530</v>
      </c>
      <c r="B255" s="490" t="s">
        <v>260</v>
      </c>
      <c r="C255" s="491">
        <v>149816</v>
      </c>
      <c r="D255" s="491">
        <f t="shared" si="7"/>
        <v>62423.333333333328</v>
      </c>
      <c r="E255" s="491">
        <v>11060.5</v>
      </c>
      <c r="F255" s="491">
        <v>138755.5</v>
      </c>
      <c r="G255" s="490"/>
      <c r="H255" s="490">
        <v>7.38</v>
      </c>
      <c r="I255" s="491">
        <v>151983.44</v>
      </c>
      <c r="J255" s="490"/>
      <c r="K255" s="278">
        <f t="shared" si="6"/>
        <v>11060.5</v>
      </c>
    </row>
    <row r="256" spans="1:12" x14ac:dyDescent="0.3">
      <c r="A256" s="490">
        <v>1613000531</v>
      </c>
      <c r="B256" s="490" t="s">
        <v>261</v>
      </c>
      <c r="C256" s="491">
        <v>58560</v>
      </c>
      <c r="D256" s="491">
        <f t="shared" si="7"/>
        <v>24400</v>
      </c>
      <c r="E256" s="491">
        <v>21532.240000000002</v>
      </c>
      <c r="F256" s="491">
        <v>37027.760000000002</v>
      </c>
      <c r="G256" s="490"/>
      <c r="H256" s="490">
        <v>36.770000000000003</v>
      </c>
      <c r="I256" s="491">
        <v>23503.08</v>
      </c>
      <c r="J256" s="490"/>
      <c r="K256" s="278">
        <f t="shared" si="6"/>
        <v>21532.240000000002</v>
      </c>
    </row>
    <row r="257" spans="1:11" x14ac:dyDescent="0.3">
      <c r="A257" s="490">
        <v>1613000540</v>
      </c>
      <c r="B257" s="490" t="s">
        <v>262</v>
      </c>
      <c r="C257" s="491">
        <v>380000</v>
      </c>
      <c r="D257" s="491">
        <f t="shared" si="7"/>
        <v>158333.33333333334</v>
      </c>
      <c r="E257" s="491">
        <v>293433.73</v>
      </c>
      <c r="F257" s="491">
        <v>86566.27</v>
      </c>
      <c r="G257" s="490"/>
      <c r="H257" s="490">
        <v>77.22</v>
      </c>
      <c r="I257" s="491">
        <v>447060.74</v>
      </c>
      <c r="J257" s="490"/>
      <c r="K257" s="278">
        <f t="shared" si="6"/>
        <v>293433.73</v>
      </c>
    </row>
    <row r="258" spans="1:11" x14ac:dyDescent="0.3">
      <c r="A258" s="490">
        <v>1613000541</v>
      </c>
      <c r="B258" s="490" t="s">
        <v>263</v>
      </c>
      <c r="C258" s="491">
        <v>56000</v>
      </c>
      <c r="D258" s="491">
        <f t="shared" si="7"/>
        <v>23333.333333333336</v>
      </c>
      <c r="E258" s="491">
        <v>34641.93</v>
      </c>
      <c r="F258" s="491">
        <v>21358.07</v>
      </c>
      <c r="G258" s="490"/>
      <c r="H258" s="490">
        <v>61.86</v>
      </c>
      <c r="I258" s="491">
        <v>68171.03</v>
      </c>
      <c r="J258" s="490"/>
      <c r="K258" s="278">
        <f t="shared" si="6"/>
        <v>34641.93</v>
      </c>
    </row>
    <row r="259" spans="1:11" x14ac:dyDescent="0.3">
      <c r="A259" s="490">
        <v>1613000550</v>
      </c>
      <c r="B259" s="490" t="s">
        <v>264</v>
      </c>
      <c r="C259" s="490"/>
      <c r="D259" s="491">
        <f t="shared" si="7"/>
        <v>0</v>
      </c>
      <c r="E259" s="490"/>
      <c r="F259" s="490"/>
      <c r="G259" s="490"/>
      <c r="H259" s="490"/>
      <c r="I259" s="491">
        <v>4135</v>
      </c>
      <c r="J259" s="490"/>
      <c r="K259" s="278">
        <f t="shared" ref="K259:K322" si="8">E259+J259</f>
        <v>0</v>
      </c>
    </row>
    <row r="260" spans="1:11" x14ac:dyDescent="0.3">
      <c r="A260" s="490">
        <v>1613000710</v>
      </c>
      <c r="B260" s="490" t="s">
        <v>265</v>
      </c>
      <c r="C260" s="491">
        <v>3000</v>
      </c>
      <c r="D260" s="491">
        <f t="shared" si="7"/>
        <v>1250</v>
      </c>
      <c r="E260" s="490"/>
      <c r="F260" s="491">
        <v>3000</v>
      </c>
      <c r="G260" s="490"/>
      <c r="H260" s="490"/>
      <c r="I260" s="490">
        <v>500</v>
      </c>
      <c r="J260" s="490"/>
      <c r="K260" s="278">
        <f t="shared" si="8"/>
        <v>0</v>
      </c>
    </row>
    <row r="261" spans="1:11" x14ac:dyDescent="0.3">
      <c r="A261" s="490">
        <v>1613000751</v>
      </c>
      <c r="B261" s="490" t="s">
        <v>267</v>
      </c>
      <c r="C261" s="491">
        <v>139000</v>
      </c>
      <c r="D261" s="491">
        <f t="shared" si="7"/>
        <v>57916.666666666672</v>
      </c>
      <c r="E261" s="491">
        <v>46060</v>
      </c>
      <c r="F261" s="491">
        <v>92940</v>
      </c>
      <c r="G261" s="490"/>
      <c r="H261" s="490">
        <v>33.14</v>
      </c>
      <c r="I261" s="491">
        <v>117958.8</v>
      </c>
      <c r="J261" s="491">
        <v>55000</v>
      </c>
      <c r="K261" s="278">
        <f t="shared" si="8"/>
        <v>101060</v>
      </c>
    </row>
    <row r="262" spans="1:11" x14ac:dyDescent="0.3">
      <c r="A262" s="490">
        <v>1614000110</v>
      </c>
      <c r="B262" s="490" t="s">
        <v>744</v>
      </c>
      <c r="C262" s="491">
        <v>249732.28</v>
      </c>
      <c r="D262" s="491">
        <f t="shared" ref="D262:D325" si="9">C262/12*5</f>
        <v>104055.11666666667</v>
      </c>
      <c r="E262" s="491">
        <v>168291.6</v>
      </c>
      <c r="F262" s="491">
        <v>81440.679999999993</v>
      </c>
      <c r="G262" s="490"/>
      <c r="H262" s="490">
        <v>67.39</v>
      </c>
      <c r="I262" s="491">
        <v>426955.47</v>
      </c>
      <c r="J262" s="490"/>
      <c r="K262" s="278">
        <f t="shared" si="8"/>
        <v>168291.6</v>
      </c>
    </row>
    <row r="263" spans="1:11" x14ac:dyDescent="0.3">
      <c r="A263" s="490">
        <v>1614000550</v>
      </c>
      <c r="B263" s="490" t="s">
        <v>270</v>
      </c>
      <c r="C263" s="491">
        <v>250000</v>
      </c>
      <c r="D263" s="491">
        <f t="shared" si="9"/>
        <v>104166.66666666666</v>
      </c>
      <c r="E263" s="491">
        <v>28519.119999999999</v>
      </c>
      <c r="F263" s="491">
        <v>221480.88</v>
      </c>
      <c r="G263" s="490"/>
      <c r="H263" s="490">
        <v>11.41</v>
      </c>
      <c r="I263" s="491">
        <v>231572.38</v>
      </c>
      <c r="J263" s="491">
        <v>13328.9</v>
      </c>
      <c r="K263" s="278">
        <f t="shared" si="8"/>
        <v>41848.019999999997</v>
      </c>
    </row>
    <row r="264" spans="1:11" x14ac:dyDescent="0.3">
      <c r="A264" s="490">
        <v>1615000110</v>
      </c>
      <c r="B264" s="490" t="s">
        <v>271</v>
      </c>
      <c r="C264" s="491">
        <v>738175.65</v>
      </c>
      <c r="D264" s="491">
        <f t="shared" si="9"/>
        <v>307573.1875</v>
      </c>
      <c r="E264" s="491">
        <v>299475.18</v>
      </c>
      <c r="F264" s="491">
        <v>438700.47</v>
      </c>
      <c r="G264" s="490"/>
      <c r="H264" s="490">
        <v>40.57</v>
      </c>
      <c r="I264" s="491">
        <v>739002.43</v>
      </c>
      <c r="J264" s="490"/>
      <c r="K264" s="278">
        <f t="shared" si="8"/>
        <v>299475.18</v>
      </c>
    </row>
    <row r="265" spans="1:11" x14ac:dyDescent="0.3">
      <c r="A265" s="490">
        <v>1615000470</v>
      </c>
      <c r="B265" s="490" t="s">
        <v>272</v>
      </c>
      <c r="C265" s="491">
        <v>4000</v>
      </c>
      <c r="D265" s="491">
        <f t="shared" si="9"/>
        <v>1666.6666666666665</v>
      </c>
      <c r="E265" s="491">
        <v>2802.03</v>
      </c>
      <c r="F265" s="491">
        <v>1197.97</v>
      </c>
      <c r="G265" s="490"/>
      <c r="H265" s="490">
        <v>70.05</v>
      </c>
      <c r="I265" s="491">
        <v>7099.15</v>
      </c>
      <c r="J265" s="490"/>
      <c r="K265" s="278">
        <f t="shared" si="8"/>
        <v>2802.03</v>
      </c>
    </row>
    <row r="266" spans="1:11" x14ac:dyDescent="0.3">
      <c r="A266" s="490">
        <v>1615000780</v>
      </c>
      <c r="B266" s="490" t="s">
        <v>273</v>
      </c>
      <c r="C266" s="491">
        <v>245000</v>
      </c>
      <c r="D266" s="491">
        <f t="shared" si="9"/>
        <v>102083.33333333334</v>
      </c>
      <c r="E266" s="490"/>
      <c r="F266" s="491">
        <v>245000</v>
      </c>
      <c r="G266" s="490"/>
      <c r="H266" s="490"/>
      <c r="I266" s="491">
        <v>24885</v>
      </c>
      <c r="J266" s="490"/>
      <c r="K266" s="278">
        <f t="shared" si="8"/>
        <v>0</v>
      </c>
    </row>
    <row r="267" spans="1:11" x14ac:dyDescent="0.3">
      <c r="A267" s="490">
        <v>1615000810</v>
      </c>
      <c r="B267" s="490" t="s">
        <v>274</v>
      </c>
      <c r="C267" s="491">
        <v>70000</v>
      </c>
      <c r="D267" s="491">
        <f t="shared" si="9"/>
        <v>29166.666666666664</v>
      </c>
      <c r="E267" s="490"/>
      <c r="F267" s="491">
        <v>70000</v>
      </c>
      <c r="G267" s="490"/>
      <c r="H267" s="490"/>
      <c r="I267" s="491">
        <v>70000</v>
      </c>
      <c r="J267" s="490"/>
      <c r="K267" s="278">
        <f t="shared" si="8"/>
        <v>0</v>
      </c>
    </row>
    <row r="268" spans="1:11" x14ac:dyDescent="0.3">
      <c r="A268" s="490">
        <v>1615000811</v>
      </c>
      <c r="B268" s="490" t="s">
        <v>275</v>
      </c>
      <c r="C268" s="491">
        <v>412000</v>
      </c>
      <c r="D268" s="491">
        <f t="shared" si="9"/>
        <v>171666.66666666669</v>
      </c>
      <c r="E268" s="491">
        <v>292267.84999999998</v>
      </c>
      <c r="F268" s="491">
        <v>119732.15</v>
      </c>
      <c r="G268" s="490"/>
      <c r="H268" s="490">
        <v>70.94</v>
      </c>
      <c r="I268" s="491">
        <v>395486.9</v>
      </c>
      <c r="J268" s="490"/>
      <c r="K268" s="278">
        <f t="shared" si="8"/>
        <v>292267.84999999998</v>
      </c>
    </row>
    <row r="269" spans="1:11" x14ac:dyDescent="0.3">
      <c r="A269" s="490">
        <v>1616100580</v>
      </c>
      <c r="B269" s="490" t="s">
        <v>276</v>
      </c>
      <c r="C269" s="491">
        <v>50000</v>
      </c>
      <c r="D269" s="491">
        <f t="shared" si="9"/>
        <v>20833.333333333336</v>
      </c>
      <c r="E269" s="491">
        <v>39818</v>
      </c>
      <c r="F269" s="491">
        <v>10182</v>
      </c>
      <c r="G269" s="490"/>
      <c r="H269" s="490">
        <v>79.64</v>
      </c>
      <c r="I269" s="491">
        <v>69132.649999999994</v>
      </c>
      <c r="J269" s="490"/>
      <c r="K269" s="278">
        <f t="shared" si="8"/>
        <v>39818</v>
      </c>
    </row>
    <row r="270" spans="1:11" x14ac:dyDescent="0.3">
      <c r="A270" s="490">
        <v>1617000110</v>
      </c>
      <c r="B270" s="490" t="s">
        <v>277</v>
      </c>
      <c r="C270" s="491">
        <v>868512.47</v>
      </c>
      <c r="D270" s="491">
        <f t="shared" si="9"/>
        <v>361880.19583333336</v>
      </c>
      <c r="E270" s="491">
        <v>399609.23</v>
      </c>
      <c r="F270" s="491">
        <v>468903.24</v>
      </c>
      <c r="G270" s="490"/>
      <c r="H270" s="490">
        <v>46.01</v>
      </c>
      <c r="I270" s="491">
        <v>792422.84</v>
      </c>
      <c r="J270" s="490"/>
      <c r="K270" s="278">
        <f t="shared" si="8"/>
        <v>399609.23</v>
      </c>
    </row>
    <row r="271" spans="1:11" x14ac:dyDescent="0.3">
      <c r="A271" s="490">
        <v>1617000751</v>
      </c>
      <c r="B271" s="490" t="s">
        <v>278</v>
      </c>
      <c r="C271" s="491">
        <v>20000</v>
      </c>
      <c r="D271" s="491">
        <f t="shared" si="9"/>
        <v>8333.3333333333339</v>
      </c>
      <c r="E271" s="491">
        <v>1152983.8999999999</v>
      </c>
      <c r="F271" s="490"/>
      <c r="G271" s="491">
        <v>1132983.8999999999</v>
      </c>
      <c r="H271" s="491">
        <v>5764.92</v>
      </c>
      <c r="I271" s="491">
        <v>243999.59</v>
      </c>
      <c r="J271" s="491">
        <v>-1100000</v>
      </c>
      <c r="K271" s="278">
        <f t="shared" si="8"/>
        <v>52983.899999999907</v>
      </c>
    </row>
    <row r="272" spans="1:11" x14ac:dyDescent="0.3">
      <c r="A272" s="490">
        <v>1617000752</v>
      </c>
      <c r="B272" s="490" t="s">
        <v>279</v>
      </c>
      <c r="C272" s="491">
        <v>200000</v>
      </c>
      <c r="D272" s="491">
        <f t="shared" si="9"/>
        <v>83333.333333333343</v>
      </c>
      <c r="E272" s="490"/>
      <c r="F272" s="491">
        <v>200000</v>
      </c>
      <c r="G272" s="490"/>
      <c r="H272" s="490"/>
      <c r="I272" s="491">
        <v>56815.18</v>
      </c>
      <c r="J272" s="490"/>
      <c r="K272" s="278">
        <f t="shared" si="8"/>
        <v>0</v>
      </c>
    </row>
    <row r="273" spans="1:11" x14ac:dyDescent="0.3">
      <c r="A273" s="490">
        <v>1617000780</v>
      </c>
      <c r="B273" s="490" t="s">
        <v>280</v>
      </c>
      <c r="C273" s="491">
        <v>18000</v>
      </c>
      <c r="D273" s="491">
        <f t="shared" si="9"/>
        <v>7500</v>
      </c>
      <c r="E273" s="491">
        <v>10168.27</v>
      </c>
      <c r="F273" s="491">
        <v>7831.73</v>
      </c>
      <c r="G273" s="490"/>
      <c r="H273" s="490">
        <v>56.49</v>
      </c>
      <c r="I273" s="491">
        <v>15834.01</v>
      </c>
      <c r="J273" s="491">
        <v>1250.96</v>
      </c>
      <c r="K273" s="278">
        <f t="shared" si="8"/>
        <v>11419.23</v>
      </c>
    </row>
    <row r="274" spans="1:11" x14ac:dyDescent="0.3">
      <c r="A274" s="490">
        <v>1617000781</v>
      </c>
      <c r="B274" s="490" t="s">
        <v>281</v>
      </c>
      <c r="C274" s="491">
        <v>7000</v>
      </c>
      <c r="D274" s="491">
        <f t="shared" si="9"/>
        <v>2916.666666666667</v>
      </c>
      <c r="E274" s="490"/>
      <c r="F274" s="491">
        <v>7000</v>
      </c>
      <c r="G274" s="490"/>
      <c r="H274" s="490"/>
      <c r="I274" s="490"/>
      <c r="J274" s="490"/>
      <c r="K274" s="278">
        <f t="shared" si="8"/>
        <v>0</v>
      </c>
    </row>
    <row r="275" spans="1:11" x14ac:dyDescent="0.3">
      <c r="A275" s="490">
        <v>1619000780</v>
      </c>
      <c r="B275" s="490" t="s">
        <v>282</v>
      </c>
      <c r="C275" s="490"/>
      <c r="D275" s="491">
        <f t="shared" si="9"/>
        <v>0</v>
      </c>
      <c r="E275" s="491">
        <v>2536.54</v>
      </c>
      <c r="F275" s="490"/>
      <c r="G275" s="491">
        <v>2536.54</v>
      </c>
      <c r="H275" s="490"/>
      <c r="I275" s="491">
        <v>3399.74</v>
      </c>
      <c r="J275" s="490"/>
      <c r="K275" s="278">
        <f t="shared" si="8"/>
        <v>2536.54</v>
      </c>
    </row>
    <row r="276" spans="1:11" x14ac:dyDescent="0.3">
      <c r="A276" s="490">
        <v>1621000110</v>
      </c>
      <c r="B276" s="490" t="s">
        <v>283</v>
      </c>
      <c r="C276" s="491">
        <v>762872.07</v>
      </c>
      <c r="D276" s="491">
        <f t="shared" si="9"/>
        <v>317863.36249999999</v>
      </c>
      <c r="E276" s="491">
        <v>266560.26</v>
      </c>
      <c r="F276" s="491">
        <v>496311.81</v>
      </c>
      <c r="G276" s="490"/>
      <c r="H276" s="490">
        <v>34.94</v>
      </c>
      <c r="I276" s="491">
        <v>733813.19</v>
      </c>
      <c r="J276" s="490"/>
      <c r="K276" s="278">
        <f t="shared" si="8"/>
        <v>266560.26</v>
      </c>
    </row>
    <row r="277" spans="1:11" x14ac:dyDescent="0.3">
      <c r="A277" s="490">
        <v>1621000450</v>
      </c>
      <c r="B277" s="490" t="s">
        <v>284</v>
      </c>
      <c r="C277" s="491">
        <v>18000</v>
      </c>
      <c r="D277" s="491">
        <f t="shared" si="9"/>
        <v>7500</v>
      </c>
      <c r="E277" s="491">
        <v>5792</v>
      </c>
      <c r="F277" s="491">
        <v>12208</v>
      </c>
      <c r="G277" s="490"/>
      <c r="H277" s="490">
        <v>32.18</v>
      </c>
      <c r="I277" s="491">
        <v>16060</v>
      </c>
      <c r="J277" s="491">
        <v>5489.64</v>
      </c>
      <c r="K277" s="278">
        <f t="shared" si="8"/>
        <v>11281.64</v>
      </c>
    </row>
    <row r="278" spans="1:11" x14ac:dyDescent="0.3">
      <c r="A278" s="490">
        <v>1621000470</v>
      </c>
      <c r="B278" s="490" t="s">
        <v>256</v>
      </c>
      <c r="C278" s="491">
        <v>12000</v>
      </c>
      <c r="D278" s="491">
        <f t="shared" si="9"/>
        <v>5000</v>
      </c>
      <c r="E278" s="491">
        <v>3440.3</v>
      </c>
      <c r="F278" s="491">
        <v>8559.7000000000007</v>
      </c>
      <c r="G278" s="490"/>
      <c r="H278" s="490">
        <v>28.67</v>
      </c>
      <c r="I278" s="491">
        <v>12306.99</v>
      </c>
      <c r="J278" s="490"/>
      <c r="K278" s="278">
        <f t="shared" si="8"/>
        <v>3440.3</v>
      </c>
    </row>
    <row r="279" spans="1:11" x14ac:dyDescent="0.3">
      <c r="A279" s="490">
        <v>1621000511</v>
      </c>
      <c r="B279" s="490" t="s">
        <v>285</v>
      </c>
      <c r="C279" s="491">
        <v>6000</v>
      </c>
      <c r="D279" s="491">
        <f t="shared" si="9"/>
        <v>2500</v>
      </c>
      <c r="E279" s="491">
        <v>3328.16</v>
      </c>
      <c r="F279" s="491">
        <v>2671.84</v>
      </c>
      <c r="G279" s="490"/>
      <c r="H279" s="490">
        <v>55.47</v>
      </c>
      <c r="I279" s="491">
        <v>6307.04</v>
      </c>
      <c r="J279" s="491">
        <v>4415.34</v>
      </c>
      <c r="K279" s="278">
        <f t="shared" si="8"/>
        <v>7743.5</v>
      </c>
    </row>
    <row r="280" spans="1:11" x14ac:dyDescent="0.3">
      <c r="A280" s="490">
        <v>1621000520</v>
      </c>
      <c r="B280" s="490" t="s">
        <v>286</v>
      </c>
      <c r="C280" s="491">
        <v>4000</v>
      </c>
      <c r="D280" s="491">
        <f t="shared" si="9"/>
        <v>1666.6666666666665</v>
      </c>
      <c r="E280" s="490"/>
      <c r="F280" s="491">
        <v>4000</v>
      </c>
      <c r="G280" s="490"/>
      <c r="H280" s="490"/>
      <c r="I280" s="491">
        <v>2784</v>
      </c>
      <c r="J280" s="490"/>
      <c r="K280" s="278">
        <f t="shared" si="8"/>
        <v>0</v>
      </c>
    </row>
    <row r="281" spans="1:11" x14ac:dyDescent="0.3">
      <c r="A281" s="490">
        <v>1621000540</v>
      </c>
      <c r="B281" s="490" t="s">
        <v>287</v>
      </c>
      <c r="C281" s="490">
        <v>600</v>
      </c>
      <c r="D281" s="491">
        <f t="shared" si="9"/>
        <v>250</v>
      </c>
      <c r="E281" s="490"/>
      <c r="F281" s="490">
        <v>600</v>
      </c>
      <c r="G281" s="490"/>
      <c r="H281" s="490"/>
      <c r="I281" s="490">
        <v>900</v>
      </c>
      <c r="J281" s="490"/>
      <c r="K281" s="278">
        <f t="shared" si="8"/>
        <v>0</v>
      </c>
    </row>
    <row r="282" spans="1:11" x14ac:dyDescent="0.3">
      <c r="A282" s="490">
        <v>1621000570</v>
      </c>
      <c r="B282" s="490" t="s">
        <v>288</v>
      </c>
      <c r="C282" s="491">
        <v>782457.8</v>
      </c>
      <c r="D282" s="491">
        <f t="shared" si="9"/>
        <v>326024.08333333337</v>
      </c>
      <c r="E282" s="491">
        <v>307913.44</v>
      </c>
      <c r="F282" s="491">
        <v>474544.36</v>
      </c>
      <c r="G282" s="490"/>
      <c r="H282" s="490">
        <v>39.35</v>
      </c>
      <c r="I282" s="491">
        <v>797099.76</v>
      </c>
      <c r="J282" s="491">
        <v>11334.96</v>
      </c>
      <c r="K282" s="278">
        <f t="shared" si="8"/>
        <v>319248.40000000002</v>
      </c>
    </row>
    <row r="283" spans="1:11" x14ac:dyDescent="0.3">
      <c r="A283" s="490">
        <v>1621000571</v>
      </c>
      <c r="B283" s="490" t="s">
        <v>289</v>
      </c>
      <c r="C283" s="491">
        <v>173311</v>
      </c>
      <c r="D283" s="491">
        <f t="shared" si="9"/>
        <v>72212.916666666672</v>
      </c>
      <c r="E283" s="490"/>
      <c r="F283" s="491">
        <v>173311</v>
      </c>
      <c r="G283" s="490"/>
      <c r="H283" s="490"/>
      <c r="I283" s="490"/>
      <c r="J283" s="490"/>
      <c r="K283" s="278">
        <f t="shared" si="8"/>
        <v>0</v>
      </c>
    </row>
    <row r="284" spans="1:11" x14ac:dyDescent="0.3">
      <c r="A284" s="490">
        <v>1621000750</v>
      </c>
      <c r="B284" s="490" t="s">
        <v>745</v>
      </c>
      <c r="C284" s="491">
        <v>612000</v>
      </c>
      <c r="D284" s="491">
        <f t="shared" si="9"/>
        <v>255000</v>
      </c>
      <c r="E284" s="491">
        <v>254513</v>
      </c>
      <c r="F284" s="491">
        <v>357487</v>
      </c>
      <c r="G284" s="490"/>
      <c r="H284" s="490">
        <v>41.59</v>
      </c>
      <c r="I284" s="491">
        <v>707289.23</v>
      </c>
      <c r="J284" s="491">
        <v>3351.98</v>
      </c>
      <c r="K284" s="278">
        <f t="shared" si="8"/>
        <v>257864.98</v>
      </c>
    </row>
    <row r="285" spans="1:11" x14ac:dyDescent="0.3">
      <c r="A285" s="490">
        <v>1621300110</v>
      </c>
      <c r="B285" s="490" t="s">
        <v>291</v>
      </c>
      <c r="C285" s="491">
        <v>410915.3</v>
      </c>
      <c r="D285" s="491">
        <f t="shared" si="9"/>
        <v>171214.70833333331</v>
      </c>
      <c r="E285" s="491">
        <v>268960.73</v>
      </c>
      <c r="F285" s="491">
        <v>141954.57</v>
      </c>
      <c r="G285" s="490"/>
      <c r="H285" s="490">
        <v>65.45</v>
      </c>
      <c r="I285" s="491">
        <v>713710.91</v>
      </c>
      <c r="J285" s="490"/>
      <c r="K285" s="278">
        <f t="shared" si="8"/>
        <v>268960.73</v>
      </c>
    </row>
    <row r="286" spans="1:11" x14ac:dyDescent="0.3">
      <c r="A286" s="490">
        <v>1621400110</v>
      </c>
      <c r="B286" s="490" t="s">
        <v>292</v>
      </c>
      <c r="C286" s="491">
        <v>144604.82999999999</v>
      </c>
      <c r="D286" s="491">
        <f t="shared" si="9"/>
        <v>60252.01249999999</v>
      </c>
      <c r="E286" s="491">
        <v>80810.600000000006</v>
      </c>
      <c r="F286" s="491">
        <v>63794.23</v>
      </c>
      <c r="G286" s="490"/>
      <c r="H286" s="490">
        <v>55.88</v>
      </c>
      <c r="I286" s="491">
        <v>203205.15</v>
      </c>
      <c r="J286" s="490"/>
      <c r="K286" s="278">
        <f t="shared" si="8"/>
        <v>80810.600000000006</v>
      </c>
    </row>
    <row r="287" spans="1:11" x14ac:dyDescent="0.3">
      <c r="A287" s="490">
        <v>1621400560</v>
      </c>
      <c r="B287" s="490" t="s">
        <v>293</v>
      </c>
      <c r="C287" s="491">
        <v>30000</v>
      </c>
      <c r="D287" s="491">
        <f t="shared" si="9"/>
        <v>12500</v>
      </c>
      <c r="E287" s="491">
        <v>5907.7</v>
      </c>
      <c r="F287" s="491">
        <v>24092.3</v>
      </c>
      <c r="G287" s="490"/>
      <c r="H287" s="490">
        <v>19.690000000000001</v>
      </c>
      <c r="I287" s="491">
        <v>26180.9</v>
      </c>
      <c r="J287" s="491">
        <v>7607.32</v>
      </c>
      <c r="K287" s="278">
        <f t="shared" si="8"/>
        <v>13515.02</v>
      </c>
    </row>
    <row r="288" spans="1:11" x14ac:dyDescent="0.3">
      <c r="A288" s="490">
        <v>1621400750</v>
      </c>
      <c r="B288" s="490" t="s">
        <v>317</v>
      </c>
      <c r="C288" s="490"/>
      <c r="D288" s="491">
        <f t="shared" si="9"/>
        <v>0</v>
      </c>
      <c r="E288" s="490"/>
      <c r="F288" s="490"/>
      <c r="G288" s="490"/>
      <c r="H288" s="490"/>
      <c r="I288" s="490"/>
      <c r="J288" s="491">
        <v>6545.45</v>
      </c>
      <c r="K288" s="278">
        <f t="shared" si="8"/>
        <v>6545.45</v>
      </c>
    </row>
    <row r="289" spans="1:11" x14ac:dyDescent="0.3">
      <c r="A289" s="490">
        <v>1623000470</v>
      </c>
      <c r="B289" s="490" t="s">
        <v>256</v>
      </c>
      <c r="C289" s="491">
        <v>10000</v>
      </c>
      <c r="D289" s="491">
        <f t="shared" si="9"/>
        <v>4166.666666666667</v>
      </c>
      <c r="E289" s="490"/>
      <c r="F289" s="491">
        <v>10000</v>
      </c>
      <c r="G289" s="490"/>
      <c r="H289" s="490"/>
      <c r="I289" s="490"/>
      <c r="J289" s="490"/>
      <c r="K289" s="278">
        <f t="shared" si="8"/>
        <v>0</v>
      </c>
    </row>
    <row r="290" spans="1:11" x14ac:dyDescent="0.3">
      <c r="A290" s="490">
        <v>1623000541</v>
      </c>
      <c r="B290" s="490" t="s">
        <v>263</v>
      </c>
      <c r="C290" s="491">
        <v>150000</v>
      </c>
      <c r="D290" s="491">
        <f t="shared" si="9"/>
        <v>62500</v>
      </c>
      <c r="E290" s="491">
        <v>85492.3</v>
      </c>
      <c r="F290" s="491">
        <v>64507.7</v>
      </c>
      <c r="G290" s="490"/>
      <c r="H290" s="490">
        <v>56.99</v>
      </c>
      <c r="I290" s="491">
        <v>187600.97</v>
      </c>
      <c r="J290" s="490"/>
      <c r="K290" s="278">
        <f t="shared" si="8"/>
        <v>85492.3</v>
      </c>
    </row>
    <row r="291" spans="1:11" x14ac:dyDescent="0.3">
      <c r="A291" s="490">
        <v>1623000750</v>
      </c>
      <c r="B291" s="490" t="s">
        <v>317</v>
      </c>
      <c r="C291" s="491">
        <v>2091260</v>
      </c>
      <c r="D291" s="491">
        <f t="shared" si="9"/>
        <v>871358.33333333326</v>
      </c>
      <c r="E291" s="491">
        <v>843593.24</v>
      </c>
      <c r="F291" s="491">
        <v>1247666.76</v>
      </c>
      <c r="G291" s="490"/>
      <c r="H291" s="490">
        <v>40.340000000000003</v>
      </c>
      <c r="I291" s="491">
        <v>2256491.0499999998</v>
      </c>
      <c r="J291" s="491">
        <v>21925.200000000001</v>
      </c>
      <c r="K291" s="278">
        <f t="shared" si="8"/>
        <v>865518.44</v>
      </c>
    </row>
    <row r="292" spans="1:11" x14ac:dyDescent="0.3">
      <c r="A292" s="490">
        <v>1632000620</v>
      </c>
      <c r="B292" s="490" t="s">
        <v>296</v>
      </c>
      <c r="C292" s="491">
        <v>350000</v>
      </c>
      <c r="D292" s="491">
        <f t="shared" si="9"/>
        <v>145833.33333333334</v>
      </c>
      <c r="E292" s="491">
        <v>41656.839999999997</v>
      </c>
      <c r="F292" s="491">
        <v>308343.15999999997</v>
      </c>
      <c r="G292" s="490"/>
      <c r="H292" s="490">
        <v>11.9</v>
      </c>
      <c r="I292" s="491">
        <v>359156.82</v>
      </c>
      <c r="J292" s="490">
        <v>50000</v>
      </c>
      <c r="K292" s="278">
        <f t="shared" si="8"/>
        <v>91656.84</v>
      </c>
    </row>
    <row r="293" spans="1:11" x14ac:dyDescent="0.3">
      <c r="A293" s="490">
        <v>1632000621</v>
      </c>
      <c r="B293" s="490" t="s">
        <v>297</v>
      </c>
      <c r="C293" s="491">
        <v>452000</v>
      </c>
      <c r="D293" s="491">
        <f t="shared" si="9"/>
        <v>188333.33333333331</v>
      </c>
      <c r="E293" s="491">
        <v>262473.37</v>
      </c>
      <c r="F293" s="491">
        <v>189526.63</v>
      </c>
      <c r="G293" s="490"/>
      <c r="H293" s="490">
        <v>58.07</v>
      </c>
      <c r="I293" s="491">
        <v>497121.73</v>
      </c>
      <c r="J293" s="490"/>
      <c r="K293" s="278">
        <f t="shared" si="8"/>
        <v>262473.37</v>
      </c>
    </row>
    <row r="294" spans="1:11" x14ac:dyDescent="0.3">
      <c r="A294" s="490">
        <v>1632000650</v>
      </c>
      <c r="B294" s="490" t="s">
        <v>298</v>
      </c>
      <c r="C294" s="490"/>
      <c r="D294" s="491">
        <f t="shared" si="9"/>
        <v>0</v>
      </c>
      <c r="E294" s="490"/>
      <c r="F294" s="490"/>
      <c r="G294" s="490"/>
      <c r="H294" s="490"/>
      <c r="I294" s="491">
        <v>2352.65</v>
      </c>
      <c r="J294" s="490"/>
      <c r="K294" s="278">
        <f t="shared" si="8"/>
        <v>0</v>
      </c>
    </row>
    <row r="295" spans="1:11" x14ac:dyDescent="0.3">
      <c r="A295" s="490">
        <v>1632000651</v>
      </c>
      <c r="B295" s="490" t="s">
        <v>299</v>
      </c>
      <c r="C295" s="491">
        <v>86000</v>
      </c>
      <c r="D295" s="491">
        <f t="shared" si="9"/>
        <v>35833.333333333336</v>
      </c>
      <c r="E295" s="490"/>
      <c r="F295" s="491">
        <v>86000</v>
      </c>
      <c r="G295" s="490"/>
      <c r="H295" s="490"/>
      <c r="I295" s="490"/>
      <c r="J295" s="490"/>
      <c r="K295" s="278">
        <f t="shared" si="8"/>
        <v>0</v>
      </c>
    </row>
    <row r="296" spans="1:11" x14ac:dyDescent="0.3">
      <c r="A296" s="490">
        <v>1649100691</v>
      </c>
      <c r="B296" s="490" t="s">
        <v>300</v>
      </c>
      <c r="C296" s="491">
        <v>2760289.73</v>
      </c>
      <c r="D296" s="491">
        <f t="shared" si="9"/>
        <v>1150120.7208333332</v>
      </c>
      <c r="E296" s="491">
        <v>781453.62</v>
      </c>
      <c r="F296" s="491">
        <v>1978836.11</v>
      </c>
      <c r="G296" s="490"/>
      <c r="H296" s="490">
        <v>28.31</v>
      </c>
      <c r="I296" s="491">
        <v>31468096.27</v>
      </c>
      <c r="J296" s="490"/>
      <c r="K296" s="278">
        <f t="shared" si="8"/>
        <v>781453.62</v>
      </c>
    </row>
    <row r="297" spans="1:11" x14ac:dyDescent="0.3">
      <c r="A297" s="490">
        <v>1711000110</v>
      </c>
      <c r="B297" s="490" t="s">
        <v>301</v>
      </c>
      <c r="C297" s="491">
        <v>323122.84000000003</v>
      </c>
      <c r="D297" s="491">
        <f t="shared" si="9"/>
        <v>134634.51666666666</v>
      </c>
      <c r="E297" s="491">
        <v>149066.73000000001</v>
      </c>
      <c r="F297" s="491">
        <v>174056.11</v>
      </c>
      <c r="G297" s="490"/>
      <c r="H297" s="490">
        <v>46.13</v>
      </c>
      <c r="I297" s="491">
        <v>347844.2</v>
      </c>
      <c r="J297" s="490"/>
      <c r="K297" s="278">
        <f t="shared" si="8"/>
        <v>149066.73000000001</v>
      </c>
    </row>
    <row r="298" spans="1:11" x14ac:dyDescent="0.3">
      <c r="A298" s="490">
        <v>1711000431</v>
      </c>
      <c r="B298" s="490" t="s">
        <v>302</v>
      </c>
      <c r="C298" s="491">
        <v>34691.769999999997</v>
      </c>
      <c r="D298" s="491">
        <f t="shared" si="9"/>
        <v>14454.904166666665</v>
      </c>
      <c r="E298" s="491">
        <v>15134.71</v>
      </c>
      <c r="F298" s="491">
        <v>19557.060000000001</v>
      </c>
      <c r="G298" s="490"/>
      <c r="H298" s="490">
        <v>43.63</v>
      </c>
      <c r="I298" s="491">
        <v>44230.17</v>
      </c>
      <c r="J298" s="490"/>
      <c r="K298" s="278">
        <f t="shared" si="8"/>
        <v>15134.71</v>
      </c>
    </row>
    <row r="299" spans="1:11" x14ac:dyDescent="0.3">
      <c r="A299" s="490">
        <v>1711000432</v>
      </c>
      <c r="B299" s="490" t="s">
        <v>303</v>
      </c>
      <c r="C299" s="491">
        <v>23000</v>
      </c>
      <c r="D299" s="491">
        <f t="shared" si="9"/>
        <v>9583.3333333333339</v>
      </c>
      <c r="E299" s="491">
        <v>5159.7</v>
      </c>
      <c r="F299" s="491">
        <v>17840.3</v>
      </c>
      <c r="G299" s="490"/>
      <c r="H299" s="490">
        <v>22.43</v>
      </c>
      <c r="I299" s="491">
        <v>1270.6199999999999</v>
      </c>
      <c r="J299" s="490"/>
      <c r="K299" s="278">
        <f t="shared" si="8"/>
        <v>5159.7</v>
      </c>
    </row>
    <row r="300" spans="1:11" x14ac:dyDescent="0.3">
      <c r="A300" s="490">
        <v>1711000530</v>
      </c>
      <c r="B300" s="490" t="s">
        <v>304</v>
      </c>
      <c r="C300" s="491">
        <v>343800</v>
      </c>
      <c r="D300" s="491">
        <f t="shared" si="9"/>
        <v>143250</v>
      </c>
      <c r="E300" s="491">
        <v>69637.06</v>
      </c>
      <c r="F300" s="491">
        <v>274162.94</v>
      </c>
      <c r="G300" s="490"/>
      <c r="H300" s="490">
        <v>20.260000000000002</v>
      </c>
      <c r="I300" s="491">
        <v>268752.32</v>
      </c>
      <c r="J300" s="490"/>
      <c r="K300" s="278">
        <f t="shared" si="8"/>
        <v>69637.06</v>
      </c>
    </row>
    <row r="301" spans="1:11" x14ac:dyDescent="0.3">
      <c r="A301" s="490">
        <v>1711000531</v>
      </c>
      <c r="B301" s="490" t="s">
        <v>305</v>
      </c>
      <c r="C301" s="491">
        <v>142740</v>
      </c>
      <c r="D301" s="491">
        <f t="shared" si="9"/>
        <v>59475</v>
      </c>
      <c r="E301" s="491">
        <v>29226.7</v>
      </c>
      <c r="F301" s="491">
        <v>113513.3</v>
      </c>
      <c r="G301" s="490"/>
      <c r="H301" s="490">
        <v>20.48</v>
      </c>
      <c r="I301" s="491">
        <v>90627.09</v>
      </c>
      <c r="J301" s="490"/>
      <c r="K301" s="278">
        <f t="shared" si="8"/>
        <v>29226.7</v>
      </c>
    </row>
    <row r="302" spans="1:11" x14ac:dyDescent="0.3">
      <c r="A302" s="490">
        <v>1711000540</v>
      </c>
      <c r="B302" s="490" t="s">
        <v>241</v>
      </c>
      <c r="C302" s="491">
        <v>55000</v>
      </c>
      <c r="D302" s="491">
        <f t="shared" si="9"/>
        <v>22916.666666666664</v>
      </c>
      <c r="E302" s="490">
        <v>20.89</v>
      </c>
      <c r="F302" s="491">
        <v>54979.11</v>
      </c>
      <c r="G302" s="490"/>
      <c r="H302" s="490">
        <v>0.04</v>
      </c>
      <c r="I302" s="491">
        <v>59731.88</v>
      </c>
      <c r="J302" s="490"/>
      <c r="K302" s="278">
        <f t="shared" si="8"/>
        <v>20.89</v>
      </c>
    </row>
    <row r="303" spans="1:11" x14ac:dyDescent="0.3">
      <c r="A303" s="490">
        <v>1711000780</v>
      </c>
      <c r="B303" s="490" t="s">
        <v>306</v>
      </c>
      <c r="C303" s="491">
        <v>30000</v>
      </c>
      <c r="D303" s="491">
        <f t="shared" si="9"/>
        <v>12500</v>
      </c>
      <c r="E303" s="491">
        <v>7265.45</v>
      </c>
      <c r="F303" s="491">
        <v>22734.55</v>
      </c>
      <c r="G303" s="490"/>
      <c r="H303" s="490">
        <v>24.22</v>
      </c>
      <c r="I303" s="491">
        <v>17124.04</v>
      </c>
      <c r="J303" s="491">
        <v>6680.15</v>
      </c>
      <c r="K303" s="278">
        <f t="shared" si="8"/>
        <v>13945.599999999999</v>
      </c>
    </row>
    <row r="304" spans="1:11" x14ac:dyDescent="0.3">
      <c r="A304" s="490">
        <v>1711000781</v>
      </c>
      <c r="B304" s="490" t="s">
        <v>307</v>
      </c>
      <c r="C304" s="491">
        <v>20000</v>
      </c>
      <c r="D304" s="491">
        <f t="shared" si="9"/>
        <v>8333.3333333333339</v>
      </c>
      <c r="E304" s="491">
        <v>13353</v>
      </c>
      <c r="F304" s="491">
        <v>6647</v>
      </c>
      <c r="G304" s="490"/>
      <c r="H304" s="490">
        <v>66.77</v>
      </c>
      <c r="I304" s="490"/>
      <c r="J304" s="490"/>
      <c r="K304" s="278">
        <f t="shared" si="8"/>
        <v>13353</v>
      </c>
    </row>
    <row r="305" spans="1:11" x14ac:dyDescent="0.3">
      <c r="A305" s="490">
        <v>1712300110</v>
      </c>
      <c r="B305" s="490" t="s">
        <v>308</v>
      </c>
      <c r="C305" s="491">
        <v>2217126.21</v>
      </c>
      <c r="D305" s="491">
        <f t="shared" si="9"/>
        <v>923802.58749999991</v>
      </c>
      <c r="E305" s="491">
        <v>766617.55</v>
      </c>
      <c r="F305" s="491">
        <v>1450508.66</v>
      </c>
      <c r="G305" s="490"/>
      <c r="H305" s="490">
        <v>34.58</v>
      </c>
      <c r="I305" s="491">
        <v>2204005.4700000002</v>
      </c>
      <c r="J305" s="490"/>
      <c r="K305" s="278">
        <f t="shared" si="8"/>
        <v>766617.55</v>
      </c>
    </row>
    <row r="306" spans="1:11" x14ac:dyDescent="0.3">
      <c r="A306" s="490">
        <v>1712300530</v>
      </c>
      <c r="B306" s="490" t="s">
        <v>309</v>
      </c>
      <c r="C306" s="491">
        <v>150000</v>
      </c>
      <c r="D306" s="491">
        <f t="shared" si="9"/>
        <v>62500</v>
      </c>
      <c r="E306" s="491">
        <v>55515.23</v>
      </c>
      <c r="F306" s="491">
        <v>94484.77</v>
      </c>
      <c r="G306" s="490"/>
      <c r="H306" s="490">
        <v>37.01</v>
      </c>
      <c r="I306" s="491">
        <v>154801.23000000001</v>
      </c>
      <c r="J306" s="491">
        <v>22522.99</v>
      </c>
      <c r="K306" s="278">
        <f t="shared" si="8"/>
        <v>78038.22</v>
      </c>
    </row>
    <row r="307" spans="1:11" x14ac:dyDescent="0.3">
      <c r="A307" s="490">
        <v>1712300531</v>
      </c>
      <c r="B307" s="490" t="s">
        <v>310</v>
      </c>
      <c r="C307" s="491">
        <v>7000</v>
      </c>
      <c r="D307" s="491">
        <f t="shared" si="9"/>
        <v>2916.666666666667</v>
      </c>
      <c r="E307" s="491">
        <v>12055.58</v>
      </c>
      <c r="F307" s="490"/>
      <c r="G307" s="491">
        <v>5055.58</v>
      </c>
      <c r="H307" s="490">
        <v>172.22</v>
      </c>
      <c r="I307" s="491">
        <v>19819.2</v>
      </c>
      <c r="J307" s="490"/>
      <c r="K307" s="278">
        <f t="shared" si="8"/>
        <v>12055.58</v>
      </c>
    </row>
    <row r="308" spans="1:11" x14ac:dyDescent="0.3">
      <c r="A308" s="490">
        <v>1712300720</v>
      </c>
      <c r="B308" s="490" t="s">
        <v>311</v>
      </c>
      <c r="C308" s="491">
        <v>40000</v>
      </c>
      <c r="D308" s="491">
        <f t="shared" si="9"/>
        <v>16666.666666666668</v>
      </c>
      <c r="E308" s="491">
        <v>10715</v>
      </c>
      <c r="F308" s="491">
        <v>29285</v>
      </c>
      <c r="G308" s="490"/>
      <c r="H308" s="490">
        <v>26.79</v>
      </c>
      <c r="I308" s="491">
        <v>31628.6</v>
      </c>
      <c r="J308" s="491">
        <v>14640</v>
      </c>
      <c r="K308" s="278">
        <f t="shared" si="8"/>
        <v>25355</v>
      </c>
    </row>
    <row r="309" spans="1:11" x14ac:dyDescent="0.3">
      <c r="A309" s="490">
        <v>1712300731</v>
      </c>
      <c r="B309" s="490" t="s">
        <v>312</v>
      </c>
      <c r="C309" s="491">
        <v>140000</v>
      </c>
      <c r="D309" s="491">
        <f t="shared" si="9"/>
        <v>58333.333333333328</v>
      </c>
      <c r="E309" s="491">
        <v>24843.46</v>
      </c>
      <c r="F309" s="491">
        <v>115156.54</v>
      </c>
      <c r="G309" s="490"/>
      <c r="H309" s="490">
        <v>17.75</v>
      </c>
      <c r="I309" s="491">
        <v>154861.84</v>
      </c>
      <c r="J309" s="490"/>
      <c r="K309" s="278">
        <f t="shared" si="8"/>
        <v>24843.46</v>
      </c>
    </row>
    <row r="310" spans="1:11" x14ac:dyDescent="0.3">
      <c r="A310" s="490">
        <v>1712300732</v>
      </c>
      <c r="B310" s="490" t="s">
        <v>313</v>
      </c>
      <c r="C310" s="491">
        <v>100000</v>
      </c>
      <c r="D310" s="491">
        <f t="shared" si="9"/>
        <v>41666.666666666672</v>
      </c>
      <c r="E310" s="491">
        <v>47117.85</v>
      </c>
      <c r="F310" s="491">
        <v>52882.15</v>
      </c>
      <c r="G310" s="490"/>
      <c r="H310" s="490">
        <v>47.12</v>
      </c>
      <c r="I310" s="491">
        <v>94056.34</v>
      </c>
      <c r="J310" s="491">
        <v>26815.7</v>
      </c>
      <c r="K310" s="278">
        <f t="shared" si="8"/>
        <v>73933.55</v>
      </c>
    </row>
    <row r="311" spans="1:11" x14ac:dyDescent="0.3">
      <c r="A311" s="490">
        <v>1712300750</v>
      </c>
      <c r="B311" s="490" t="s">
        <v>314</v>
      </c>
      <c r="C311" s="491">
        <v>2646540</v>
      </c>
      <c r="D311" s="491">
        <f t="shared" si="9"/>
        <v>1102725</v>
      </c>
      <c r="E311" s="491">
        <v>1341082.82</v>
      </c>
      <c r="F311" s="491">
        <v>1305457.18</v>
      </c>
      <c r="G311" s="490"/>
      <c r="H311" s="490">
        <v>50.67</v>
      </c>
      <c r="I311" s="491">
        <v>2686515.42</v>
      </c>
      <c r="J311" s="490"/>
      <c r="K311" s="278">
        <f t="shared" si="8"/>
        <v>1341082.82</v>
      </c>
    </row>
    <row r="312" spans="1:11" x14ac:dyDescent="0.3">
      <c r="A312" s="490">
        <v>1712300751</v>
      </c>
      <c r="B312" s="490" t="s">
        <v>315</v>
      </c>
      <c r="C312" s="491">
        <v>988254</v>
      </c>
      <c r="D312" s="491">
        <f t="shared" si="9"/>
        <v>411772.5</v>
      </c>
      <c r="E312" s="491">
        <v>238680.28</v>
      </c>
      <c r="F312" s="491">
        <v>749573.72</v>
      </c>
      <c r="G312" s="490"/>
      <c r="H312" s="490">
        <v>24.15</v>
      </c>
      <c r="I312" s="491">
        <v>590101.84</v>
      </c>
      <c r="J312" s="490">
        <v>200000</v>
      </c>
      <c r="K312" s="278">
        <f t="shared" si="8"/>
        <v>438680.28</v>
      </c>
    </row>
    <row r="313" spans="1:11" x14ac:dyDescent="0.3">
      <c r="A313" s="490">
        <v>1712300752</v>
      </c>
      <c r="B313" s="490" t="s">
        <v>316</v>
      </c>
      <c r="C313" s="491">
        <v>445068</v>
      </c>
      <c r="D313" s="491">
        <f t="shared" si="9"/>
        <v>185445</v>
      </c>
      <c r="E313" s="491">
        <v>156195</v>
      </c>
      <c r="F313" s="491">
        <v>288873</v>
      </c>
      <c r="G313" s="490"/>
      <c r="H313" s="490">
        <v>35.090000000000003</v>
      </c>
      <c r="I313" s="491">
        <v>374868</v>
      </c>
      <c r="J313" s="490"/>
      <c r="K313" s="278">
        <f t="shared" si="8"/>
        <v>156195</v>
      </c>
    </row>
    <row r="314" spans="1:11" x14ac:dyDescent="0.3">
      <c r="A314" s="490">
        <v>1712300753</v>
      </c>
      <c r="B314" s="490" t="s">
        <v>317</v>
      </c>
      <c r="C314" s="491">
        <v>20000</v>
      </c>
      <c r="D314" s="491">
        <f t="shared" si="9"/>
        <v>8333.3333333333339</v>
      </c>
      <c r="E314" s="491">
        <v>1170</v>
      </c>
      <c r="F314" s="491">
        <v>18830</v>
      </c>
      <c r="G314" s="490"/>
      <c r="H314" s="490">
        <v>5.85</v>
      </c>
      <c r="I314" s="491">
        <v>2360</v>
      </c>
      <c r="J314" s="491">
        <v>8833.39</v>
      </c>
      <c r="K314" s="278">
        <f t="shared" si="8"/>
        <v>10003.39</v>
      </c>
    </row>
    <row r="315" spans="1:11" x14ac:dyDescent="0.3">
      <c r="A315" s="490">
        <v>1712300754</v>
      </c>
      <c r="B315" s="490" t="s">
        <v>318</v>
      </c>
      <c r="C315" s="491">
        <v>2527200</v>
      </c>
      <c r="D315" s="491">
        <f t="shared" si="9"/>
        <v>1053000</v>
      </c>
      <c r="E315" s="491">
        <v>2017968.92</v>
      </c>
      <c r="F315" s="491">
        <v>509231.08</v>
      </c>
      <c r="G315" s="490"/>
      <c r="H315" s="490">
        <v>79.849999999999994</v>
      </c>
      <c r="I315" s="491">
        <v>4101498.39</v>
      </c>
      <c r="J315" s="490"/>
      <c r="K315" s="278">
        <f t="shared" si="8"/>
        <v>2017968.92</v>
      </c>
    </row>
    <row r="316" spans="1:11" x14ac:dyDescent="0.3">
      <c r="A316" s="490">
        <v>1712300755</v>
      </c>
      <c r="B316" s="490" t="s">
        <v>319</v>
      </c>
      <c r="C316" s="491">
        <v>1300000</v>
      </c>
      <c r="D316" s="491">
        <f t="shared" si="9"/>
        <v>541666.66666666663</v>
      </c>
      <c r="E316" s="491">
        <v>208954.17</v>
      </c>
      <c r="F316" s="491">
        <v>1091045.83</v>
      </c>
      <c r="G316" s="490"/>
      <c r="H316" s="490">
        <v>16.07</v>
      </c>
      <c r="I316" s="491">
        <v>481394.12</v>
      </c>
      <c r="J316" s="490"/>
      <c r="K316" s="278">
        <f t="shared" si="8"/>
        <v>208954.17</v>
      </c>
    </row>
    <row r="317" spans="1:11" x14ac:dyDescent="0.3">
      <c r="A317" s="490">
        <v>1712300757</v>
      </c>
      <c r="B317" s="490" t="s">
        <v>320</v>
      </c>
      <c r="C317" s="491">
        <v>270000</v>
      </c>
      <c r="D317" s="491">
        <f t="shared" si="9"/>
        <v>112500</v>
      </c>
      <c r="E317" s="491">
        <v>34936.85</v>
      </c>
      <c r="F317" s="491">
        <v>235063.15</v>
      </c>
      <c r="G317" s="490"/>
      <c r="H317" s="490">
        <v>12.94</v>
      </c>
      <c r="I317" s="491">
        <v>162130.10999999999</v>
      </c>
      <c r="J317" s="491">
        <v>81915.039999999994</v>
      </c>
      <c r="K317" s="278">
        <f t="shared" si="8"/>
        <v>116851.88999999998</v>
      </c>
    </row>
    <row r="318" spans="1:11" x14ac:dyDescent="0.3">
      <c r="A318" s="490">
        <v>1712300811</v>
      </c>
      <c r="B318" s="490" t="s">
        <v>321</v>
      </c>
      <c r="C318" s="491">
        <v>288000</v>
      </c>
      <c r="D318" s="491">
        <f t="shared" si="9"/>
        <v>120000</v>
      </c>
      <c r="E318" s="491">
        <v>72000</v>
      </c>
      <c r="F318" s="491">
        <v>216000</v>
      </c>
      <c r="G318" s="490"/>
      <c r="H318" s="490">
        <v>25</v>
      </c>
      <c r="I318" s="491">
        <v>288000</v>
      </c>
      <c r="J318" s="490"/>
      <c r="K318" s="278">
        <f t="shared" si="8"/>
        <v>72000</v>
      </c>
    </row>
    <row r="319" spans="1:11" x14ac:dyDescent="0.3">
      <c r="A319" s="490">
        <v>1713000110</v>
      </c>
      <c r="B319" s="490" t="s">
        <v>322</v>
      </c>
      <c r="C319" s="491">
        <v>-2633.5</v>
      </c>
      <c r="D319" s="491">
        <f t="shared" si="9"/>
        <v>-1097.2916666666667</v>
      </c>
      <c r="E319" s="490"/>
      <c r="F319" s="490"/>
      <c r="G319" s="491">
        <v>2633.5</v>
      </c>
      <c r="H319" s="490"/>
      <c r="I319" s="491">
        <v>27347.56</v>
      </c>
      <c r="J319" s="490"/>
      <c r="K319" s="278">
        <f t="shared" si="8"/>
        <v>0</v>
      </c>
    </row>
    <row r="320" spans="1:11" x14ac:dyDescent="0.3">
      <c r="A320" s="490">
        <v>1714000110</v>
      </c>
      <c r="B320" s="490" t="s">
        <v>323</v>
      </c>
      <c r="C320" s="491">
        <v>339064.44</v>
      </c>
      <c r="D320" s="491">
        <f t="shared" si="9"/>
        <v>141276.85</v>
      </c>
      <c r="E320" s="491">
        <v>117962.36</v>
      </c>
      <c r="F320" s="491">
        <v>221102.07999999999</v>
      </c>
      <c r="G320" s="490"/>
      <c r="H320" s="490">
        <v>34.79</v>
      </c>
      <c r="I320" s="491">
        <v>304624.40999999997</v>
      </c>
      <c r="J320" s="490"/>
      <c r="K320" s="278">
        <f t="shared" si="8"/>
        <v>117962.36</v>
      </c>
    </row>
    <row r="321" spans="1:11" x14ac:dyDescent="0.3">
      <c r="A321" s="490">
        <v>1714000830</v>
      </c>
      <c r="B321" s="490" t="s">
        <v>324</v>
      </c>
      <c r="C321" s="491">
        <v>18000</v>
      </c>
      <c r="D321" s="491">
        <f t="shared" si="9"/>
        <v>7500</v>
      </c>
      <c r="E321" s="491">
        <v>3818</v>
      </c>
      <c r="F321" s="491">
        <v>14182</v>
      </c>
      <c r="G321" s="490"/>
      <c r="H321" s="490">
        <v>21.21</v>
      </c>
      <c r="I321" s="491">
        <v>16473</v>
      </c>
      <c r="J321" s="490"/>
      <c r="K321" s="278">
        <f t="shared" si="8"/>
        <v>3818</v>
      </c>
    </row>
    <row r="322" spans="1:11" x14ac:dyDescent="0.3">
      <c r="A322" s="490">
        <v>1714200780</v>
      </c>
      <c r="B322" s="490" t="s">
        <v>325</v>
      </c>
      <c r="C322" s="491">
        <v>18000</v>
      </c>
      <c r="D322" s="491">
        <f t="shared" si="9"/>
        <v>7500</v>
      </c>
      <c r="E322" s="490"/>
      <c r="F322" s="491">
        <v>18000</v>
      </c>
      <c r="G322" s="490"/>
      <c r="H322" s="490"/>
      <c r="I322" s="490">
        <v>6.27</v>
      </c>
      <c r="J322" s="490"/>
      <c r="K322" s="278">
        <f t="shared" si="8"/>
        <v>0</v>
      </c>
    </row>
    <row r="323" spans="1:11" x14ac:dyDescent="0.3">
      <c r="A323" s="490">
        <v>1714400830</v>
      </c>
      <c r="B323" s="490" t="s">
        <v>326</v>
      </c>
      <c r="C323" s="491">
        <v>195000</v>
      </c>
      <c r="D323" s="491">
        <f t="shared" si="9"/>
        <v>81250</v>
      </c>
      <c r="E323" s="490"/>
      <c r="F323" s="491">
        <v>195000</v>
      </c>
      <c r="G323" s="490"/>
      <c r="H323" s="490"/>
      <c r="I323" s="490"/>
      <c r="J323" s="490"/>
      <c r="K323" s="278">
        <f t="shared" ref="K323:K386" si="10">E323+J323</f>
        <v>0</v>
      </c>
    </row>
    <row r="324" spans="1:11" x14ac:dyDescent="0.3">
      <c r="A324" s="490">
        <v>1715000110</v>
      </c>
      <c r="B324" s="490" t="s">
        <v>327</v>
      </c>
      <c r="C324" s="491">
        <v>133532.47</v>
      </c>
      <c r="D324" s="491">
        <f t="shared" si="9"/>
        <v>55638.529166666667</v>
      </c>
      <c r="E324" s="491">
        <v>64231</v>
      </c>
      <c r="F324" s="491">
        <v>69301.47</v>
      </c>
      <c r="G324" s="490"/>
      <c r="H324" s="490">
        <v>48.1</v>
      </c>
      <c r="I324" s="491">
        <v>156940.41</v>
      </c>
      <c r="J324" s="490"/>
      <c r="K324" s="278">
        <f t="shared" si="10"/>
        <v>64231</v>
      </c>
    </row>
    <row r="325" spans="1:11" x14ac:dyDescent="0.3">
      <c r="A325" s="490">
        <v>1722000110</v>
      </c>
      <c r="B325" s="490" t="s">
        <v>329</v>
      </c>
      <c r="C325" s="490"/>
      <c r="D325" s="491">
        <f t="shared" si="9"/>
        <v>0</v>
      </c>
      <c r="E325" s="490"/>
      <c r="F325" s="490"/>
      <c r="G325" s="490"/>
      <c r="H325" s="490"/>
      <c r="I325" s="491">
        <v>63164.93</v>
      </c>
      <c r="J325" s="490"/>
      <c r="K325" s="278">
        <f t="shared" si="10"/>
        <v>0</v>
      </c>
    </row>
    <row r="326" spans="1:11" x14ac:dyDescent="0.3">
      <c r="A326" s="490">
        <v>1722000780</v>
      </c>
      <c r="B326" s="490" t="s">
        <v>330</v>
      </c>
      <c r="C326" s="491">
        <v>34400</v>
      </c>
      <c r="D326" s="491">
        <f t="shared" ref="D326:D389" si="11">C326/12*5</f>
        <v>14333.333333333332</v>
      </c>
      <c r="E326" s="491">
        <v>17984.400000000001</v>
      </c>
      <c r="F326" s="491">
        <v>16415.599999999999</v>
      </c>
      <c r="G326" s="490"/>
      <c r="H326" s="490">
        <v>52.28</v>
      </c>
      <c r="I326" s="491">
        <v>25738.27</v>
      </c>
      <c r="J326" s="491">
        <v>8525.6</v>
      </c>
      <c r="K326" s="278">
        <f t="shared" si="10"/>
        <v>26510</v>
      </c>
    </row>
    <row r="327" spans="1:11" x14ac:dyDescent="0.3">
      <c r="A327" s="490">
        <v>1723000110</v>
      </c>
      <c r="B327" s="490" t="s">
        <v>331</v>
      </c>
      <c r="C327" s="491">
        <v>696453.66</v>
      </c>
      <c r="D327" s="491">
        <f t="shared" si="11"/>
        <v>290189.02500000002</v>
      </c>
      <c r="E327" s="491">
        <v>211742.76</v>
      </c>
      <c r="F327" s="491">
        <v>484710.9</v>
      </c>
      <c r="G327" s="490"/>
      <c r="H327" s="490">
        <v>30.4</v>
      </c>
      <c r="I327" s="491">
        <v>656950.11</v>
      </c>
      <c r="J327" s="490"/>
      <c r="K327" s="278">
        <f t="shared" si="10"/>
        <v>211742.76</v>
      </c>
    </row>
    <row r="328" spans="1:11" x14ac:dyDescent="0.3">
      <c r="A328" s="490">
        <v>1723000420</v>
      </c>
      <c r="B328" s="490" t="s">
        <v>332</v>
      </c>
      <c r="C328" s="491">
        <v>486000</v>
      </c>
      <c r="D328" s="491">
        <f t="shared" si="11"/>
        <v>202500</v>
      </c>
      <c r="E328" s="491">
        <v>241607.71</v>
      </c>
      <c r="F328" s="491">
        <v>244392.29</v>
      </c>
      <c r="G328" s="490"/>
      <c r="H328" s="490">
        <v>49.71</v>
      </c>
      <c r="I328" s="491">
        <v>680879.52</v>
      </c>
      <c r="J328" s="491">
        <v>30810.81</v>
      </c>
      <c r="K328" s="278">
        <f t="shared" si="10"/>
        <v>272418.52</v>
      </c>
    </row>
    <row r="329" spans="1:11" x14ac:dyDescent="0.3">
      <c r="A329" s="490">
        <v>1723000421</v>
      </c>
      <c r="B329" s="490" t="s">
        <v>333</v>
      </c>
      <c r="C329" s="491">
        <v>40000</v>
      </c>
      <c r="D329" s="491">
        <f t="shared" si="11"/>
        <v>16666.666666666668</v>
      </c>
      <c r="E329" s="490"/>
      <c r="F329" s="491">
        <v>40000</v>
      </c>
      <c r="G329" s="490"/>
      <c r="H329" s="490"/>
      <c r="I329" s="490"/>
      <c r="J329" s="490"/>
      <c r="K329" s="278">
        <f t="shared" si="10"/>
        <v>0</v>
      </c>
    </row>
    <row r="330" spans="1:11" x14ac:dyDescent="0.3">
      <c r="A330" s="490">
        <v>1723000422</v>
      </c>
      <c r="B330" s="490" t="s">
        <v>334</v>
      </c>
      <c r="C330" s="491">
        <v>25000</v>
      </c>
      <c r="D330" s="491">
        <f t="shared" si="11"/>
        <v>10416.666666666668</v>
      </c>
      <c r="E330" s="490"/>
      <c r="F330" s="491">
        <v>25000</v>
      </c>
      <c r="G330" s="490"/>
      <c r="H330" s="490"/>
      <c r="I330" s="490"/>
      <c r="J330" s="491">
        <v>1345.5</v>
      </c>
      <c r="K330" s="278">
        <f t="shared" si="10"/>
        <v>1345.5</v>
      </c>
    </row>
    <row r="331" spans="1:11" x14ac:dyDescent="0.3">
      <c r="A331" s="490">
        <v>1723000431</v>
      </c>
      <c r="B331" s="490" t="s">
        <v>335</v>
      </c>
      <c r="C331" s="491">
        <v>103178.38</v>
      </c>
      <c r="D331" s="491">
        <f t="shared" si="11"/>
        <v>42990.991666666669</v>
      </c>
      <c r="E331" s="491">
        <v>52297.52</v>
      </c>
      <c r="F331" s="491">
        <v>50880.86</v>
      </c>
      <c r="G331" s="490"/>
      <c r="H331" s="490">
        <v>50.69</v>
      </c>
      <c r="I331" s="491">
        <v>150872.5</v>
      </c>
      <c r="J331" s="490"/>
      <c r="K331" s="278">
        <f t="shared" si="10"/>
        <v>52297.52</v>
      </c>
    </row>
    <row r="332" spans="1:11" x14ac:dyDescent="0.3">
      <c r="A332" s="490">
        <v>1723000432</v>
      </c>
      <c r="B332" s="490" t="s">
        <v>253</v>
      </c>
      <c r="C332" s="491">
        <v>50000</v>
      </c>
      <c r="D332" s="491">
        <f t="shared" si="11"/>
        <v>20833.333333333336</v>
      </c>
      <c r="E332" s="490"/>
      <c r="F332" s="491">
        <v>50000</v>
      </c>
      <c r="G332" s="490"/>
      <c r="H332" s="490"/>
      <c r="I332" s="491">
        <v>1049.49</v>
      </c>
      <c r="J332" s="490"/>
      <c r="K332" s="278">
        <f t="shared" si="10"/>
        <v>0</v>
      </c>
    </row>
    <row r="333" spans="1:11" x14ac:dyDescent="0.3">
      <c r="A333" s="490">
        <v>1723000440</v>
      </c>
      <c r="B333" s="490" t="s">
        <v>336</v>
      </c>
      <c r="C333" s="491">
        <v>200000</v>
      </c>
      <c r="D333" s="491">
        <f t="shared" si="11"/>
        <v>83333.333333333343</v>
      </c>
      <c r="E333" s="490"/>
      <c r="F333" s="491">
        <v>200000</v>
      </c>
      <c r="G333" s="490"/>
      <c r="H333" s="490"/>
      <c r="I333" s="490"/>
      <c r="J333" s="490"/>
      <c r="K333" s="278">
        <f t="shared" si="10"/>
        <v>0</v>
      </c>
    </row>
    <row r="334" spans="1:11" x14ac:dyDescent="0.3">
      <c r="A334" s="490">
        <v>1723000532</v>
      </c>
      <c r="B334" s="490" t="s">
        <v>746</v>
      </c>
      <c r="C334" s="491">
        <v>6500</v>
      </c>
      <c r="D334" s="491">
        <f t="shared" si="11"/>
        <v>2708.333333333333</v>
      </c>
      <c r="E334" s="490"/>
      <c r="F334" s="491">
        <v>6500</v>
      </c>
      <c r="G334" s="490"/>
      <c r="H334" s="490"/>
      <c r="I334" s="491">
        <v>9459</v>
      </c>
      <c r="J334" s="490"/>
      <c r="K334" s="278">
        <f t="shared" si="10"/>
        <v>0</v>
      </c>
    </row>
    <row r="335" spans="1:11" x14ac:dyDescent="0.3">
      <c r="A335" s="490">
        <v>1723000550</v>
      </c>
      <c r="B335" s="490" t="s">
        <v>338</v>
      </c>
      <c r="C335" s="491">
        <v>6115</v>
      </c>
      <c r="D335" s="491">
        <f t="shared" si="11"/>
        <v>2547.9166666666665</v>
      </c>
      <c r="E335" s="490"/>
      <c r="F335" s="491">
        <v>6115</v>
      </c>
      <c r="G335" s="490"/>
      <c r="H335" s="490"/>
      <c r="I335" s="490"/>
      <c r="J335" s="490"/>
      <c r="K335" s="278">
        <f t="shared" si="10"/>
        <v>0</v>
      </c>
    </row>
    <row r="336" spans="1:11" x14ac:dyDescent="0.3">
      <c r="A336" s="490">
        <v>1723000810</v>
      </c>
      <c r="B336" s="490" t="s">
        <v>339</v>
      </c>
      <c r="C336" s="491">
        <v>144314</v>
      </c>
      <c r="D336" s="491">
        <f t="shared" si="11"/>
        <v>60130.833333333328</v>
      </c>
      <c r="E336" s="490"/>
      <c r="F336" s="491">
        <v>144314</v>
      </c>
      <c r="G336" s="490"/>
      <c r="H336" s="490"/>
      <c r="I336" s="491">
        <v>133728</v>
      </c>
      <c r="J336" s="490"/>
      <c r="K336" s="278">
        <f t="shared" si="10"/>
        <v>0</v>
      </c>
    </row>
    <row r="337" spans="1:11" x14ac:dyDescent="0.3">
      <c r="A337" s="490">
        <v>1723100110</v>
      </c>
      <c r="B337" s="490" t="s">
        <v>340</v>
      </c>
      <c r="C337" s="491">
        <v>330384.62</v>
      </c>
      <c r="D337" s="491">
        <f t="shared" si="11"/>
        <v>137660.25833333333</v>
      </c>
      <c r="E337" s="491">
        <v>123243.74</v>
      </c>
      <c r="F337" s="491">
        <v>207140.88</v>
      </c>
      <c r="G337" s="490"/>
      <c r="H337" s="490">
        <v>37.299999999999997</v>
      </c>
      <c r="I337" s="491">
        <v>279217.76</v>
      </c>
      <c r="J337" s="490"/>
      <c r="K337" s="278">
        <f t="shared" si="10"/>
        <v>123243.74</v>
      </c>
    </row>
    <row r="338" spans="1:11" x14ac:dyDescent="0.3">
      <c r="A338" s="490">
        <v>1723100751</v>
      </c>
      <c r="B338" s="490" t="s">
        <v>341</v>
      </c>
      <c r="C338" s="491">
        <v>35000</v>
      </c>
      <c r="D338" s="491">
        <f t="shared" si="11"/>
        <v>14583.333333333332</v>
      </c>
      <c r="E338" s="491">
        <v>-1191.21</v>
      </c>
      <c r="F338" s="491">
        <v>36191.21</v>
      </c>
      <c r="G338" s="490"/>
      <c r="H338" s="490">
        <v>-3.4</v>
      </c>
      <c r="I338" s="491">
        <v>26525.78</v>
      </c>
      <c r="J338" s="491">
        <v>7000</v>
      </c>
      <c r="K338" s="278">
        <f t="shared" si="10"/>
        <v>5808.79</v>
      </c>
    </row>
    <row r="339" spans="1:11" x14ac:dyDescent="0.3">
      <c r="A339" s="490">
        <v>1726000110</v>
      </c>
      <c r="B339" s="490" t="s">
        <v>342</v>
      </c>
      <c r="C339" s="491">
        <v>322192.71999999997</v>
      </c>
      <c r="D339" s="491">
        <f t="shared" si="11"/>
        <v>134246.96666666665</v>
      </c>
      <c r="E339" s="491">
        <v>132044.35</v>
      </c>
      <c r="F339" s="491">
        <v>190148.37</v>
      </c>
      <c r="G339" s="490"/>
      <c r="H339" s="490">
        <v>40.98</v>
      </c>
      <c r="I339" s="491">
        <v>453628.37</v>
      </c>
      <c r="J339" s="490"/>
      <c r="K339" s="278">
        <f t="shared" si="10"/>
        <v>132044.35</v>
      </c>
    </row>
    <row r="340" spans="1:11" x14ac:dyDescent="0.3">
      <c r="A340" s="490">
        <v>1726000531</v>
      </c>
      <c r="B340" s="490" t="s">
        <v>343</v>
      </c>
      <c r="C340" s="491">
        <v>90360</v>
      </c>
      <c r="D340" s="491">
        <f t="shared" si="11"/>
        <v>37650</v>
      </c>
      <c r="E340" s="491">
        <v>11459.04</v>
      </c>
      <c r="F340" s="491">
        <v>78900.960000000006</v>
      </c>
      <c r="G340" s="490"/>
      <c r="H340" s="490">
        <v>12.68</v>
      </c>
      <c r="I340" s="491">
        <v>51647.05</v>
      </c>
      <c r="J340" s="491">
        <v>5850</v>
      </c>
      <c r="K340" s="278">
        <f t="shared" si="10"/>
        <v>17309.04</v>
      </c>
    </row>
    <row r="341" spans="1:11" x14ac:dyDescent="0.3">
      <c r="A341" s="490">
        <v>1727000431</v>
      </c>
      <c r="B341" s="490" t="s">
        <v>346</v>
      </c>
      <c r="C341" s="490">
        <v>888.14</v>
      </c>
      <c r="D341" s="491">
        <f t="shared" si="11"/>
        <v>370.05833333333334</v>
      </c>
      <c r="E341" s="491">
        <v>6036.66</v>
      </c>
      <c r="F341" s="490"/>
      <c r="G341" s="491">
        <v>5148.5200000000004</v>
      </c>
      <c r="H341" s="490">
        <v>679.7</v>
      </c>
      <c r="I341" s="491">
        <v>18327.88</v>
      </c>
      <c r="J341" s="490"/>
      <c r="K341" s="278">
        <f t="shared" si="10"/>
        <v>6036.66</v>
      </c>
    </row>
    <row r="342" spans="1:11" x14ac:dyDescent="0.3">
      <c r="A342" s="490">
        <v>1727000531</v>
      </c>
      <c r="B342" s="490" t="s">
        <v>747</v>
      </c>
      <c r="C342" s="490"/>
      <c r="D342" s="491">
        <f t="shared" si="11"/>
        <v>0</v>
      </c>
      <c r="E342" s="491">
        <v>45141.63</v>
      </c>
      <c r="F342" s="490"/>
      <c r="G342" s="491">
        <v>45141.63</v>
      </c>
      <c r="H342" s="490"/>
      <c r="I342" s="491">
        <v>65522.53</v>
      </c>
      <c r="J342" s="490"/>
      <c r="K342" s="278">
        <f t="shared" si="10"/>
        <v>45141.63</v>
      </c>
    </row>
    <row r="343" spans="1:11" x14ac:dyDescent="0.3">
      <c r="A343" s="490">
        <v>1727000750</v>
      </c>
      <c r="B343" s="490" t="s">
        <v>3528</v>
      </c>
      <c r="C343" s="491">
        <v>300000</v>
      </c>
      <c r="D343" s="491">
        <f t="shared" si="11"/>
        <v>125000</v>
      </c>
      <c r="E343" s="491">
        <v>106036.41</v>
      </c>
      <c r="F343" s="491">
        <v>193963.59</v>
      </c>
      <c r="G343" s="490"/>
      <c r="H343" s="490">
        <v>35.35</v>
      </c>
      <c r="I343" s="490"/>
      <c r="J343" s="491">
        <v>40111.24</v>
      </c>
      <c r="K343" s="278">
        <f t="shared" si="10"/>
        <v>146147.65</v>
      </c>
    </row>
    <row r="344" spans="1:11" x14ac:dyDescent="0.3">
      <c r="A344" s="490">
        <v>1727000780</v>
      </c>
      <c r="B344" s="490" t="s">
        <v>748</v>
      </c>
      <c r="C344" s="491">
        <v>17000</v>
      </c>
      <c r="D344" s="491">
        <f t="shared" si="11"/>
        <v>7083.3333333333339</v>
      </c>
      <c r="E344" s="490"/>
      <c r="F344" s="491">
        <v>17000</v>
      </c>
      <c r="G344" s="490"/>
      <c r="H344" s="490"/>
      <c r="I344" s="491">
        <v>17000</v>
      </c>
      <c r="J344" s="490"/>
      <c r="K344" s="278">
        <f t="shared" si="10"/>
        <v>0</v>
      </c>
    </row>
    <row r="345" spans="1:11" x14ac:dyDescent="0.3">
      <c r="A345" s="490">
        <v>1730000430</v>
      </c>
      <c r="B345" s="490" t="s">
        <v>348</v>
      </c>
      <c r="C345" s="491">
        <v>250000</v>
      </c>
      <c r="D345" s="491">
        <f t="shared" si="11"/>
        <v>104166.66666666666</v>
      </c>
      <c r="E345" s="490"/>
      <c r="F345" s="491">
        <v>250000</v>
      </c>
      <c r="G345" s="490"/>
      <c r="H345" s="490"/>
      <c r="I345" s="490"/>
      <c r="J345" s="490"/>
      <c r="K345" s="278">
        <f t="shared" si="10"/>
        <v>0</v>
      </c>
    </row>
    <row r="346" spans="1:11" x14ac:dyDescent="0.3">
      <c r="A346" s="490">
        <v>1731000110</v>
      </c>
      <c r="B346" s="490" t="s">
        <v>349</v>
      </c>
      <c r="C346" s="491">
        <v>1982374.22</v>
      </c>
      <c r="D346" s="491">
        <f t="shared" si="11"/>
        <v>825989.2583333333</v>
      </c>
      <c r="E346" s="491">
        <v>581670.88</v>
      </c>
      <c r="F346" s="491">
        <v>1400703.34</v>
      </c>
      <c r="G346" s="490"/>
      <c r="H346" s="490">
        <v>29.34</v>
      </c>
      <c r="I346" s="491">
        <v>1566420.7</v>
      </c>
      <c r="J346" s="490"/>
      <c r="K346" s="278">
        <f t="shared" si="10"/>
        <v>581670.88</v>
      </c>
    </row>
    <row r="347" spans="1:11" x14ac:dyDescent="0.3">
      <c r="A347" s="490">
        <v>1731000530</v>
      </c>
      <c r="B347" s="490" t="s">
        <v>350</v>
      </c>
      <c r="C347" s="491">
        <v>139200</v>
      </c>
      <c r="D347" s="491">
        <f t="shared" si="11"/>
        <v>58000</v>
      </c>
      <c r="E347" s="491">
        <v>8013.95</v>
      </c>
      <c r="F347" s="491">
        <v>131186.04999999999</v>
      </c>
      <c r="G347" s="490"/>
      <c r="H347" s="490">
        <v>5.76</v>
      </c>
      <c r="I347" s="491">
        <v>127165.27</v>
      </c>
      <c r="J347" s="490"/>
      <c r="K347" s="278">
        <f t="shared" si="10"/>
        <v>8013.95</v>
      </c>
    </row>
    <row r="348" spans="1:11" x14ac:dyDescent="0.3">
      <c r="A348" s="490">
        <v>1731000531</v>
      </c>
      <c r="B348" s="490" t="s">
        <v>351</v>
      </c>
      <c r="C348" s="491">
        <v>64416</v>
      </c>
      <c r="D348" s="491">
        <f t="shared" si="11"/>
        <v>26840</v>
      </c>
      <c r="E348" s="491">
        <v>24080.16</v>
      </c>
      <c r="F348" s="491">
        <v>40335.839999999997</v>
      </c>
      <c r="G348" s="490"/>
      <c r="H348" s="490">
        <v>37.380000000000003</v>
      </c>
      <c r="I348" s="491">
        <v>52676.35</v>
      </c>
      <c r="J348" s="490"/>
      <c r="K348" s="278">
        <f t="shared" si="10"/>
        <v>24080.16</v>
      </c>
    </row>
    <row r="349" spans="1:11" x14ac:dyDescent="0.3">
      <c r="A349" s="490">
        <v>1731000570</v>
      </c>
      <c r="B349" s="490" t="s">
        <v>352</v>
      </c>
      <c r="C349" s="491">
        <v>10000</v>
      </c>
      <c r="D349" s="491">
        <f t="shared" si="11"/>
        <v>4166.666666666667</v>
      </c>
      <c r="E349" s="490"/>
      <c r="F349" s="491">
        <v>10000</v>
      </c>
      <c r="G349" s="490"/>
      <c r="H349" s="490"/>
      <c r="I349" s="491">
        <v>15403</v>
      </c>
      <c r="J349" s="490"/>
      <c r="K349" s="278">
        <f t="shared" si="10"/>
        <v>0</v>
      </c>
    </row>
    <row r="350" spans="1:11" x14ac:dyDescent="0.3">
      <c r="A350" s="490">
        <v>1731000780</v>
      </c>
      <c r="B350" s="490" t="s">
        <v>353</v>
      </c>
      <c r="C350" s="491">
        <v>25500</v>
      </c>
      <c r="D350" s="491">
        <f t="shared" si="11"/>
        <v>10625</v>
      </c>
      <c r="E350" s="491">
        <v>53831.13</v>
      </c>
      <c r="F350" s="490"/>
      <c r="G350" s="491">
        <v>28331.13</v>
      </c>
      <c r="H350" s="490">
        <v>211.1</v>
      </c>
      <c r="I350" s="491">
        <v>25172.33</v>
      </c>
      <c r="J350" s="491">
        <v>2685.19</v>
      </c>
      <c r="K350" s="278">
        <f t="shared" si="10"/>
        <v>56516.32</v>
      </c>
    </row>
    <row r="351" spans="1:11" x14ac:dyDescent="0.3">
      <c r="A351" s="490">
        <v>1731000781</v>
      </c>
      <c r="B351" s="490" t="s">
        <v>354</v>
      </c>
      <c r="C351" s="491">
        <v>100000</v>
      </c>
      <c r="D351" s="491">
        <f t="shared" si="11"/>
        <v>41666.666666666672</v>
      </c>
      <c r="E351" s="490"/>
      <c r="F351" s="491">
        <v>100000</v>
      </c>
      <c r="G351" s="490"/>
      <c r="H351" s="490"/>
      <c r="I351" s="491">
        <v>23400</v>
      </c>
      <c r="J351" s="491">
        <v>47794.5</v>
      </c>
      <c r="K351" s="278">
        <f t="shared" si="10"/>
        <v>47794.5</v>
      </c>
    </row>
    <row r="352" spans="1:11" x14ac:dyDescent="0.3">
      <c r="A352" s="490">
        <v>1732000780</v>
      </c>
      <c r="B352" s="490" t="s">
        <v>355</v>
      </c>
      <c r="C352" s="491">
        <v>110000</v>
      </c>
      <c r="D352" s="491">
        <f t="shared" si="11"/>
        <v>45833.333333333328</v>
      </c>
      <c r="E352" s="491">
        <v>2527.1999999999998</v>
      </c>
      <c r="F352" s="491">
        <v>107472.8</v>
      </c>
      <c r="G352" s="490"/>
      <c r="H352" s="490">
        <v>2.2999999999999998</v>
      </c>
      <c r="I352" s="491">
        <v>22560.400000000001</v>
      </c>
      <c r="J352" s="491">
        <v>8353.7999999999993</v>
      </c>
      <c r="K352" s="278">
        <f t="shared" si="10"/>
        <v>10881</v>
      </c>
    </row>
    <row r="353" spans="1:11" x14ac:dyDescent="0.3">
      <c r="A353" s="490">
        <v>1733000110</v>
      </c>
      <c r="B353" s="490" t="s">
        <v>356</v>
      </c>
      <c r="C353" s="491">
        <v>996133.9</v>
      </c>
      <c r="D353" s="491">
        <f t="shared" si="11"/>
        <v>415055.79166666669</v>
      </c>
      <c r="E353" s="491">
        <v>648426.59</v>
      </c>
      <c r="F353" s="491">
        <v>347707.31</v>
      </c>
      <c r="G353" s="490"/>
      <c r="H353" s="490">
        <v>65.09</v>
      </c>
      <c r="I353" s="491">
        <v>1174651.75</v>
      </c>
      <c r="J353" s="490"/>
      <c r="K353" s="278">
        <f t="shared" si="10"/>
        <v>648426.59</v>
      </c>
    </row>
    <row r="354" spans="1:11" x14ac:dyDescent="0.3">
      <c r="A354" s="490">
        <v>1733000750</v>
      </c>
      <c r="B354" s="490" t="s">
        <v>357</v>
      </c>
      <c r="C354" s="491">
        <v>120000</v>
      </c>
      <c r="D354" s="491">
        <f t="shared" si="11"/>
        <v>50000</v>
      </c>
      <c r="E354" s="491">
        <v>30000</v>
      </c>
      <c r="F354" s="491">
        <v>90000</v>
      </c>
      <c r="G354" s="490"/>
      <c r="H354" s="490">
        <v>25</v>
      </c>
      <c r="I354" s="491">
        <v>180000</v>
      </c>
      <c r="J354" s="490"/>
      <c r="K354" s="278">
        <f t="shared" si="10"/>
        <v>30000</v>
      </c>
    </row>
    <row r="355" spans="1:11" x14ac:dyDescent="0.3">
      <c r="A355" s="490">
        <v>1733000751</v>
      </c>
      <c r="B355" s="490" t="s">
        <v>358</v>
      </c>
      <c r="C355" s="491">
        <v>163324</v>
      </c>
      <c r="D355" s="491">
        <f t="shared" si="11"/>
        <v>68051.666666666672</v>
      </c>
      <c r="E355" s="491">
        <v>31211.51</v>
      </c>
      <c r="F355" s="491">
        <v>132112.49</v>
      </c>
      <c r="G355" s="490"/>
      <c r="H355" s="490">
        <v>19.11</v>
      </c>
      <c r="I355" s="491">
        <v>111635.23</v>
      </c>
      <c r="J355" s="491">
        <v>10378.879999999999</v>
      </c>
      <c r="K355" s="278">
        <f t="shared" si="10"/>
        <v>41590.39</v>
      </c>
    </row>
    <row r="356" spans="1:11" x14ac:dyDescent="0.3">
      <c r="A356" s="490">
        <v>1733000780</v>
      </c>
      <c r="B356" s="490" t="s">
        <v>359</v>
      </c>
      <c r="C356" s="491">
        <v>60000</v>
      </c>
      <c r="D356" s="491">
        <f t="shared" si="11"/>
        <v>25000</v>
      </c>
      <c r="E356" s="491">
        <v>19461.64</v>
      </c>
      <c r="F356" s="491">
        <v>40538.36</v>
      </c>
      <c r="G356" s="490"/>
      <c r="H356" s="490">
        <v>32.44</v>
      </c>
      <c r="I356" s="491">
        <v>41036.230000000003</v>
      </c>
      <c r="J356" s="491">
        <v>8986.68</v>
      </c>
      <c r="K356" s="278">
        <f t="shared" si="10"/>
        <v>28448.32</v>
      </c>
    </row>
    <row r="357" spans="1:11" x14ac:dyDescent="0.3">
      <c r="A357" s="490">
        <v>1741000110</v>
      </c>
      <c r="B357" s="490" t="s">
        <v>360</v>
      </c>
      <c r="C357" s="491">
        <v>282516.2</v>
      </c>
      <c r="D357" s="491">
        <f t="shared" si="11"/>
        <v>117715.08333333333</v>
      </c>
      <c r="E357" s="491">
        <v>204841.09</v>
      </c>
      <c r="F357" s="491">
        <v>77675.11</v>
      </c>
      <c r="G357" s="490"/>
      <c r="H357" s="490">
        <v>72.510000000000005</v>
      </c>
      <c r="I357" s="491">
        <v>668508.79</v>
      </c>
      <c r="J357" s="490"/>
      <c r="K357" s="278">
        <f t="shared" si="10"/>
        <v>204841.09</v>
      </c>
    </row>
    <row r="358" spans="1:11" x14ac:dyDescent="0.3">
      <c r="A358" s="490">
        <v>1741000530</v>
      </c>
      <c r="B358" s="490" t="s">
        <v>361</v>
      </c>
      <c r="C358" s="491">
        <v>1000</v>
      </c>
      <c r="D358" s="491">
        <f t="shared" si="11"/>
        <v>416.66666666666663</v>
      </c>
      <c r="E358" s="490"/>
      <c r="F358" s="491">
        <v>1000</v>
      </c>
      <c r="G358" s="490"/>
      <c r="H358" s="490"/>
      <c r="I358" s="490"/>
      <c r="J358" s="490"/>
      <c r="K358" s="278">
        <f t="shared" si="10"/>
        <v>0</v>
      </c>
    </row>
    <row r="359" spans="1:11" x14ac:dyDescent="0.3">
      <c r="A359" s="490">
        <v>1741000720</v>
      </c>
      <c r="B359" s="490" t="s">
        <v>362</v>
      </c>
      <c r="C359" s="491">
        <v>40000</v>
      </c>
      <c r="D359" s="491">
        <f t="shared" si="11"/>
        <v>16666.666666666668</v>
      </c>
      <c r="E359" s="491">
        <v>14497.5</v>
      </c>
      <c r="F359" s="491">
        <v>25502.5</v>
      </c>
      <c r="G359" s="490"/>
      <c r="H359" s="490">
        <v>36.24</v>
      </c>
      <c r="I359" s="491">
        <v>61940.2</v>
      </c>
      <c r="J359" s="491">
        <v>7470.4</v>
      </c>
      <c r="K359" s="278">
        <f t="shared" si="10"/>
        <v>21967.9</v>
      </c>
    </row>
    <row r="360" spans="1:11" x14ac:dyDescent="0.3">
      <c r="A360" s="490">
        <v>1741000730</v>
      </c>
      <c r="B360" s="490" t="s">
        <v>363</v>
      </c>
      <c r="C360" s="491">
        <v>120000</v>
      </c>
      <c r="D360" s="491">
        <f t="shared" si="11"/>
        <v>50000</v>
      </c>
      <c r="E360" s="491">
        <v>61223</v>
      </c>
      <c r="F360" s="491">
        <v>58777</v>
      </c>
      <c r="G360" s="490"/>
      <c r="H360" s="490">
        <v>51.02</v>
      </c>
      <c r="I360" s="491">
        <v>121581.43</v>
      </c>
      <c r="J360" s="491">
        <v>8140</v>
      </c>
      <c r="K360" s="278">
        <f t="shared" si="10"/>
        <v>69363</v>
      </c>
    </row>
    <row r="361" spans="1:11" x14ac:dyDescent="0.3">
      <c r="A361" s="490">
        <v>1741000731</v>
      </c>
      <c r="B361" s="490" t="s">
        <v>364</v>
      </c>
      <c r="C361" s="491">
        <v>40000</v>
      </c>
      <c r="D361" s="491">
        <f t="shared" si="11"/>
        <v>16666.666666666668</v>
      </c>
      <c r="E361" s="491">
        <v>21981.89</v>
      </c>
      <c r="F361" s="491">
        <v>18018.11</v>
      </c>
      <c r="G361" s="490"/>
      <c r="H361" s="490">
        <v>54.95</v>
      </c>
      <c r="I361" s="491">
        <v>28248.42</v>
      </c>
      <c r="J361" s="490"/>
      <c r="K361" s="278">
        <f t="shared" si="10"/>
        <v>21981.89</v>
      </c>
    </row>
    <row r="362" spans="1:11" x14ac:dyDescent="0.3">
      <c r="A362" s="490">
        <v>1743000110</v>
      </c>
      <c r="B362" s="490" t="s">
        <v>365</v>
      </c>
      <c r="C362" s="491">
        <v>193182.79</v>
      </c>
      <c r="D362" s="491">
        <f t="shared" si="11"/>
        <v>80492.829166666663</v>
      </c>
      <c r="E362" s="491">
        <v>153642.76</v>
      </c>
      <c r="F362" s="491">
        <v>39540.03</v>
      </c>
      <c r="G362" s="490"/>
      <c r="H362" s="490">
        <v>79.53</v>
      </c>
      <c r="I362" s="491">
        <v>387929.35</v>
      </c>
      <c r="J362" s="490"/>
      <c r="K362" s="278">
        <f t="shared" si="10"/>
        <v>153642.76</v>
      </c>
    </row>
    <row r="363" spans="1:11" x14ac:dyDescent="0.3">
      <c r="A363" s="490">
        <v>1743000431</v>
      </c>
      <c r="B363" s="490" t="s">
        <v>366</v>
      </c>
      <c r="C363" s="491">
        <v>983657.08</v>
      </c>
      <c r="D363" s="491">
        <f t="shared" si="11"/>
        <v>409857.11666666664</v>
      </c>
      <c r="E363" s="491">
        <v>714615.94</v>
      </c>
      <c r="F363" s="491">
        <v>269041.14</v>
      </c>
      <c r="G363" s="490"/>
      <c r="H363" s="490">
        <v>72.650000000000006</v>
      </c>
      <c r="I363" s="491">
        <v>1615513.06</v>
      </c>
      <c r="J363" s="490"/>
      <c r="K363" s="278">
        <f t="shared" si="10"/>
        <v>714615.94</v>
      </c>
    </row>
    <row r="364" spans="1:11" x14ac:dyDescent="0.3">
      <c r="A364" s="490">
        <v>1743000730</v>
      </c>
      <c r="B364" s="490" t="s">
        <v>367</v>
      </c>
      <c r="C364" s="491">
        <v>24000</v>
      </c>
      <c r="D364" s="491">
        <f t="shared" si="11"/>
        <v>10000</v>
      </c>
      <c r="E364" s="491">
        <v>7836.23</v>
      </c>
      <c r="F364" s="491">
        <v>16163.77</v>
      </c>
      <c r="G364" s="490"/>
      <c r="H364" s="490">
        <v>32.65</v>
      </c>
      <c r="I364" s="491">
        <v>17209.64</v>
      </c>
      <c r="J364" s="491">
        <v>4486.95</v>
      </c>
      <c r="K364" s="278">
        <f t="shared" si="10"/>
        <v>12323.18</v>
      </c>
    </row>
    <row r="365" spans="1:11" x14ac:dyDescent="0.3">
      <c r="A365" s="490">
        <v>1743000731</v>
      </c>
      <c r="B365" s="490" t="s">
        <v>368</v>
      </c>
      <c r="C365" s="491">
        <v>7200</v>
      </c>
      <c r="D365" s="491">
        <f t="shared" si="11"/>
        <v>3000</v>
      </c>
      <c r="E365" s="491">
        <v>4301.1499999999996</v>
      </c>
      <c r="F365" s="491">
        <v>2898.85</v>
      </c>
      <c r="G365" s="490"/>
      <c r="H365" s="490">
        <v>59.74</v>
      </c>
      <c r="I365" s="491">
        <v>9152.59</v>
      </c>
      <c r="J365" s="490"/>
      <c r="K365" s="278">
        <f t="shared" si="10"/>
        <v>4301.1499999999996</v>
      </c>
    </row>
    <row r="366" spans="1:11" x14ac:dyDescent="0.3">
      <c r="A366" s="490">
        <v>1743000750</v>
      </c>
      <c r="B366" s="490" t="s">
        <v>369</v>
      </c>
      <c r="C366" s="491">
        <v>180511</v>
      </c>
      <c r="D366" s="491">
        <f t="shared" si="11"/>
        <v>75212.916666666672</v>
      </c>
      <c r="E366" s="491">
        <v>24215.84</v>
      </c>
      <c r="F366" s="491">
        <v>156295.16</v>
      </c>
      <c r="G366" s="490"/>
      <c r="H366" s="490">
        <v>13.42</v>
      </c>
      <c r="I366" s="491">
        <v>63922.42</v>
      </c>
      <c r="J366" s="491">
        <v>12626</v>
      </c>
      <c r="K366" s="278">
        <f t="shared" si="10"/>
        <v>36841.839999999997</v>
      </c>
    </row>
    <row r="367" spans="1:11" x14ac:dyDescent="0.3">
      <c r="A367" s="490">
        <v>1744000780</v>
      </c>
      <c r="B367" s="490" t="s">
        <v>370</v>
      </c>
      <c r="C367" s="491">
        <v>44000</v>
      </c>
      <c r="D367" s="491">
        <f t="shared" si="11"/>
        <v>18333.333333333332</v>
      </c>
      <c r="E367" s="490"/>
      <c r="F367" s="491">
        <v>44000</v>
      </c>
      <c r="G367" s="490"/>
      <c r="H367" s="490"/>
      <c r="I367" s="491">
        <v>36976.300000000003</v>
      </c>
      <c r="J367" s="490">
        <v>500</v>
      </c>
      <c r="K367" s="278">
        <f t="shared" si="10"/>
        <v>500</v>
      </c>
    </row>
    <row r="368" spans="1:11" x14ac:dyDescent="0.3">
      <c r="A368" s="490">
        <v>1746000432</v>
      </c>
      <c r="B368" s="490" t="s">
        <v>253</v>
      </c>
      <c r="C368" s="491">
        <v>600000</v>
      </c>
      <c r="D368" s="491">
        <f t="shared" si="11"/>
        <v>250000</v>
      </c>
      <c r="E368" s="491">
        <v>137008.56</v>
      </c>
      <c r="F368" s="491">
        <v>462991.44</v>
      </c>
      <c r="G368" s="490"/>
      <c r="H368" s="490">
        <v>22.83</v>
      </c>
      <c r="I368" s="491">
        <v>679288.8</v>
      </c>
      <c r="J368" s="490"/>
      <c r="K368" s="278">
        <f t="shared" si="10"/>
        <v>137008.56</v>
      </c>
    </row>
    <row r="369" spans="1:11" x14ac:dyDescent="0.3">
      <c r="A369" s="490">
        <v>1746000720</v>
      </c>
      <c r="B369" s="490" t="s">
        <v>372</v>
      </c>
      <c r="C369" s="491">
        <v>60000</v>
      </c>
      <c r="D369" s="491">
        <f t="shared" si="11"/>
        <v>25000</v>
      </c>
      <c r="E369" s="491">
        <v>32576.67</v>
      </c>
      <c r="F369" s="491">
        <v>27423.33</v>
      </c>
      <c r="G369" s="490"/>
      <c r="H369" s="490">
        <v>54.29</v>
      </c>
      <c r="I369" s="491">
        <v>48829.8</v>
      </c>
      <c r="J369" s="491">
        <v>12856.4</v>
      </c>
      <c r="K369" s="278">
        <f t="shared" si="10"/>
        <v>45433.07</v>
      </c>
    </row>
    <row r="370" spans="1:11" x14ac:dyDescent="0.3">
      <c r="A370" s="490">
        <v>1746000731</v>
      </c>
      <c r="B370" s="490" t="s">
        <v>374</v>
      </c>
      <c r="C370" s="491">
        <v>120000</v>
      </c>
      <c r="D370" s="491">
        <f t="shared" si="11"/>
        <v>50000</v>
      </c>
      <c r="E370" s="491">
        <v>28130.85</v>
      </c>
      <c r="F370" s="491">
        <v>91869.15</v>
      </c>
      <c r="G370" s="490"/>
      <c r="H370" s="490">
        <v>23.44</v>
      </c>
      <c r="I370" s="491">
        <v>97517.31</v>
      </c>
      <c r="J370" s="491">
        <v>2372</v>
      </c>
      <c r="K370" s="278">
        <f t="shared" si="10"/>
        <v>30502.85</v>
      </c>
    </row>
    <row r="371" spans="1:11" x14ac:dyDescent="0.3">
      <c r="A371" s="490">
        <v>1746000750</v>
      </c>
      <c r="B371" s="490" t="s">
        <v>375</v>
      </c>
      <c r="C371" s="491">
        <v>145620</v>
      </c>
      <c r="D371" s="491">
        <f t="shared" si="11"/>
        <v>60675</v>
      </c>
      <c r="E371" s="491">
        <v>6201</v>
      </c>
      <c r="F371" s="491">
        <v>139419</v>
      </c>
      <c r="G371" s="490"/>
      <c r="H371" s="490">
        <v>4.26</v>
      </c>
      <c r="I371" s="491">
        <v>144513</v>
      </c>
      <c r="J371" s="491">
        <v>15502.5</v>
      </c>
      <c r="K371" s="278">
        <f t="shared" si="10"/>
        <v>21703.5</v>
      </c>
    </row>
    <row r="372" spans="1:11" x14ac:dyDescent="0.3">
      <c r="A372" s="490">
        <v>1746000751</v>
      </c>
      <c r="B372" s="490" t="s">
        <v>376</v>
      </c>
      <c r="C372" s="491">
        <v>2256073.92</v>
      </c>
      <c r="D372" s="491">
        <f t="shared" si="11"/>
        <v>940030.8</v>
      </c>
      <c r="E372" s="491">
        <v>1104595.18</v>
      </c>
      <c r="F372" s="491">
        <v>1151478.74</v>
      </c>
      <c r="G372" s="490"/>
      <c r="H372" s="490">
        <v>48.96</v>
      </c>
      <c r="I372" s="491">
        <v>2335803.17</v>
      </c>
      <c r="J372" s="491">
        <v>6845.9</v>
      </c>
      <c r="K372" s="278">
        <f t="shared" si="10"/>
        <v>1111441.0799999998</v>
      </c>
    </row>
    <row r="373" spans="1:11" x14ac:dyDescent="0.3">
      <c r="A373" s="490">
        <v>1746000753</v>
      </c>
      <c r="B373" s="490" t="s">
        <v>377</v>
      </c>
      <c r="C373" s="491">
        <v>36000</v>
      </c>
      <c r="D373" s="491">
        <f t="shared" si="11"/>
        <v>15000</v>
      </c>
      <c r="E373" s="491">
        <v>12336.6</v>
      </c>
      <c r="F373" s="491">
        <v>23663.4</v>
      </c>
      <c r="G373" s="490"/>
      <c r="H373" s="490">
        <v>34.270000000000003</v>
      </c>
      <c r="I373" s="491">
        <v>33765.550000000003</v>
      </c>
      <c r="J373" s="491">
        <v>2661</v>
      </c>
      <c r="K373" s="278">
        <f t="shared" si="10"/>
        <v>14997.6</v>
      </c>
    </row>
    <row r="374" spans="1:11" x14ac:dyDescent="0.3">
      <c r="A374" s="490">
        <v>1746000757</v>
      </c>
      <c r="B374" s="490" t="s">
        <v>378</v>
      </c>
      <c r="C374" s="491">
        <v>558693.96</v>
      </c>
      <c r="D374" s="491">
        <f t="shared" si="11"/>
        <v>232789.14999999997</v>
      </c>
      <c r="E374" s="491">
        <v>272370</v>
      </c>
      <c r="F374" s="491">
        <v>286323.96000000002</v>
      </c>
      <c r="G374" s="490"/>
      <c r="H374" s="490">
        <v>48.75</v>
      </c>
      <c r="I374" s="491">
        <v>490266</v>
      </c>
      <c r="J374" s="490"/>
      <c r="K374" s="278">
        <f t="shared" si="10"/>
        <v>272370</v>
      </c>
    </row>
    <row r="375" spans="1:11" x14ac:dyDescent="0.3">
      <c r="A375" s="490">
        <v>1747300432</v>
      </c>
      <c r="B375" s="490" t="s">
        <v>379</v>
      </c>
      <c r="C375" s="490"/>
      <c r="D375" s="491">
        <f t="shared" si="11"/>
        <v>0</v>
      </c>
      <c r="E375" s="490"/>
      <c r="F375" s="490"/>
      <c r="G375" s="490"/>
      <c r="H375" s="490"/>
      <c r="I375" s="491">
        <v>-31777</v>
      </c>
      <c r="J375" s="490"/>
      <c r="K375" s="278">
        <f t="shared" si="10"/>
        <v>0</v>
      </c>
    </row>
    <row r="376" spans="1:11" x14ac:dyDescent="0.3">
      <c r="A376" s="490">
        <v>1752000780</v>
      </c>
      <c r="B376" s="490" t="s">
        <v>749</v>
      </c>
      <c r="C376" s="491">
        <v>550000</v>
      </c>
      <c r="D376" s="491">
        <f t="shared" si="11"/>
        <v>229166.66666666669</v>
      </c>
      <c r="E376" s="491">
        <v>76057.5</v>
      </c>
      <c r="F376" s="491">
        <v>473942.5</v>
      </c>
      <c r="G376" s="490"/>
      <c r="H376" s="490">
        <v>13.83</v>
      </c>
      <c r="I376" s="491">
        <v>767797.23</v>
      </c>
      <c r="J376" s="491">
        <v>157819.31</v>
      </c>
      <c r="K376" s="278">
        <f t="shared" si="10"/>
        <v>233876.81</v>
      </c>
    </row>
    <row r="377" spans="1:11" x14ac:dyDescent="0.3">
      <c r="A377" s="490">
        <v>1752000781</v>
      </c>
      <c r="B377" s="490" t="s">
        <v>380</v>
      </c>
      <c r="C377" s="491">
        <v>12240</v>
      </c>
      <c r="D377" s="491">
        <f t="shared" si="11"/>
        <v>5100</v>
      </c>
      <c r="E377" s="491">
        <v>1680</v>
      </c>
      <c r="F377" s="491">
        <v>10560</v>
      </c>
      <c r="G377" s="490"/>
      <c r="H377" s="490">
        <v>13.73</v>
      </c>
      <c r="I377" s="491">
        <v>10643.2</v>
      </c>
      <c r="J377" s="490"/>
      <c r="K377" s="278">
        <f t="shared" si="10"/>
        <v>1680</v>
      </c>
    </row>
    <row r="378" spans="1:11" x14ac:dyDescent="0.3">
      <c r="A378" s="490">
        <v>1752000782</v>
      </c>
      <c r="B378" s="490" t="s">
        <v>381</v>
      </c>
      <c r="C378" s="491">
        <v>42000</v>
      </c>
      <c r="D378" s="491">
        <f t="shared" si="11"/>
        <v>17500</v>
      </c>
      <c r="E378" s="491">
        <v>38219.300000000003</v>
      </c>
      <c r="F378" s="491">
        <v>3780.7</v>
      </c>
      <c r="G378" s="490"/>
      <c r="H378" s="490">
        <v>91</v>
      </c>
      <c r="I378" s="491">
        <v>38046.400000000001</v>
      </c>
      <c r="J378" s="490"/>
      <c r="K378" s="278">
        <f t="shared" si="10"/>
        <v>38219.300000000003</v>
      </c>
    </row>
    <row r="379" spans="1:11" x14ac:dyDescent="0.3">
      <c r="A379" s="490">
        <v>1765000780</v>
      </c>
      <c r="B379" s="490" t="s">
        <v>382</v>
      </c>
      <c r="C379" s="491">
        <v>101000</v>
      </c>
      <c r="D379" s="491">
        <f t="shared" si="11"/>
        <v>42083.333333333328</v>
      </c>
      <c r="E379" s="491">
        <v>310197</v>
      </c>
      <c r="F379" s="490"/>
      <c r="G379" s="491">
        <v>209197</v>
      </c>
      <c r="H379" s="490">
        <v>307.13</v>
      </c>
      <c r="I379" s="491">
        <v>365305</v>
      </c>
      <c r="J379" s="490"/>
      <c r="K379" s="278">
        <f t="shared" si="10"/>
        <v>310197</v>
      </c>
    </row>
    <row r="380" spans="1:11" x14ac:dyDescent="0.3">
      <c r="A380" s="490">
        <v>1765000810</v>
      </c>
      <c r="B380" s="490" t="s">
        <v>383</v>
      </c>
      <c r="C380" s="491">
        <v>61000</v>
      </c>
      <c r="D380" s="491">
        <f t="shared" si="11"/>
        <v>25416.666666666664</v>
      </c>
      <c r="E380" s="490"/>
      <c r="F380" s="491">
        <v>61000</v>
      </c>
      <c r="G380" s="490"/>
      <c r="H380" s="490"/>
      <c r="I380" s="491">
        <v>61030</v>
      </c>
      <c r="J380" s="490"/>
      <c r="K380" s="278">
        <f t="shared" si="10"/>
        <v>0</v>
      </c>
    </row>
    <row r="381" spans="1:11" x14ac:dyDescent="0.3">
      <c r="A381" s="490">
        <v>1765000812</v>
      </c>
      <c r="B381" s="490" t="s">
        <v>384</v>
      </c>
      <c r="C381" s="491">
        <v>54600</v>
      </c>
      <c r="D381" s="491">
        <f t="shared" si="11"/>
        <v>22750</v>
      </c>
      <c r="E381" s="490"/>
      <c r="F381" s="491">
        <v>54600</v>
      </c>
      <c r="G381" s="490"/>
      <c r="H381" s="490"/>
      <c r="I381" s="490">
        <v>-99.58</v>
      </c>
      <c r="J381" s="490"/>
      <c r="K381" s="278">
        <f t="shared" si="10"/>
        <v>0</v>
      </c>
    </row>
    <row r="382" spans="1:11" x14ac:dyDescent="0.3">
      <c r="A382" s="490">
        <v>1767000441</v>
      </c>
      <c r="B382" s="490" t="s">
        <v>385</v>
      </c>
      <c r="C382" s="491">
        <v>732425</v>
      </c>
      <c r="D382" s="491">
        <f t="shared" si="11"/>
        <v>305177.08333333331</v>
      </c>
      <c r="E382" s="491">
        <v>423283.39</v>
      </c>
      <c r="F382" s="491">
        <v>309141.61</v>
      </c>
      <c r="G382" s="490"/>
      <c r="H382" s="490">
        <v>57.79</v>
      </c>
      <c r="I382" s="491">
        <v>1149313</v>
      </c>
      <c r="J382" s="491">
        <v>15319.71</v>
      </c>
      <c r="K382" s="278">
        <f t="shared" si="10"/>
        <v>438603.10000000003</v>
      </c>
    </row>
    <row r="383" spans="1:11" x14ac:dyDescent="0.3">
      <c r="A383" s="490">
        <v>1767000443</v>
      </c>
      <c r="B383" s="490" t="s">
        <v>386</v>
      </c>
      <c r="C383" s="491">
        <v>286000</v>
      </c>
      <c r="D383" s="491">
        <f t="shared" si="11"/>
        <v>119166.66666666666</v>
      </c>
      <c r="E383" s="491">
        <v>69371.429999999993</v>
      </c>
      <c r="F383" s="491">
        <v>216628.57</v>
      </c>
      <c r="G383" s="490"/>
      <c r="H383" s="490">
        <v>24.26</v>
      </c>
      <c r="I383" s="491">
        <v>300781.84000000003</v>
      </c>
      <c r="J383" s="490"/>
      <c r="K383" s="278">
        <f t="shared" si="10"/>
        <v>69371.429999999993</v>
      </c>
    </row>
    <row r="384" spans="1:11" x14ac:dyDescent="0.3">
      <c r="A384" s="490">
        <v>1770000110</v>
      </c>
      <c r="B384" s="490" t="s">
        <v>388</v>
      </c>
      <c r="C384" s="491">
        <v>1586521.85</v>
      </c>
      <c r="D384" s="491">
        <f t="shared" si="11"/>
        <v>661050.77083333337</v>
      </c>
      <c r="E384" s="491">
        <v>709316.72</v>
      </c>
      <c r="F384" s="491">
        <v>877205.13</v>
      </c>
      <c r="G384" s="490"/>
      <c r="H384" s="490">
        <v>44.71</v>
      </c>
      <c r="I384" s="491">
        <v>1672896.63</v>
      </c>
      <c r="J384" s="490"/>
      <c r="K384" s="278">
        <f t="shared" si="10"/>
        <v>709316.72</v>
      </c>
    </row>
    <row r="385" spans="1:11" x14ac:dyDescent="0.3">
      <c r="A385" s="490">
        <v>1770000530</v>
      </c>
      <c r="B385" s="490" t="s">
        <v>389</v>
      </c>
      <c r="C385" s="490"/>
      <c r="D385" s="491">
        <f t="shared" si="11"/>
        <v>0</v>
      </c>
      <c r="E385" s="491">
        <v>33074.699999999997</v>
      </c>
      <c r="F385" s="490"/>
      <c r="G385" s="491">
        <v>33074.699999999997</v>
      </c>
      <c r="H385" s="490"/>
      <c r="I385" s="491">
        <v>66365.5</v>
      </c>
      <c r="J385" s="490"/>
      <c r="K385" s="278">
        <f t="shared" si="10"/>
        <v>33074.699999999997</v>
      </c>
    </row>
    <row r="386" spans="1:11" x14ac:dyDescent="0.3">
      <c r="A386" s="490">
        <v>1770000531</v>
      </c>
      <c r="B386" s="490" t="s">
        <v>390</v>
      </c>
      <c r="C386" s="490"/>
      <c r="D386" s="491">
        <f t="shared" si="11"/>
        <v>0</v>
      </c>
      <c r="E386" s="491">
        <v>6547.69</v>
      </c>
      <c r="F386" s="490"/>
      <c r="G386" s="491">
        <v>6547.69</v>
      </c>
      <c r="H386" s="490"/>
      <c r="I386" s="491">
        <v>26335.26</v>
      </c>
      <c r="J386" s="490"/>
      <c r="K386" s="278">
        <f t="shared" si="10"/>
        <v>6547.69</v>
      </c>
    </row>
    <row r="387" spans="1:11" x14ac:dyDescent="0.3">
      <c r="A387" s="490">
        <v>1770000780</v>
      </c>
      <c r="B387" s="490" t="s">
        <v>391</v>
      </c>
      <c r="C387" s="491">
        <v>70000</v>
      </c>
      <c r="D387" s="491">
        <f t="shared" si="11"/>
        <v>29166.666666666664</v>
      </c>
      <c r="E387" s="491">
        <v>18721.650000000001</v>
      </c>
      <c r="F387" s="491">
        <v>51278.35</v>
      </c>
      <c r="G387" s="490"/>
      <c r="H387" s="490">
        <v>26.75</v>
      </c>
      <c r="I387" s="491">
        <v>42748.43</v>
      </c>
      <c r="J387" s="491">
        <v>5006.9799999999996</v>
      </c>
      <c r="K387" s="278">
        <f t="shared" ref="K387:K450" si="12">E387+J387</f>
        <v>23728.63</v>
      </c>
    </row>
    <row r="388" spans="1:11" x14ac:dyDescent="0.3">
      <c r="A388" s="490">
        <v>1772000110</v>
      </c>
      <c r="B388" s="490" t="s">
        <v>750</v>
      </c>
      <c r="C388" s="491">
        <v>143129.87</v>
      </c>
      <c r="D388" s="491">
        <f t="shared" si="11"/>
        <v>59637.445833333331</v>
      </c>
      <c r="E388" s="491">
        <v>558373.68999999994</v>
      </c>
      <c r="F388" s="490"/>
      <c r="G388" s="491">
        <v>415243.82</v>
      </c>
      <c r="H388" s="490">
        <v>390.12</v>
      </c>
      <c r="I388" s="491">
        <v>1109898.96</v>
      </c>
      <c r="J388" s="490"/>
      <c r="K388" s="278">
        <f t="shared" si="12"/>
        <v>558373.68999999994</v>
      </c>
    </row>
    <row r="389" spans="1:11" x14ac:dyDescent="0.3">
      <c r="A389" s="490">
        <v>1772000530</v>
      </c>
      <c r="B389" s="490" t="s">
        <v>393</v>
      </c>
      <c r="C389" s="491">
        <v>104200</v>
      </c>
      <c r="D389" s="491">
        <f t="shared" si="11"/>
        <v>43416.666666666672</v>
      </c>
      <c r="E389" s="491">
        <v>8976.2900000000009</v>
      </c>
      <c r="F389" s="491">
        <v>95223.71</v>
      </c>
      <c r="G389" s="490"/>
      <c r="H389" s="490">
        <v>8.61</v>
      </c>
      <c r="I389" s="491">
        <v>82679.56</v>
      </c>
      <c r="J389" s="490"/>
      <c r="K389" s="278">
        <f t="shared" si="12"/>
        <v>8976.2900000000009</v>
      </c>
    </row>
    <row r="390" spans="1:11" x14ac:dyDescent="0.3">
      <c r="A390" s="490">
        <v>1772000780</v>
      </c>
      <c r="B390" s="490" t="s">
        <v>78</v>
      </c>
      <c r="C390" s="491">
        <v>618334</v>
      </c>
      <c r="D390" s="491">
        <f t="shared" ref="D390:D453" si="13">C390/12*5</f>
        <v>257639.16666666669</v>
      </c>
      <c r="E390" s="490"/>
      <c r="F390" s="491">
        <v>618334</v>
      </c>
      <c r="G390" s="490"/>
      <c r="H390" s="490"/>
      <c r="I390" s="491">
        <v>584885.62</v>
      </c>
      <c r="J390" s="490"/>
      <c r="K390" s="278">
        <f t="shared" si="12"/>
        <v>0</v>
      </c>
    </row>
    <row r="391" spans="1:11" x14ac:dyDescent="0.3">
      <c r="A391" s="490">
        <v>1772000781</v>
      </c>
      <c r="B391" s="490" t="s">
        <v>394</v>
      </c>
      <c r="C391" s="491">
        <v>105492</v>
      </c>
      <c r="D391" s="491">
        <f t="shared" si="13"/>
        <v>43955</v>
      </c>
      <c r="E391" s="491">
        <v>5516</v>
      </c>
      <c r="F391" s="491">
        <v>99976</v>
      </c>
      <c r="G391" s="490"/>
      <c r="H391" s="490">
        <v>5.23</v>
      </c>
      <c r="I391" s="491">
        <v>58020.93</v>
      </c>
      <c r="J391" s="491">
        <v>4820.5</v>
      </c>
      <c r="K391" s="278">
        <f t="shared" si="12"/>
        <v>10336.5</v>
      </c>
    </row>
    <row r="392" spans="1:11" x14ac:dyDescent="0.3">
      <c r="A392" s="490">
        <v>1772000782</v>
      </c>
      <c r="B392" s="490" t="s">
        <v>395</v>
      </c>
      <c r="C392" s="491">
        <v>10000</v>
      </c>
      <c r="D392" s="491">
        <f t="shared" si="13"/>
        <v>4166.666666666667</v>
      </c>
      <c r="E392" s="491">
        <v>7446.25</v>
      </c>
      <c r="F392" s="491">
        <v>2553.75</v>
      </c>
      <c r="G392" s="490"/>
      <c r="H392" s="490">
        <v>74.459999999999994</v>
      </c>
      <c r="I392" s="491">
        <v>4939.03</v>
      </c>
      <c r="J392" s="491">
        <v>1778.11</v>
      </c>
      <c r="K392" s="278">
        <f t="shared" si="12"/>
        <v>9224.36</v>
      </c>
    </row>
    <row r="393" spans="1:11" x14ac:dyDescent="0.3">
      <c r="A393" s="490">
        <v>1772200110</v>
      </c>
      <c r="B393" s="490" t="s">
        <v>396</v>
      </c>
      <c r="C393" s="491">
        <v>804662.01</v>
      </c>
      <c r="D393" s="491">
        <f t="shared" si="13"/>
        <v>335275.83749999997</v>
      </c>
      <c r="E393" s="490"/>
      <c r="F393" s="491">
        <v>804662.01</v>
      </c>
      <c r="G393" s="490"/>
      <c r="H393" s="490"/>
      <c r="I393" s="491">
        <v>216876.08</v>
      </c>
      <c r="J393" s="490"/>
      <c r="K393" s="278">
        <f t="shared" si="12"/>
        <v>0</v>
      </c>
    </row>
    <row r="394" spans="1:11" x14ac:dyDescent="0.3">
      <c r="A394" s="490">
        <v>1781000110</v>
      </c>
      <c r="B394" s="490" t="s">
        <v>397</v>
      </c>
      <c r="C394" s="491">
        <v>852361.56</v>
      </c>
      <c r="D394" s="491">
        <f t="shared" si="13"/>
        <v>355150.65</v>
      </c>
      <c r="E394" s="491">
        <v>338929.84</v>
      </c>
      <c r="F394" s="491">
        <v>513431.72</v>
      </c>
      <c r="G394" s="490"/>
      <c r="H394" s="490">
        <v>39.76</v>
      </c>
      <c r="I394" s="491">
        <v>838925.6</v>
      </c>
      <c r="J394" s="490"/>
      <c r="K394" s="278">
        <f t="shared" si="12"/>
        <v>338929.84</v>
      </c>
    </row>
    <row r="395" spans="1:11" x14ac:dyDescent="0.3">
      <c r="A395" s="490">
        <v>1781000750</v>
      </c>
      <c r="B395" s="490" t="s">
        <v>398</v>
      </c>
      <c r="C395" s="491">
        <v>1350000</v>
      </c>
      <c r="D395" s="491">
        <f t="shared" si="13"/>
        <v>562500</v>
      </c>
      <c r="E395" s="491">
        <v>437014.09</v>
      </c>
      <c r="F395" s="491">
        <v>912985.91</v>
      </c>
      <c r="G395" s="490"/>
      <c r="H395" s="490">
        <v>32.369999999999997</v>
      </c>
      <c r="I395" s="491">
        <v>1487400.13</v>
      </c>
      <c r="J395" s="490"/>
      <c r="K395" s="278">
        <f t="shared" si="12"/>
        <v>437014.09</v>
      </c>
    </row>
    <row r="396" spans="1:11" x14ac:dyDescent="0.3">
      <c r="A396" s="490">
        <v>1781000780</v>
      </c>
      <c r="B396" s="490" t="s">
        <v>399</v>
      </c>
      <c r="C396" s="491">
        <v>25000</v>
      </c>
      <c r="D396" s="491">
        <f t="shared" si="13"/>
        <v>10416.666666666668</v>
      </c>
      <c r="E396" s="491">
        <v>1893.04</v>
      </c>
      <c r="F396" s="491">
        <v>23106.959999999999</v>
      </c>
      <c r="G396" s="490"/>
      <c r="H396" s="490">
        <v>7.57</v>
      </c>
      <c r="I396" s="491">
        <v>14601.84</v>
      </c>
      <c r="J396" s="491">
        <v>47154.3</v>
      </c>
      <c r="K396" s="278">
        <f t="shared" si="12"/>
        <v>49047.340000000004</v>
      </c>
    </row>
    <row r="397" spans="1:11" x14ac:dyDescent="0.3">
      <c r="A397" s="490">
        <v>1811000110</v>
      </c>
      <c r="B397" s="490" t="s">
        <v>400</v>
      </c>
      <c r="C397" s="491">
        <v>1362743.73</v>
      </c>
      <c r="D397" s="491">
        <f t="shared" si="13"/>
        <v>567809.88749999995</v>
      </c>
      <c r="E397" s="491">
        <v>708230.58</v>
      </c>
      <c r="F397" s="491">
        <v>654513.15</v>
      </c>
      <c r="G397" s="490"/>
      <c r="H397" s="490">
        <v>51.97</v>
      </c>
      <c r="I397" s="491">
        <v>1456380.31</v>
      </c>
      <c r="J397" s="490">
        <v>700000</v>
      </c>
      <c r="K397" s="278">
        <f t="shared" si="12"/>
        <v>1408230.58</v>
      </c>
    </row>
    <row r="398" spans="1:11" x14ac:dyDescent="0.3">
      <c r="A398" s="490">
        <v>1811000411</v>
      </c>
      <c r="B398" s="490" t="s">
        <v>401</v>
      </c>
      <c r="C398" s="491">
        <v>80000</v>
      </c>
      <c r="D398" s="491">
        <f t="shared" si="13"/>
        <v>33333.333333333336</v>
      </c>
      <c r="E398" s="491">
        <v>23323.17</v>
      </c>
      <c r="F398" s="491">
        <v>56676.83</v>
      </c>
      <c r="G398" s="490"/>
      <c r="H398" s="490">
        <v>29.15</v>
      </c>
      <c r="I398" s="491">
        <v>83751.64</v>
      </c>
      <c r="J398" s="490"/>
      <c r="K398" s="278">
        <f t="shared" si="12"/>
        <v>23323.17</v>
      </c>
    </row>
    <row r="399" spans="1:11" x14ac:dyDescent="0.3">
      <c r="A399" s="490">
        <v>1811000420</v>
      </c>
      <c r="B399" s="490" t="s">
        <v>402</v>
      </c>
      <c r="C399" s="491">
        <v>90000</v>
      </c>
      <c r="D399" s="491">
        <f t="shared" si="13"/>
        <v>37500</v>
      </c>
      <c r="E399" s="491">
        <v>4649.8100000000004</v>
      </c>
      <c r="F399" s="491">
        <v>85350.19</v>
      </c>
      <c r="G399" s="490"/>
      <c r="H399" s="490">
        <v>5.17</v>
      </c>
      <c r="I399" s="491">
        <v>84565.48</v>
      </c>
      <c r="J399" s="491">
        <v>16841.86</v>
      </c>
      <c r="K399" s="278">
        <f t="shared" si="12"/>
        <v>21491.670000000002</v>
      </c>
    </row>
    <row r="400" spans="1:11" x14ac:dyDescent="0.3">
      <c r="A400" s="490">
        <v>1811000440</v>
      </c>
      <c r="B400" s="490" t="s">
        <v>403</v>
      </c>
      <c r="C400" s="491">
        <v>220000</v>
      </c>
      <c r="D400" s="491">
        <f t="shared" si="13"/>
        <v>91666.666666666657</v>
      </c>
      <c r="E400" s="490"/>
      <c r="F400" s="491">
        <v>220000</v>
      </c>
      <c r="G400" s="490"/>
      <c r="H400" s="490"/>
      <c r="I400" s="491">
        <v>153419</v>
      </c>
      <c r="J400" s="490"/>
      <c r="K400" s="278">
        <f t="shared" si="12"/>
        <v>0</v>
      </c>
    </row>
    <row r="401" spans="1:11" x14ac:dyDescent="0.3">
      <c r="A401" s="490">
        <v>1811000444</v>
      </c>
      <c r="B401" s="490" t="s">
        <v>404</v>
      </c>
      <c r="C401" s="491">
        <v>180000</v>
      </c>
      <c r="D401" s="491">
        <f t="shared" si="13"/>
        <v>75000</v>
      </c>
      <c r="E401" s="491">
        <v>62750</v>
      </c>
      <c r="F401" s="491">
        <v>117250</v>
      </c>
      <c r="G401" s="490"/>
      <c r="H401" s="490">
        <v>34.86</v>
      </c>
      <c r="I401" s="491">
        <v>164797.13</v>
      </c>
      <c r="J401" s="490"/>
      <c r="K401" s="278">
        <f t="shared" si="12"/>
        <v>62750</v>
      </c>
    </row>
    <row r="402" spans="1:11" x14ac:dyDescent="0.3">
      <c r="A402" s="490">
        <v>1811000540</v>
      </c>
      <c r="B402" s="490" t="s">
        <v>405</v>
      </c>
      <c r="C402" s="491">
        <v>2000</v>
      </c>
      <c r="D402" s="491">
        <f t="shared" si="13"/>
        <v>833.33333333333326</v>
      </c>
      <c r="E402" s="490"/>
      <c r="F402" s="491">
        <v>2000</v>
      </c>
      <c r="G402" s="490"/>
      <c r="H402" s="490"/>
      <c r="I402" s="491">
        <v>3800</v>
      </c>
      <c r="J402" s="490"/>
      <c r="K402" s="278">
        <f t="shared" si="12"/>
        <v>0</v>
      </c>
    </row>
    <row r="403" spans="1:11" x14ac:dyDescent="0.3">
      <c r="A403" s="490">
        <v>1811000750</v>
      </c>
      <c r="B403" s="490" t="s">
        <v>406</v>
      </c>
      <c r="C403" s="491">
        <v>200000</v>
      </c>
      <c r="D403" s="491">
        <f t="shared" si="13"/>
        <v>83333.333333333343</v>
      </c>
      <c r="E403" s="491">
        <v>80162.86</v>
      </c>
      <c r="F403" s="491">
        <v>119837.14</v>
      </c>
      <c r="G403" s="490"/>
      <c r="H403" s="490">
        <v>40.08</v>
      </c>
      <c r="I403" s="491">
        <v>176458.01</v>
      </c>
      <c r="J403" s="491">
        <v>25772.34</v>
      </c>
      <c r="K403" s="278">
        <f t="shared" si="12"/>
        <v>105935.2</v>
      </c>
    </row>
    <row r="404" spans="1:11" x14ac:dyDescent="0.3">
      <c r="A404" s="490">
        <v>1811000751</v>
      </c>
      <c r="B404" s="490" t="s">
        <v>407</v>
      </c>
      <c r="C404" s="491">
        <v>150000</v>
      </c>
      <c r="D404" s="491">
        <f t="shared" si="13"/>
        <v>62500</v>
      </c>
      <c r="E404" s="491">
        <v>178476.89</v>
      </c>
      <c r="F404" s="490"/>
      <c r="G404" s="491">
        <v>28476.89</v>
      </c>
      <c r="H404" s="490">
        <v>118.98</v>
      </c>
      <c r="I404" s="491">
        <v>189358.75</v>
      </c>
      <c r="J404" s="490"/>
      <c r="K404" s="278">
        <f t="shared" si="12"/>
        <v>178476.89</v>
      </c>
    </row>
    <row r="405" spans="1:11" x14ac:dyDescent="0.3">
      <c r="A405" s="490">
        <v>1811000752</v>
      </c>
      <c r="B405" s="490" t="s">
        <v>408</v>
      </c>
      <c r="C405" s="491">
        <v>70000</v>
      </c>
      <c r="D405" s="491">
        <f t="shared" si="13"/>
        <v>29166.666666666664</v>
      </c>
      <c r="E405" s="491">
        <v>3500</v>
      </c>
      <c r="F405" s="491">
        <v>66500</v>
      </c>
      <c r="G405" s="490"/>
      <c r="H405" s="490">
        <v>5</v>
      </c>
      <c r="I405" s="491">
        <v>107767.14</v>
      </c>
      <c r="J405" s="490"/>
      <c r="K405" s="278">
        <f t="shared" si="12"/>
        <v>3500</v>
      </c>
    </row>
    <row r="406" spans="1:11" x14ac:dyDescent="0.3">
      <c r="A406" s="490">
        <v>1811000753</v>
      </c>
      <c r="B406" s="490" t="s">
        <v>409</v>
      </c>
      <c r="C406" s="491">
        <v>559109</v>
      </c>
      <c r="D406" s="491">
        <f t="shared" si="13"/>
        <v>232962.08333333331</v>
      </c>
      <c r="E406" s="491">
        <v>119672</v>
      </c>
      <c r="F406" s="491">
        <v>439437</v>
      </c>
      <c r="G406" s="490"/>
      <c r="H406" s="490">
        <v>21.4</v>
      </c>
      <c r="I406" s="491">
        <v>792819.78</v>
      </c>
      <c r="J406" s="490"/>
      <c r="K406" s="278">
        <f t="shared" si="12"/>
        <v>119672</v>
      </c>
    </row>
    <row r="407" spans="1:11" x14ac:dyDescent="0.3">
      <c r="A407" s="490">
        <v>1811000770</v>
      </c>
      <c r="B407" s="490" t="s">
        <v>410</v>
      </c>
      <c r="C407" s="491">
        <v>2590000</v>
      </c>
      <c r="D407" s="491">
        <f t="shared" si="13"/>
        <v>1079166.6666666667</v>
      </c>
      <c r="E407" s="491">
        <v>803741.99</v>
      </c>
      <c r="F407" s="491">
        <v>1786258.01</v>
      </c>
      <c r="G407" s="490"/>
      <c r="H407" s="490">
        <v>31.03</v>
      </c>
      <c r="I407" s="491">
        <v>2658638.77</v>
      </c>
      <c r="J407" s="490">
        <v>300000</v>
      </c>
      <c r="K407" s="278">
        <f t="shared" si="12"/>
        <v>1103741.99</v>
      </c>
    </row>
    <row r="408" spans="1:11" x14ac:dyDescent="0.3">
      <c r="A408" s="490">
        <v>1811000771</v>
      </c>
      <c r="B408" s="490" t="s">
        <v>84</v>
      </c>
      <c r="C408" s="491">
        <v>950000</v>
      </c>
      <c r="D408" s="491">
        <f t="shared" si="13"/>
        <v>395833.33333333337</v>
      </c>
      <c r="E408" s="491">
        <v>253780</v>
      </c>
      <c r="F408" s="491">
        <v>696220</v>
      </c>
      <c r="G408" s="490"/>
      <c r="H408" s="490">
        <v>26.71</v>
      </c>
      <c r="I408" s="491">
        <v>870067.74</v>
      </c>
      <c r="J408" s="490">
        <v>100000</v>
      </c>
      <c r="K408" s="278">
        <f t="shared" si="12"/>
        <v>353780</v>
      </c>
    </row>
    <row r="409" spans="1:11" x14ac:dyDescent="0.3">
      <c r="A409" s="490">
        <v>1811000780</v>
      </c>
      <c r="B409" s="490" t="s">
        <v>411</v>
      </c>
      <c r="C409" s="491">
        <v>100000</v>
      </c>
      <c r="D409" s="491">
        <f t="shared" si="13"/>
        <v>41666.666666666672</v>
      </c>
      <c r="E409" s="491">
        <v>18349.509999999998</v>
      </c>
      <c r="F409" s="491">
        <v>81650.490000000005</v>
      </c>
      <c r="G409" s="490"/>
      <c r="H409" s="490">
        <v>18.350000000000001</v>
      </c>
      <c r="I409" s="491">
        <v>85170.5</v>
      </c>
      <c r="J409" s="491">
        <v>41748.089999999997</v>
      </c>
      <c r="K409" s="278">
        <f t="shared" si="12"/>
        <v>60097.599999999991</v>
      </c>
    </row>
    <row r="410" spans="1:11" x14ac:dyDescent="0.3">
      <c r="A410" s="490">
        <v>1811000781</v>
      </c>
      <c r="B410" s="490" t="s">
        <v>412</v>
      </c>
      <c r="C410" s="491">
        <v>180000</v>
      </c>
      <c r="D410" s="491">
        <f t="shared" si="13"/>
        <v>75000</v>
      </c>
      <c r="E410" s="490"/>
      <c r="F410" s="491">
        <v>180000</v>
      </c>
      <c r="G410" s="490"/>
      <c r="H410" s="490"/>
      <c r="I410" s="491">
        <v>115374</v>
      </c>
      <c r="J410" s="490">
        <v>75000</v>
      </c>
      <c r="K410" s="278">
        <f t="shared" si="12"/>
        <v>75000</v>
      </c>
    </row>
    <row r="411" spans="1:11" x14ac:dyDescent="0.3">
      <c r="A411" s="490">
        <v>1811000783</v>
      </c>
      <c r="B411" s="490" t="s">
        <v>413</v>
      </c>
      <c r="C411" s="491">
        <v>10000</v>
      </c>
      <c r="D411" s="491">
        <f t="shared" si="13"/>
        <v>4166.666666666667</v>
      </c>
      <c r="E411" s="490"/>
      <c r="F411" s="491">
        <v>10000</v>
      </c>
      <c r="G411" s="490"/>
      <c r="H411" s="490"/>
      <c r="I411" s="491">
        <v>28000</v>
      </c>
      <c r="J411" s="490"/>
      <c r="K411" s="278">
        <f t="shared" si="12"/>
        <v>0</v>
      </c>
    </row>
    <row r="412" spans="1:11" x14ac:dyDescent="0.3">
      <c r="A412" s="490">
        <v>1811000785</v>
      </c>
      <c r="B412" s="490" t="s">
        <v>414</v>
      </c>
      <c r="C412" s="491">
        <v>534851.31000000006</v>
      </c>
      <c r="D412" s="491">
        <f t="shared" si="13"/>
        <v>222854.71250000002</v>
      </c>
      <c r="E412" s="491">
        <v>54856.07</v>
      </c>
      <c r="F412" s="491">
        <v>479995.24</v>
      </c>
      <c r="G412" s="490"/>
      <c r="H412" s="490">
        <v>10.26</v>
      </c>
      <c r="I412" s="491">
        <v>632098.4</v>
      </c>
      <c r="J412" s="491">
        <v>250000</v>
      </c>
      <c r="K412" s="278">
        <f t="shared" si="12"/>
        <v>304856.07</v>
      </c>
    </row>
    <row r="413" spans="1:11" x14ac:dyDescent="0.3">
      <c r="A413" s="490">
        <v>1811103444</v>
      </c>
      <c r="B413" s="490" t="s">
        <v>3529</v>
      </c>
      <c r="C413" s="490"/>
      <c r="D413" s="491">
        <f t="shared" si="13"/>
        <v>0</v>
      </c>
      <c r="E413" s="491">
        <v>46523.16</v>
      </c>
      <c r="F413" s="490"/>
      <c r="G413" s="491">
        <v>46523.16</v>
      </c>
      <c r="H413" s="490"/>
      <c r="I413" s="490"/>
      <c r="J413" s="490"/>
      <c r="K413" s="278">
        <f t="shared" si="12"/>
        <v>46523.16</v>
      </c>
    </row>
    <row r="414" spans="1:11" x14ac:dyDescent="0.3">
      <c r="A414" s="490">
        <v>1812100110</v>
      </c>
      <c r="B414" s="490" t="s">
        <v>415</v>
      </c>
      <c r="C414" s="491">
        <v>187535.68</v>
      </c>
      <c r="D414" s="491">
        <f t="shared" si="13"/>
        <v>78139.866666666669</v>
      </c>
      <c r="E414" s="490"/>
      <c r="F414" s="491">
        <v>187535.68</v>
      </c>
      <c r="G414" s="490"/>
      <c r="H414" s="490"/>
      <c r="I414" s="491">
        <v>171520.99</v>
      </c>
      <c r="J414" s="490"/>
      <c r="K414" s="278">
        <f t="shared" si="12"/>
        <v>0</v>
      </c>
    </row>
    <row r="415" spans="1:11" x14ac:dyDescent="0.3">
      <c r="A415" s="490">
        <v>1812200110</v>
      </c>
      <c r="B415" s="490" t="s">
        <v>416</v>
      </c>
      <c r="C415" s="491">
        <v>7041456.8300000001</v>
      </c>
      <c r="D415" s="491">
        <f t="shared" si="13"/>
        <v>2933940.3458333337</v>
      </c>
      <c r="E415" s="491">
        <v>2438329.5099999998</v>
      </c>
      <c r="F415" s="491">
        <v>4603127.32</v>
      </c>
      <c r="G415" s="490"/>
      <c r="H415" s="490">
        <v>34.630000000000003</v>
      </c>
      <c r="I415" s="491">
        <v>6873761.5700000003</v>
      </c>
      <c r="J415" s="490"/>
      <c r="K415" s="278">
        <f t="shared" si="12"/>
        <v>2438329.5099999998</v>
      </c>
    </row>
    <row r="416" spans="1:11" x14ac:dyDescent="0.3">
      <c r="A416" s="490">
        <v>1812200431</v>
      </c>
      <c r="B416" s="490" t="s">
        <v>417</v>
      </c>
      <c r="C416" s="491">
        <v>247899.92</v>
      </c>
      <c r="D416" s="491">
        <f t="shared" si="13"/>
        <v>103291.63333333333</v>
      </c>
      <c r="E416" s="491">
        <v>95144.4</v>
      </c>
      <c r="F416" s="491">
        <v>152755.51999999999</v>
      </c>
      <c r="G416" s="490"/>
      <c r="H416" s="490">
        <v>38.380000000000003</v>
      </c>
      <c r="I416" s="491">
        <v>272992.24</v>
      </c>
      <c r="J416" s="490"/>
      <c r="K416" s="278">
        <f t="shared" si="12"/>
        <v>95144.4</v>
      </c>
    </row>
    <row r="417" spans="1:11" x14ac:dyDescent="0.3">
      <c r="A417" s="490">
        <v>1812200432</v>
      </c>
      <c r="B417" s="490" t="s">
        <v>418</v>
      </c>
      <c r="C417" s="491">
        <v>184750.77</v>
      </c>
      <c r="D417" s="491">
        <f t="shared" si="13"/>
        <v>76979.487499999988</v>
      </c>
      <c r="E417" s="491">
        <v>83354.31</v>
      </c>
      <c r="F417" s="491">
        <v>101396.46</v>
      </c>
      <c r="G417" s="490"/>
      <c r="H417" s="490">
        <v>45.12</v>
      </c>
      <c r="I417" s="491">
        <v>181954.89</v>
      </c>
      <c r="J417" s="490"/>
      <c r="K417" s="278">
        <f t="shared" si="12"/>
        <v>83354.31</v>
      </c>
    </row>
    <row r="418" spans="1:11" x14ac:dyDescent="0.3">
      <c r="A418" s="490">
        <v>1812200540</v>
      </c>
      <c r="B418" s="490" t="s">
        <v>419</v>
      </c>
      <c r="C418" s="491">
        <v>43017.95</v>
      </c>
      <c r="D418" s="491">
        <f t="shared" si="13"/>
        <v>17924.145833333332</v>
      </c>
      <c r="E418" s="490"/>
      <c r="F418" s="491">
        <v>43017.95</v>
      </c>
      <c r="G418" s="490"/>
      <c r="H418" s="490"/>
      <c r="I418" s="491">
        <v>49800</v>
      </c>
      <c r="J418" s="490"/>
      <c r="K418" s="278">
        <f t="shared" si="12"/>
        <v>0</v>
      </c>
    </row>
    <row r="419" spans="1:11" x14ac:dyDescent="0.3">
      <c r="A419" s="490">
        <v>1812200750</v>
      </c>
      <c r="B419" s="490" t="s">
        <v>420</v>
      </c>
      <c r="C419" s="490"/>
      <c r="D419" s="491">
        <f t="shared" si="13"/>
        <v>0</v>
      </c>
      <c r="E419" s="491">
        <v>278101.32</v>
      </c>
      <c r="F419" s="490"/>
      <c r="G419" s="491">
        <v>278101.32</v>
      </c>
      <c r="H419" s="490"/>
      <c r="I419" s="491">
        <v>378067.20000000001</v>
      </c>
      <c r="J419" s="490"/>
      <c r="K419" s="278">
        <f t="shared" si="12"/>
        <v>278101.32</v>
      </c>
    </row>
    <row r="420" spans="1:11" x14ac:dyDescent="0.3">
      <c r="A420" s="490">
        <v>1812200751</v>
      </c>
      <c r="B420" s="490" t="s">
        <v>421</v>
      </c>
      <c r="C420" s="491">
        <v>2026000</v>
      </c>
      <c r="D420" s="491">
        <f t="shared" si="13"/>
        <v>844166.66666666674</v>
      </c>
      <c r="E420" s="491">
        <v>488332.28</v>
      </c>
      <c r="F420" s="491">
        <v>1537667.72</v>
      </c>
      <c r="G420" s="490"/>
      <c r="H420" s="490">
        <v>24.1</v>
      </c>
      <c r="I420" s="491">
        <v>1415800.06</v>
      </c>
      <c r="J420" s="490">
        <v>20000</v>
      </c>
      <c r="K420" s="278">
        <f t="shared" si="12"/>
        <v>508332.28</v>
      </c>
    </row>
    <row r="421" spans="1:11" x14ac:dyDescent="0.3">
      <c r="A421" s="490">
        <v>1812200770</v>
      </c>
      <c r="B421" s="490" t="s">
        <v>422</v>
      </c>
      <c r="C421" s="491">
        <v>4842930</v>
      </c>
      <c r="D421" s="491">
        <f t="shared" si="13"/>
        <v>2017887.5</v>
      </c>
      <c r="E421" s="491">
        <v>1462044.56</v>
      </c>
      <c r="F421" s="491">
        <v>3380885.44</v>
      </c>
      <c r="G421" s="490"/>
      <c r="H421" s="490">
        <v>30.19</v>
      </c>
      <c r="I421" s="491">
        <v>6616594.3600000003</v>
      </c>
      <c r="J421" s="490">
        <v>300000</v>
      </c>
      <c r="K421" s="278">
        <f t="shared" si="12"/>
        <v>1762044.56</v>
      </c>
    </row>
    <row r="422" spans="1:11" x14ac:dyDescent="0.3">
      <c r="A422" s="490">
        <v>1812200780</v>
      </c>
      <c r="B422" s="490" t="s">
        <v>423</v>
      </c>
      <c r="C422" s="491">
        <v>226410.26</v>
      </c>
      <c r="D422" s="491">
        <f t="shared" si="13"/>
        <v>94337.608333333337</v>
      </c>
      <c r="E422" s="491">
        <v>-11290</v>
      </c>
      <c r="F422" s="491">
        <v>237700.26</v>
      </c>
      <c r="G422" s="490"/>
      <c r="H422" s="490">
        <v>-4.99</v>
      </c>
      <c r="I422" s="491">
        <v>235267.71</v>
      </c>
      <c r="J422" s="491">
        <v>140872.37</v>
      </c>
      <c r="K422" s="278">
        <f t="shared" si="12"/>
        <v>129582.37</v>
      </c>
    </row>
    <row r="423" spans="1:11" x14ac:dyDescent="0.3">
      <c r="A423" s="490">
        <v>1812300110</v>
      </c>
      <c r="B423" s="490" t="s">
        <v>424</v>
      </c>
      <c r="C423" s="490"/>
      <c r="D423" s="491">
        <f t="shared" si="13"/>
        <v>0</v>
      </c>
      <c r="E423" s="491">
        <v>1046579.23</v>
      </c>
      <c r="F423" s="490"/>
      <c r="G423" s="491">
        <v>1046579.23</v>
      </c>
      <c r="H423" s="490"/>
      <c r="I423" s="491">
        <v>2379097.56</v>
      </c>
      <c r="J423" s="490"/>
      <c r="K423" s="278">
        <f t="shared" si="12"/>
        <v>1046579.23</v>
      </c>
    </row>
    <row r="424" spans="1:11" x14ac:dyDescent="0.3">
      <c r="A424" s="490">
        <v>1812300780</v>
      </c>
      <c r="B424" s="490" t="s">
        <v>425</v>
      </c>
      <c r="C424" s="491">
        <v>65994</v>
      </c>
      <c r="D424" s="491">
        <f t="shared" si="13"/>
        <v>27497.5</v>
      </c>
      <c r="E424" s="491">
        <v>130725</v>
      </c>
      <c r="F424" s="490"/>
      <c r="G424" s="491">
        <v>64731</v>
      </c>
      <c r="H424" s="490">
        <v>198.09</v>
      </c>
      <c r="I424" s="491">
        <v>438325</v>
      </c>
      <c r="J424" s="491">
        <v>27676.6</v>
      </c>
      <c r="K424" s="278">
        <f t="shared" si="12"/>
        <v>158401.60000000001</v>
      </c>
    </row>
    <row r="425" spans="1:11" x14ac:dyDescent="0.3">
      <c r="A425" s="490">
        <v>1812400110</v>
      </c>
      <c r="B425" s="490" t="s">
        <v>427</v>
      </c>
      <c r="C425" s="491">
        <v>318352.21000000002</v>
      </c>
      <c r="D425" s="491">
        <f t="shared" si="13"/>
        <v>132646.75416666668</v>
      </c>
      <c r="E425" s="491">
        <v>125164.22</v>
      </c>
      <c r="F425" s="491">
        <v>193187.99</v>
      </c>
      <c r="G425" s="490"/>
      <c r="H425" s="490">
        <v>39.32</v>
      </c>
      <c r="I425" s="491">
        <v>314671.15999999997</v>
      </c>
      <c r="J425" s="490"/>
      <c r="K425" s="278">
        <f t="shared" si="12"/>
        <v>125164.22</v>
      </c>
    </row>
    <row r="426" spans="1:11" x14ac:dyDescent="0.3">
      <c r="A426" s="490">
        <v>1812400780</v>
      </c>
      <c r="B426" s="490" t="s">
        <v>428</v>
      </c>
      <c r="C426" s="491">
        <v>100000</v>
      </c>
      <c r="D426" s="491">
        <f t="shared" si="13"/>
        <v>41666.666666666672</v>
      </c>
      <c r="E426" s="491">
        <v>29149.5</v>
      </c>
      <c r="F426" s="491">
        <v>70850.5</v>
      </c>
      <c r="G426" s="490"/>
      <c r="H426" s="490">
        <v>29.15</v>
      </c>
      <c r="I426" s="491">
        <v>142034.81</v>
      </c>
      <c r="J426" s="490"/>
      <c r="K426" s="278">
        <f t="shared" si="12"/>
        <v>29149.5</v>
      </c>
    </row>
    <row r="427" spans="1:11" x14ac:dyDescent="0.3">
      <c r="A427" s="490">
        <v>1812600431</v>
      </c>
      <c r="B427" s="490" t="s">
        <v>429</v>
      </c>
      <c r="C427" s="491">
        <v>15456.92</v>
      </c>
      <c r="D427" s="491">
        <f t="shared" si="13"/>
        <v>6440.3833333333332</v>
      </c>
      <c r="E427" s="490"/>
      <c r="F427" s="491">
        <v>15456.92</v>
      </c>
      <c r="G427" s="490"/>
      <c r="H427" s="490"/>
      <c r="I427" s="491">
        <v>19774</v>
      </c>
      <c r="J427" s="490"/>
      <c r="K427" s="278">
        <f t="shared" si="12"/>
        <v>0</v>
      </c>
    </row>
    <row r="428" spans="1:11" x14ac:dyDescent="0.3">
      <c r="A428" s="490">
        <v>1813200110</v>
      </c>
      <c r="B428" s="490" t="s">
        <v>430</v>
      </c>
      <c r="C428" s="491">
        <v>2370.39</v>
      </c>
      <c r="D428" s="491">
        <f t="shared" si="13"/>
        <v>987.66250000000002</v>
      </c>
      <c r="E428" s="491">
        <v>33629.54</v>
      </c>
      <c r="F428" s="490"/>
      <c r="G428" s="491">
        <v>31259.15</v>
      </c>
      <c r="H428" s="491">
        <v>1418.73</v>
      </c>
      <c r="I428" s="491">
        <v>4078.84</v>
      </c>
      <c r="J428" s="490"/>
      <c r="K428" s="278">
        <f t="shared" si="12"/>
        <v>33629.54</v>
      </c>
    </row>
    <row r="429" spans="1:11" x14ac:dyDescent="0.3">
      <c r="A429" s="490">
        <v>1813200750</v>
      </c>
      <c r="B429" s="490" t="s">
        <v>431</v>
      </c>
      <c r="C429" s="491">
        <v>448800</v>
      </c>
      <c r="D429" s="491">
        <f t="shared" si="13"/>
        <v>187000</v>
      </c>
      <c r="E429" s="491">
        <v>229038.09</v>
      </c>
      <c r="F429" s="491">
        <v>219761.91</v>
      </c>
      <c r="G429" s="490"/>
      <c r="H429" s="490">
        <v>51.03</v>
      </c>
      <c r="I429" s="491">
        <v>662701.11</v>
      </c>
      <c r="J429" s="490"/>
      <c r="K429" s="278">
        <f t="shared" si="12"/>
        <v>229038.09</v>
      </c>
    </row>
    <row r="430" spans="1:11" x14ac:dyDescent="0.3">
      <c r="A430" s="490">
        <v>1813200751</v>
      </c>
      <c r="B430" s="490" t="s">
        <v>432</v>
      </c>
      <c r="C430" s="491">
        <v>989400</v>
      </c>
      <c r="D430" s="491">
        <f t="shared" si="13"/>
        <v>412250</v>
      </c>
      <c r="E430" s="491">
        <v>369777.4</v>
      </c>
      <c r="F430" s="491">
        <v>619622.6</v>
      </c>
      <c r="G430" s="490"/>
      <c r="H430" s="490">
        <v>37.369999999999997</v>
      </c>
      <c r="I430" s="491">
        <v>1034459.63</v>
      </c>
      <c r="J430" s="490"/>
      <c r="K430" s="278">
        <f t="shared" si="12"/>
        <v>369777.4</v>
      </c>
    </row>
    <row r="431" spans="1:11" x14ac:dyDescent="0.3">
      <c r="A431" s="490">
        <v>1813200780</v>
      </c>
      <c r="B431" s="490" t="s">
        <v>433</v>
      </c>
      <c r="C431" s="491">
        <v>29232</v>
      </c>
      <c r="D431" s="491">
        <f t="shared" si="13"/>
        <v>12180</v>
      </c>
      <c r="E431" s="490"/>
      <c r="F431" s="491">
        <v>29232</v>
      </c>
      <c r="G431" s="490"/>
      <c r="H431" s="490"/>
      <c r="I431" s="490"/>
      <c r="J431" s="490"/>
      <c r="K431" s="278">
        <f t="shared" si="12"/>
        <v>0</v>
      </c>
    </row>
    <row r="432" spans="1:11" x14ac:dyDescent="0.3">
      <c r="A432" s="490">
        <v>1813210110</v>
      </c>
      <c r="B432" s="490" t="s">
        <v>434</v>
      </c>
      <c r="C432" s="491">
        <v>687441.29</v>
      </c>
      <c r="D432" s="491">
        <f t="shared" si="13"/>
        <v>286433.87083333335</v>
      </c>
      <c r="E432" s="491">
        <v>325384.7</v>
      </c>
      <c r="F432" s="491">
        <v>362056.59</v>
      </c>
      <c r="G432" s="490"/>
      <c r="H432" s="490">
        <v>47.33</v>
      </c>
      <c r="I432" s="491">
        <v>818081.47</v>
      </c>
      <c r="J432" s="490"/>
      <c r="K432" s="278">
        <f t="shared" si="12"/>
        <v>325384.7</v>
      </c>
    </row>
    <row r="433" spans="1:11" x14ac:dyDescent="0.3">
      <c r="A433" s="490">
        <v>1813210431</v>
      </c>
      <c r="B433" s="490" t="s">
        <v>435</v>
      </c>
      <c r="C433" s="490"/>
      <c r="D433" s="491">
        <f t="shared" si="13"/>
        <v>0</v>
      </c>
      <c r="E433" s="491">
        <v>5486</v>
      </c>
      <c r="F433" s="490"/>
      <c r="G433" s="491">
        <v>5486</v>
      </c>
      <c r="H433" s="490"/>
      <c r="I433" s="490"/>
      <c r="K433" s="278">
        <f t="shared" si="12"/>
        <v>5486</v>
      </c>
    </row>
    <row r="434" spans="1:11" x14ac:dyDescent="0.3">
      <c r="A434" s="490">
        <v>1813210780</v>
      </c>
      <c r="B434" s="490" t="s">
        <v>437</v>
      </c>
      <c r="C434" s="491">
        <v>90970</v>
      </c>
      <c r="D434" s="491">
        <f t="shared" si="13"/>
        <v>37904.166666666664</v>
      </c>
      <c r="E434" s="491">
        <v>34533</v>
      </c>
      <c r="F434" s="491">
        <v>56437</v>
      </c>
      <c r="G434" s="490"/>
      <c r="H434" s="490">
        <v>37.96</v>
      </c>
      <c r="I434" s="491">
        <v>92897</v>
      </c>
      <c r="K434" s="278">
        <f t="shared" si="12"/>
        <v>34533</v>
      </c>
    </row>
    <row r="435" spans="1:11" x14ac:dyDescent="0.3">
      <c r="A435" s="490">
        <v>1813220110</v>
      </c>
      <c r="B435" s="490" t="s">
        <v>438</v>
      </c>
      <c r="C435" s="491">
        <v>533877.57999999996</v>
      </c>
      <c r="D435" s="491">
        <f t="shared" si="13"/>
        <v>222448.99166666667</v>
      </c>
      <c r="E435" s="491">
        <v>455392.26</v>
      </c>
      <c r="F435" s="491">
        <v>78485.320000000007</v>
      </c>
      <c r="G435" s="490"/>
      <c r="H435" s="490">
        <v>85.3</v>
      </c>
      <c r="I435" s="491">
        <v>1159138.8700000001</v>
      </c>
      <c r="K435" s="278">
        <f t="shared" si="12"/>
        <v>455392.26</v>
      </c>
    </row>
    <row r="436" spans="1:11" x14ac:dyDescent="0.3">
      <c r="A436" s="490">
        <v>1813220780</v>
      </c>
      <c r="B436" s="490" t="s">
        <v>440</v>
      </c>
      <c r="C436" s="491">
        <v>234041</v>
      </c>
      <c r="D436" s="491">
        <f t="shared" si="13"/>
        <v>97517.083333333343</v>
      </c>
      <c r="E436" s="491">
        <v>83328</v>
      </c>
      <c r="F436" s="491">
        <v>150713</v>
      </c>
      <c r="G436" s="490"/>
      <c r="H436" s="490">
        <v>35.6</v>
      </c>
      <c r="I436" s="491">
        <v>228878</v>
      </c>
      <c r="K436" s="278">
        <f t="shared" si="12"/>
        <v>83328</v>
      </c>
    </row>
    <row r="437" spans="1:11" x14ac:dyDescent="0.3">
      <c r="A437" s="490">
        <v>1813230110</v>
      </c>
      <c r="B437" s="490" t="s">
        <v>441</v>
      </c>
      <c r="C437" s="491">
        <v>295449.11</v>
      </c>
      <c r="D437" s="491">
        <f t="shared" si="13"/>
        <v>123103.79583333334</v>
      </c>
      <c r="E437" s="491">
        <v>230808.77</v>
      </c>
      <c r="F437" s="491">
        <v>64640.34</v>
      </c>
      <c r="G437" s="490"/>
      <c r="H437" s="490">
        <v>78.12</v>
      </c>
      <c r="I437" s="491">
        <v>649920.37</v>
      </c>
      <c r="K437" s="278">
        <f t="shared" si="12"/>
        <v>230808.77</v>
      </c>
    </row>
    <row r="438" spans="1:11" x14ac:dyDescent="0.3">
      <c r="A438" s="490">
        <v>1813230431</v>
      </c>
      <c r="B438" s="490" t="s">
        <v>442</v>
      </c>
      <c r="C438" s="490">
        <v>151.86000000000001</v>
      </c>
      <c r="D438" s="491">
        <f t="shared" si="13"/>
        <v>63.275000000000006</v>
      </c>
      <c r="E438" s="490">
        <v>76.16</v>
      </c>
      <c r="F438" s="490">
        <v>75.7</v>
      </c>
      <c r="G438" s="490"/>
      <c r="H438" s="490">
        <v>50.15</v>
      </c>
      <c r="I438" s="490">
        <v>384.61</v>
      </c>
      <c r="K438" s="278">
        <f t="shared" si="12"/>
        <v>76.16</v>
      </c>
    </row>
    <row r="439" spans="1:11" x14ac:dyDescent="0.3">
      <c r="A439" s="490">
        <v>1813230780</v>
      </c>
      <c r="B439" s="490" t="s">
        <v>443</v>
      </c>
      <c r="C439" s="491">
        <v>277095</v>
      </c>
      <c r="D439" s="491">
        <f t="shared" si="13"/>
        <v>115456.25</v>
      </c>
      <c r="E439" s="491">
        <v>122660.22</v>
      </c>
      <c r="F439" s="491">
        <v>154434.78</v>
      </c>
      <c r="G439" s="490"/>
      <c r="H439" s="490">
        <v>44.27</v>
      </c>
      <c r="I439" s="491">
        <v>296519.5</v>
      </c>
      <c r="K439" s="278">
        <f t="shared" si="12"/>
        <v>122660.22</v>
      </c>
    </row>
    <row r="440" spans="1:11" x14ac:dyDescent="0.3">
      <c r="A440" s="490">
        <v>1813240110</v>
      </c>
      <c r="B440" s="490" t="s">
        <v>444</v>
      </c>
      <c r="C440" s="491">
        <v>844751.73</v>
      </c>
      <c r="D440" s="491">
        <f t="shared" si="13"/>
        <v>351979.88749999995</v>
      </c>
      <c r="E440" s="491">
        <v>369784.04</v>
      </c>
      <c r="F440" s="491">
        <v>474967.69</v>
      </c>
      <c r="G440" s="490"/>
      <c r="H440" s="490">
        <v>43.77</v>
      </c>
      <c r="I440" s="491">
        <v>1056635.02</v>
      </c>
      <c r="K440" s="278">
        <f t="shared" si="12"/>
        <v>369784.04</v>
      </c>
    </row>
    <row r="441" spans="1:11" x14ac:dyDescent="0.3">
      <c r="A441" s="490">
        <v>1813240780</v>
      </c>
      <c r="B441" s="490" t="s">
        <v>447</v>
      </c>
      <c r="C441" s="491">
        <v>230733</v>
      </c>
      <c r="D441" s="491">
        <f t="shared" si="13"/>
        <v>96138.75</v>
      </c>
      <c r="E441" s="491">
        <v>89966</v>
      </c>
      <c r="F441" s="491">
        <v>140767</v>
      </c>
      <c r="G441" s="490"/>
      <c r="H441" s="490">
        <v>38.99</v>
      </c>
      <c r="I441" s="491">
        <v>233393</v>
      </c>
      <c r="K441" s="278">
        <f t="shared" si="12"/>
        <v>89966</v>
      </c>
    </row>
    <row r="442" spans="1:11" x14ac:dyDescent="0.3">
      <c r="A442" s="490">
        <v>1813250075</v>
      </c>
      <c r="B442" s="490" t="s">
        <v>3530</v>
      </c>
      <c r="C442" s="490"/>
      <c r="D442" s="491">
        <f t="shared" si="13"/>
        <v>0</v>
      </c>
      <c r="E442" s="491">
        <v>18655.13</v>
      </c>
      <c r="F442" s="490"/>
      <c r="G442" s="491">
        <v>18655.13</v>
      </c>
      <c r="H442" s="490"/>
      <c r="I442" s="490"/>
      <c r="K442" s="278">
        <f t="shared" si="12"/>
        <v>18655.13</v>
      </c>
    </row>
    <row r="443" spans="1:11" x14ac:dyDescent="0.3">
      <c r="A443" s="490">
        <v>1813250110</v>
      </c>
      <c r="B443" s="490" t="s">
        <v>448</v>
      </c>
      <c r="C443" s="491">
        <v>640827.09</v>
      </c>
      <c r="D443" s="491">
        <f t="shared" si="13"/>
        <v>267011.28749999998</v>
      </c>
      <c r="E443" s="491">
        <v>295622.81</v>
      </c>
      <c r="F443" s="491">
        <v>345204.28</v>
      </c>
      <c r="G443" s="490"/>
      <c r="H443" s="490">
        <v>46.13</v>
      </c>
      <c r="I443" s="491">
        <v>869585.53</v>
      </c>
      <c r="K443" s="278">
        <f t="shared" si="12"/>
        <v>295622.81</v>
      </c>
    </row>
    <row r="444" spans="1:11" x14ac:dyDescent="0.3">
      <c r="A444" s="490">
        <v>1813250780</v>
      </c>
      <c r="B444" s="490" t="s">
        <v>451</v>
      </c>
      <c r="C444" s="491">
        <v>215020</v>
      </c>
      <c r="D444" s="491">
        <f t="shared" si="13"/>
        <v>89591.666666666657</v>
      </c>
      <c r="E444" s="491">
        <v>77099</v>
      </c>
      <c r="F444" s="491">
        <v>137921</v>
      </c>
      <c r="G444" s="490"/>
      <c r="H444" s="490">
        <v>35.86</v>
      </c>
      <c r="I444" s="491">
        <v>216794</v>
      </c>
      <c r="K444" s="278">
        <f t="shared" si="12"/>
        <v>77099</v>
      </c>
    </row>
    <row r="445" spans="1:11" x14ac:dyDescent="0.3">
      <c r="A445" s="490">
        <v>1813260110</v>
      </c>
      <c r="B445" s="490" t="s">
        <v>452</v>
      </c>
      <c r="C445" s="491">
        <v>378051.38</v>
      </c>
      <c r="D445" s="491">
        <f t="shared" si="13"/>
        <v>157521.40833333333</v>
      </c>
      <c r="E445" s="491">
        <v>119001.19</v>
      </c>
      <c r="F445" s="491">
        <v>259050.19</v>
      </c>
      <c r="G445" s="490"/>
      <c r="H445" s="490">
        <v>31.48</v>
      </c>
      <c r="I445" s="491">
        <v>395526.31</v>
      </c>
      <c r="K445" s="278">
        <f t="shared" si="12"/>
        <v>119001.19</v>
      </c>
    </row>
    <row r="446" spans="1:11" x14ac:dyDescent="0.3">
      <c r="A446" s="490">
        <v>1813260780</v>
      </c>
      <c r="B446" s="490" t="s">
        <v>455</v>
      </c>
      <c r="C446" s="491">
        <v>92624</v>
      </c>
      <c r="D446" s="491">
        <f t="shared" si="13"/>
        <v>38593.333333333336</v>
      </c>
      <c r="E446" s="491">
        <v>34896</v>
      </c>
      <c r="F446" s="491">
        <v>57728</v>
      </c>
      <c r="G446" s="490"/>
      <c r="H446" s="490">
        <v>37.67</v>
      </c>
      <c r="I446" s="491">
        <v>91669</v>
      </c>
      <c r="K446" s="278">
        <f t="shared" si="12"/>
        <v>34896</v>
      </c>
    </row>
    <row r="447" spans="1:11" x14ac:dyDescent="0.3">
      <c r="A447" s="490">
        <v>1813270110</v>
      </c>
      <c r="B447" s="490" t="s">
        <v>457</v>
      </c>
      <c r="C447" s="491">
        <v>145178.56</v>
      </c>
      <c r="D447" s="491">
        <f t="shared" si="13"/>
        <v>60491.066666666666</v>
      </c>
      <c r="E447" s="491">
        <v>350748.63</v>
      </c>
      <c r="F447" s="490"/>
      <c r="G447" s="491">
        <v>205570.07</v>
      </c>
      <c r="H447" s="490">
        <v>241.6</v>
      </c>
      <c r="I447" s="491">
        <v>957456.49</v>
      </c>
      <c r="K447" s="278">
        <f t="shared" si="12"/>
        <v>350748.63</v>
      </c>
    </row>
    <row r="448" spans="1:11" x14ac:dyDescent="0.3">
      <c r="A448" s="490">
        <v>1813270780</v>
      </c>
      <c r="B448" s="490" t="s">
        <v>460</v>
      </c>
      <c r="C448" s="491">
        <v>230790</v>
      </c>
      <c r="D448" s="491">
        <f t="shared" si="13"/>
        <v>96162.5</v>
      </c>
      <c r="E448" s="491">
        <v>86871</v>
      </c>
      <c r="F448" s="491">
        <v>143919</v>
      </c>
      <c r="G448" s="490"/>
      <c r="H448" s="490">
        <v>37.64</v>
      </c>
      <c r="I448" s="491">
        <v>231414</v>
      </c>
      <c r="K448" s="278">
        <f t="shared" si="12"/>
        <v>86871</v>
      </c>
    </row>
    <row r="449" spans="1:11" x14ac:dyDescent="0.3">
      <c r="A449" s="490">
        <v>1813280110</v>
      </c>
      <c r="B449" s="490" t="s">
        <v>461</v>
      </c>
      <c r="C449" s="491">
        <v>911092.59</v>
      </c>
      <c r="D449" s="491">
        <f t="shared" si="13"/>
        <v>379621.91249999998</v>
      </c>
      <c r="E449" s="491">
        <v>475894.98</v>
      </c>
      <c r="F449" s="491">
        <v>435197.61</v>
      </c>
      <c r="G449" s="490"/>
      <c r="H449" s="490">
        <v>52.23</v>
      </c>
      <c r="I449" s="491">
        <v>1194230.68</v>
      </c>
      <c r="J449" s="490"/>
      <c r="K449" s="278">
        <f t="shared" si="12"/>
        <v>475894.98</v>
      </c>
    </row>
    <row r="450" spans="1:11" x14ac:dyDescent="0.3">
      <c r="A450" s="490">
        <v>1813280780</v>
      </c>
      <c r="B450" s="490" t="s">
        <v>462</v>
      </c>
      <c r="C450" s="491">
        <v>180000</v>
      </c>
      <c r="D450" s="491">
        <f t="shared" si="13"/>
        <v>75000</v>
      </c>
      <c r="E450" s="490"/>
      <c r="F450" s="491">
        <v>180000</v>
      </c>
      <c r="G450" s="490"/>
      <c r="H450" s="490"/>
      <c r="I450" s="491">
        <v>180518</v>
      </c>
      <c r="J450" s="490"/>
      <c r="K450" s="278">
        <f t="shared" si="12"/>
        <v>0</v>
      </c>
    </row>
    <row r="451" spans="1:11" x14ac:dyDescent="0.3">
      <c r="A451" s="490">
        <v>1813280785</v>
      </c>
      <c r="B451" s="490" t="s">
        <v>463</v>
      </c>
      <c r="C451" s="491">
        <v>180000</v>
      </c>
      <c r="D451" s="491">
        <f t="shared" si="13"/>
        <v>75000</v>
      </c>
      <c r="E451" s="491">
        <v>45106.2</v>
      </c>
      <c r="F451" s="491">
        <v>134893.79999999999</v>
      </c>
      <c r="G451" s="490"/>
      <c r="H451" s="490">
        <v>25.06</v>
      </c>
      <c r="I451" s="491">
        <v>208523.42</v>
      </c>
      <c r="J451" s="491">
        <v>40927</v>
      </c>
      <c r="K451" s="278">
        <f t="shared" ref="K451:K514" si="14">E451+J451</f>
        <v>86033.2</v>
      </c>
    </row>
    <row r="452" spans="1:11" x14ac:dyDescent="0.3">
      <c r="A452" s="490">
        <v>1813280786</v>
      </c>
      <c r="B452" s="490" t="s">
        <v>464</v>
      </c>
      <c r="C452" s="491">
        <v>50000</v>
      </c>
      <c r="D452" s="491">
        <f t="shared" si="13"/>
        <v>20833.333333333336</v>
      </c>
      <c r="E452" s="491">
        <v>1606.83</v>
      </c>
      <c r="F452" s="491">
        <v>48393.17</v>
      </c>
      <c r="G452" s="490"/>
      <c r="H452" s="490">
        <v>3.21</v>
      </c>
      <c r="I452" s="491">
        <v>22359.19</v>
      </c>
      <c r="J452" s="490"/>
      <c r="K452" s="278">
        <f t="shared" si="14"/>
        <v>1606.83</v>
      </c>
    </row>
    <row r="453" spans="1:11" x14ac:dyDescent="0.3">
      <c r="A453" s="490">
        <v>1813300110</v>
      </c>
      <c r="B453" s="490" t="s">
        <v>465</v>
      </c>
      <c r="C453" s="491">
        <v>3223321.08</v>
      </c>
      <c r="D453" s="491">
        <f t="shared" si="13"/>
        <v>1343050.4500000002</v>
      </c>
      <c r="E453" s="491">
        <v>1217834.98</v>
      </c>
      <c r="F453" s="491">
        <v>2005486.1</v>
      </c>
      <c r="G453" s="490"/>
      <c r="H453" s="490">
        <v>37.78</v>
      </c>
      <c r="I453" s="491">
        <v>3712805.2</v>
      </c>
      <c r="J453" s="490"/>
      <c r="K453" s="278">
        <f t="shared" si="14"/>
        <v>1217834.98</v>
      </c>
    </row>
    <row r="454" spans="1:11" x14ac:dyDescent="0.3">
      <c r="A454" s="490">
        <v>1813300431</v>
      </c>
      <c r="B454" s="490" t="s">
        <v>466</v>
      </c>
      <c r="C454" s="491">
        <v>84282.05</v>
      </c>
      <c r="D454" s="491">
        <f t="shared" ref="D454:D517" si="15">C454/12*5</f>
        <v>35117.520833333336</v>
      </c>
      <c r="E454" s="491">
        <v>22374.81</v>
      </c>
      <c r="F454" s="491">
        <v>61907.24</v>
      </c>
      <c r="G454" s="490"/>
      <c r="H454" s="490">
        <v>26.55</v>
      </c>
      <c r="I454" s="491">
        <v>90385.62</v>
      </c>
      <c r="J454" s="490"/>
      <c r="K454" s="278">
        <f t="shared" si="14"/>
        <v>22374.81</v>
      </c>
    </row>
    <row r="455" spans="1:11" x14ac:dyDescent="0.3">
      <c r="A455" s="490">
        <v>1813300432</v>
      </c>
      <c r="B455" s="490" t="s">
        <v>467</v>
      </c>
      <c r="C455" s="491">
        <v>35000</v>
      </c>
      <c r="D455" s="491">
        <f t="shared" si="15"/>
        <v>14583.333333333332</v>
      </c>
      <c r="E455" s="491">
        <v>22922.639999999999</v>
      </c>
      <c r="F455" s="491">
        <v>12077.36</v>
      </c>
      <c r="G455" s="490"/>
      <c r="H455" s="490">
        <v>65.489999999999995</v>
      </c>
      <c r="I455" s="491">
        <v>88608.78</v>
      </c>
      <c r="J455" s="490"/>
      <c r="K455" s="278">
        <f t="shared" si="14"/>
        <v>22922.639999999999</v>
      </c>
    </row>
    <row r="456" spans="1:11" x14ac:dyDescent="0.3">
      <c r="A456" s="490">
        <v>1813300780</v>
      </c>
      <c r="B456" s="490" t="s">
        <v>468</v>
      </c>
      <c r="C456" s="491">
        <v>20000</v>
      </c>
      <c r="D456" s="491">
        <f t="shared" si="15"/>
        <v>8333.3333333333339</v>
      </c>
      <c r="E456" s="491">
        <v>36849.64</v>
      </c>
      <c r="F456" s="490"/>
      <c r="G456" s="491">
        <v>16849.64</v>
      </c>
      <c r="H456" s="490">
        <v>184.25</v>
      </c>
      <c r="I456" s="491">
        <v>48988.65</v>
      </c>
      <c r="J456" s="490"/>
      <c r="K456" s="278">
        <f t="shared" si="14"/>
        <v>36849.64</v>
      </c>
    </row>
    <row r="457" spans="1:11" x14ac:dyDescent="0.3">
      <c r="A457" s="490">
        <v>1813300785</v>
      </c>
      <c r="B457" s="490" t="s">
        <v>110</v>
      </c>
      <c r="C457" s="491">
        <v>220000</v>
      </c>
      <c r="D457" s="491">
        <f t="shared" si="15"/>
        <v>91666.666666666657</v>
      </c>
      <c r="E457" s="491">
        <v>86273.9</v>
      </c>
      <c r="F457" s="491">
        <v>133726.1</v>
      </c>
      <c r="G457" s="490"/>
      <c r="H457" s="490">
        <v>39.22</v>
      </c>
      <c r="I457" s="491">
        <v>260411.92</v>
      </c>
      <c r="J457" s="491">
        <v>65164.3</v>
      </c>
      <c r="K457" s="278">
        <f t="shared" si="14"/>
        <v>151438.20000000001</v>
      </c>
    </row>
    <row r="458" spans="1:11" x14ac:dyDescent="0.3">
      <c r="A458" s="490">
        <v>1813600110</v>
      </c>
      <c r="B458" s="490" t="s">
        <v>469</v>
      </c>
      <c r="C458" s="491">
        <v>329547.81</v>
      </c>
      <c r="D458" s="491">
        <f t="shared" si="15"/>
        <v>137311.58749999999</v>
      </c>
      <c r="E458" s="491">
        <v>161132.25</v>
      </c>
      <c r="F458" s="491">
        <v>168415.56</v>
      </c>
      <c r="G458" s="490"/>
      <c r="H458" s="490">
        <v>48.89</v>
      </c>
      <c r="I458" s="491">
        <v>387174.07</v>
      </c>
      <c r="J458" s="490"/>
      <c r="K458" s="278">
        <f t="shared" si="14"/>
        <v>161132.25</v>
      </c>
    </row>
    <row r="459" spans="1:11" x14ac:dyDescent="0.3">
      <c r="A459" s="490">
        <v>1813600431</v>
      </c>
      <c r="B459" s="490" t="s">
        <v>470</v>
      </c>
      <c r="C459" s="491">
        <v>8596.6200000000008</v>
      </c>
      <c r="D459" s="491">
        <f t="shared" si="15"/>
        <v>3581.9250000000006</v>
      </c>
      <c r="E459" s="491">
        <v>6790.78</v>
      </c>
      <c r="F459" s="491">
        <v>1805.84</v>
      </c>
      <c r="G459" s="490"/>
      <c r="H459" s="490">
        <v>78.989999999999995</v>
      </c>
      <c r="I459" s="491">
        <v>12068.24</v>
      </c>
      <c r="J459" s="490"/>
      <c r="K459" s="278">
        <f t="shared" si="14"/>
        <v>6790.78</v>
      </c>
    </row>
    <row r="460" spans="1:11" x14ac:dyDescent="0.3">
      <c r="A460" s="490">
        <v>1813600432</v>
      </c>
      <c r="B460" s="490" t="s">
        <v>471</v>
      </c>
      <c r="C460" s="491">
        <v>8000</v>
      </c>
      <c r="D460" s="491">
        <f t="shared" si="15"/>
        <v>3333.333333333333</v>
      </c>
      <c r="E460" s="491">
        <v>2613.7800000000002</v>
      </c>
      <c r="F460" s="491">
        <v>5386.22</v>
      </c>
      <c r="G460" s="490"/>
      <c r="H460" s="490">
        <v>32.67</v>
      </c>
      <c r="I460" s="491">
        <v>8980.92</v>
      </c>
      <c r="J460" s="490"/>
      <c r="K460" s="278">
        <f t="shared" si="14"/>
        <v>2613.7800000000002</v>
      </c>
    </row>
    <row r="461" spans="1:11" x14ac:dyDescent="0.3">
      <c r="A461" s="490">
        <v>1813600540</v>
      </c>
      <c r="B461" s="490" t="s">
        <v>472</v>
      </c>
      <c r="C461" s="491">
        <v>3000</v>
      </c>
      <c r="D461" s="491">
        <f t="shared" si="15"/>
        <v>1250</v>
      </c>
      <c r="E461" s="491">
        <v>1875.97</v>
      </c>
      <c r="F461" s="491">
        <v>1124.03</v>
      </c>
      <c r="G461" s="490"/>
      <c r="H461" s="490">
        <v>62.53</v>
      </c>
      <c r="I461" s="491">
        <v>3899.69</v>
      </c>
      <c r="J461" s="490"/>
      <c r="K461" s="278">
        <f t="shared" si="14"/>
        <v>1875.97</v>
      </c>
    </row>
    <row r="462" spans="1:11" x14ac:dyDescent="0.3">
      <c r="A462" s="490">
        <v>1813600780</v>
      </c>
      <c r="B462" s="490" t="s">
        <v>473</v>
      </c>
      <c r="C462" s="491">
        <v>180000</v>
      </c>
      <c r="D462" s="491">
        <f t="shared" si="15"/>
        <v>75000</v>
      </c>
      <c r="E462" s="491">
        <v>26408.95</v>
      </c>
      <c r="F462" s="491">
        <v>153591.04999999999</v>
      </c>
      <c r="G462" s="490"/>
      <c r="H462" s="490">
        <v>14.67</v>
      </c>
      <c r="I462" s="491">
        <v>158892.49</v>
      </c>
      <c r="J462" s="491">
        <v>63267.94</v>
      </c>
      <c r="K462" s="278">
        <f t="shared" si="14"/>
        <v>89676.89</v>
      </c>
    </row>
    <row r="463" spans="1:11" x14ac:dyDescent="0.3">
      <c r="A463" s="490">
        <v>1813700110</v>
      </c>
      <c r="B463" s="490" t="s">
        <v>474</v>
      </c>
      <c r="C463" s="491">
        <v>215655.2</v>
      </c>
      <c r="D463" s="491">
        <f t="shared" si="15"/>
        <v>89856.333333333328</v>
      </c>
      <c r="E463" s="491">
        <v>94239.81</v>
      </c>
      <c r="F463" s="491">
        <v>121415.39</v>
      </c>
      <c r="G463" s="490"/>
      <c r="H463" s="490">
        <v>43.7</v>
      </c>
      <c r="I463" s="491">
        <v>254496.99</v>
      </c>
      <c r="J463" s="490"/>
      <c r="K463" s="278">
        <f t="shared" si="14"/>
        <v>94239.81</v>
      </c>
    </row>
    <row r="464" spans="1:11" x14ac:dyDescent="0.3">
      <c r="A464" s="490">
        <v>1813700780</v>
      </c>
      <c r="B464" s="490" t="s">
        <v>475</v>
      </c>
      <c r="C464" s="491">
        <v>75000</v>
      </c>
      <c r="D464" s="491">
        <f t="shared" si="15"/>
        <v>31250</v>
      </c>
      <c r="E464" s="491">
        <v>58718.84</v>
      </c>
      <c r="F464" s="491">
        <v>16281.16</v>
      </c>
      <c r="G464" s="490"/>
      <c r="H464" s="490">
        <v>78.290000000000006</v>
      </c>
      <c r="I464" s="491">
        <v>60097.4</v>
      </c>
      <c r="J464" s="490"/>
      <c r="K464" s="278">
        <f t="shared" si="14"/>
        <v>58718.84</v>
      </c>
    </row>
    <row r="465" spans="1:12" x14ac:dyDescent="0.3">
      <c r="A465" s="490">
        <v>1813800780</v>
      </c>
      <c r="B465" s="490" t="s">
        <v>476</v>
      </c>
      <c r="C465" s="491">
        <v>450000</v>
      </c>
      <c r="D465" s="491">
        <f t="shared" si="15"/>
        <v>187500</v>
      </c>
      <c r="E465" s="490"/>
      <c r="F465" s="491">
        <v>450000</v>
      </c>
      <c r="G465" s="490"/>
      <c r="H465" s="490"/>
      <c r="I465" s="491">
        <v>330068.43</v>
      </c>
      <c r="J465" s="490"/>
      <c r="K465" s="278">
        <f t="shared" si="14"/>
        <v>0</v>
      </c>
    </row>
    <row r="466" spans="1:12" x14ac:dyDescent="0.3">
      <c r="A466" s="490">
        <v>1813810110</v>
      </c>
      <c r="B466" s="490" t="s">
        <v>751</v>
      </c>
      <c r="C466" s="491">
        <v>48768.68</v>
      </c>
      <c r="D466" s="491">
        <f t="shared" si="15"/>
        <v>20320.283333333333</v>
      </c>
      <c r="E466" s="491">
        <v>9108.16</v>
      </c>
      <c r="F466" s="491">
        <v>39660.519999999997</v>
      </c>
      <c r="G466" s="490"/>
      <c r="H466" s="490">
        <v>18.68</v>
      </c>
      <c r="I466" s="491">
        <v>333006.74</v>
      </c>
      <c r="J466" s="490"/>
      <c r="K466" s="278">
        <f t="shared" si="14"/>
        <v>9108.16</v>
      </c>
    </row>
    <row r="467" spans="1:12" x14ac:dyDescent="0.3">
      <c r="A467" s="490">
        <v>1813810780</v>
      </c>
      <c r="B467" s="490" t="s">
        <v>478</v>
      </c>
      <c r="C467" s="491">
        <v>100000</v>
      </c>
      <c r="D467" s="491">
        <f t="shared" si="15"/>
        <v>41666.666666666672</v>
      </c>
      <c r="E467" s="490"/>
      <c r="F467" s="491">
        <v>100000</v>
      </c>
      <c r="G467" s="490"/>
      <c r="H467" s="490"/>
      <c r="I467" s="491">
        <v>164758.70000000001</v>
      </c>
      <c r="J467" s="491">
        <v>23762.400000000001</v>
      </c>
      <c r="K467" s="278">
        <f t="shared" si="14"/>
        <v>23762.400000000001</v>
      </c>
    </row>
    <row r="468" spans="1:12" x14ac:dyDescent="0.3">
      <c r="A468" s="490">
        <v>1813810781</v>
      </c>
      <c r="B468" s="490" t="s">
        <v>479</v>
      </c>
      <c r="C468" s="491">
        <v>200000</v>
      </c>
      <c r="D468" s="491">
        <f t="shared" si="15"/>
        <v>83333.333333333343</v>
      </c>
      <c r="E468" s="490"/>
      <c r="F468" s="491">
        <v>200000</v>
      </c>
      <c r="G468" s="490"/>
      <c r="H468" s="490"/>
      <c r="I468" s="491">
        <v>191360</v>
      </c>
      <c r="J468" s="490"/>
      <c r="K468" s="278">
        <f t="shared" si="14"/>
        <v>0</v>
      </c>
    </row>
    <row r="469" spans="1:12" x14ac:dyDescent="0.3">
      <c r="A469" s="490">
        <v>1814100110</v>
      </c>
      <c r="B469" s="490" t="s">
        <v>481</v>
      </c>
      <c r="C469" s="491">
        <v>114224.76</v>
      </c>
      <c r="D469" s="491">
        <f t="shared" si="15"/>
        <v>47593.649999999994</v>
      </c>
      <c r="E469" s="490"/>
      <c r="F469" s="491">
        <v>114224.76</v>
      </c>
      <c r="G469" s="490"/>
      <c r="H469" s="490"/>
      <c r="I469" s="491">
        <v>9141.1200000000008</v>
      </c>
      <c r="J469" s="490"/>
      <c r="K469" s="278">
        <f t="shared" si="14"/>
        <v>0</v>
      </c>
    </row>
    <row r="470" spans="1:12" x14ac:dyDescent="0.3">
      <c r="A470" s="490">
        <v>1815000780</v>
      </c>
      <c r="B470" s="490" t="s">
        <v>116</v>
      </c>
      <c r="C470" s="491">
        <v>1379700</v>
      </c>
      <c r="D470" s="491">
        <f t="shared" si="15"/>
        <v>574875</v>
      </c>
      <c r="E470" s="491">
        <v>585000</v>
      </c>
      <c r="F470" s="491">
        <v>794700</v>
      </c>
      <c r="G470" s="490"/>
      <c r="H470" s="490">
        <v>42.4</v>
      </c>
      <c r="I470" s="491">
        <v>1390800</v>
      </c>
      <c r="J470" s="490"/>
      <c r="K470" s="278">
        <f t="shared" si="14"/>
        <v>585000</v>
      </c>
    </row>
    <row r="471" spans="1:12" x14ac:dyDescent="0.3">
      <c r="A471" s="490">
        <v>1815253850</v>
      </c>
      <c r="B471" s="490" t="s">
        <v>3531</v>
      </c>
      <c r="C471" s="490"/>
      <c r="D471" s="491">
        <f t="shared" si="15"/>
        <v>0</v>
      </c>
      <c r="E471" s="491">
        <v>25701.97</v>
      </c>
      <c r="F471" s="490"/>
      <c r="G471" s="491">
        <v>25701.97</v>
      </c>
      <c r="H471" s="490"/>
      <c r="I471" s="490"/>
      <c r="J471" s="490"/>
      <c r="K471" s="278">
        <f t="shared" si="14"/>
        <v>25701.97</v>
      </c>
    </row>
    <row r="472" spans="1:12" x14ac:dyDescent="0.3">
      <c r="A472" s="490">
        <v>1815700110</v>
      </c>
      <c r="B472" s="490" t="s">
        <v>483</v>
      </c>
      <c r="C472" s="491">
        <v>109511.29</v>
      </c>
      <c r="D472" s="491">
        <f t="shared" si="15"/>
        <v>45629.704166666663</v>
      </c>
      <c r="E472" s="491">
        <v>234805.12</v>
      </c>
      <c r="F472" s="490"/>
      <c r="G472" s="491">
        <v>125293.83</v>
      </c>
      <c r="H472" s="490">
        <v>214.41</v>
      </c>
      <c r="I472" s="491">
        <v>328444.58</v>
      </c>
      <c r="J472" s="490">
        <v>581000</v>
      </c>
      <c r="K472" s="278">
        <f t="shared" si="14"/>
        <v>815805.12</v>
      </c>
      <c r="L472" s="171" t="s">
        <v>3537</v>
      </c>
    </row>
    <row r="473" spans="1:12" x14ac:dyDescent="0.3">
      <c r="A473" s="490">
        <v>1815710110</v>
      </c>
      <c r="B473" s="490" t="s">
        <v>484</v>
      </c>
      <c r="C473" s="491">
        <v>447524.38</v>
      </c>
      <c r="D473" s="491">
        <f t="shared" si="15"/>
        <v>186468.49166666667</v>
      </c>
      <c r="E473" s="491">
        <v>73400.33</v>
      </c>
      <c r="F473" s="491">
        <v>374124.05</v>
      </c>
      <c r="G473" s="490"/>
      <c r="H473" s="490">
        <v>16.399999999999999</v>
      </c>
      <c r="I473" s="491">
        <v>556735.5</v>
      </c>
      <c r="J473" s="490"/>
      <c r="K473" s="278">
        <f t="shared" si="14"/>
        <v>73400.33</v>
      </c>
    </row>
    <row r="474" spans="1:12" x14ac:dyDescent="0.3">
      <c r="A474" s="490">
        <v>1815730110</v>
      </c>
      <c r="B474" s="490" t="s">
        <v>485</v>
      </c>
      <c r="C474" s="490">
        <v>7.0000000000000007E-2</v>
      </c>
      <c r="D474" s="491">
        <f t="shared" si="15"/>
        <v>2.9166666666666667E-2</v>
      </c>
      <c r="E474" s="491">
        <v>53289.79</v>
      </c>
      <c r="F474" s="490"/>
      <c r="G474" s="491">
        <v>53289.72</v>
      </c>
      <c r="H474" s="491">
        <v>76128271.430000007</v>
      </c>
      <c r="I474" s="491">
        <v>142223.04999999999</v>
      </c>
      <c r="J474" s="490"/>
      <c r="K474" s="278">
        <f t="shared" si="14"/>
        <v>53289.79</v>
      </c>
    </row>
    <row r="475" spans="1:12" x14ac:dyDescent="0.3">
      <c r="A475" s="490">
        <v>1816500842</v>
      </c>
      <c r="B475" s="490" t="s">
        <v>3532</v>
      </c>
      <c r="C475" s="490"/>
      <c r="D475" s="491">
        <f t="shared" si="15"/>
        <v>0</v>
      </c>
      <c r="E475" s="491">
        <v>33743.910000000003</v>
      </c>
      <c r="F475" s="490"/>
      <c r="G475" s="491">
        <v>33743.910000000003</v>
      </c>
      <c r="H475" s="490"/>
      <c r="I475" s="490"/>
      <c r="J475" s="490"/>
      <c r="K475" s="278">
        <f t="shared" si="14"/>
        <v>33743.910000000003</v>
      </c>
    </row>
    <row r="476" spans="1:12" x14ac:dyDescent="0.3">
      <c r="A476" s="490">
        <v>1817100110</v>
      </c>
      <c r="B476" s="490" t="s">
        <v>486</v>
      </c>
      <c r="C476" s="491">
        <v>165711.42000000001</v>
      </c>
      <c r="D476" s="491">
        <f t="shared" si="15"/>
        <v>69046.425000000003</v>
      </c>
      <c r="E476" s="491">
        <v>72663.070000000007</v>
      </c>
      <c r="F476" s="491">
        <v>93048.35</v>
      </c>
      <c r="G476" s="490"/>
      <c r="H476" s="490">
        <v>43.85</v>
      </c>
      <c r="I476" s="491">
        <v>190799.99</v>
      </c>
      <c r="J476" s="490"/>
      <c r="K476" s="278">
        <f t="shared" si="14"/>
        <v>72663.070000000007</v>
      </c>
    </row>
    <row r="477" spans="1:12" x14ac:dyDescent="0.3">
      <c r="A477" s="490">
        <v>1817200110</v>
      </c>
      <c r="B477" s="490" t="s">
        <v>487</v>
      </c>
      <c r="C477" s="491">
        <v>173084.91</v>
      </c>
      <c r="D477" s="491">
        <f t="shared" si="15"/>
        <v>72118.712499999994</v>
      </c>
      <c r="E477" s="491">
        <v>110868.03</v>
      </c>
      <c r="F477" s="491">
        <v>62216.88</v>
      </c>
      <c r="G477" s="490"/>
      <c r="H477" s="490">
        <v>64.05</v>
      </c>
      <c r="I477" s="491">
        <v>314885.99</v>
      </c>
      <c r="J477" s="490"/>
      <c r="K477" s="278">
        <f t="shared" si="14"/>
        <v>110868.03</v>
      </c>
    </row>
    <row r="478" spans="1:12" x14ac:dyDescent="0.3">
      <c r="A478" s="490">
        <v>1817200431</v>
      </c>
      <c r="B478" s="490" t="s">
        <v>488</v>
      </c>
      <c r="C478" s="491">
        <v>25206</v>
      </c>
      <c r="D478" s="491">
        <f t="shared" si="15"/>
        <v>10502.5</v>
      </c>
      <c r="E478" s="491">
        <v>4727.7</v>
      </c>
      <c r="F478" s="491">
        <v>20478.3</v>
      </c>
      <c r="G478" s="490"/>
      <c r="H478" s="490">
        <v>18.760000000000002</v>
      </c>
      <c r="I478" s="491">
        <v>26121.07</v>
      </c>
      <c r="J478" s="490"/>
      <c r="K478" s="278">
        <f t="shared" si="14"/>
        <v>4727.7</v>
      </c>
    </row>
    <row r="479" spans="1:12" x14ac:dyDescent="0.3">
      <c r="A479" s="490">
        <v>1817200432</v>
      </c>
      <c r="B479" s="490" t="s">
        <v>489</v>
      </c>
      <c r="C479" s="491">
        <v>2500</v>
      </c>
      <c r="D479" s="491">
        <f t="shared" si="15"/>
        <v>1041.6666666666667</v>
      </c>
      <c r="E479" s="490"/>
      <c r="F479" s="491">
        <v>2500</v>
      </c>
      <c r="G479" s="490"/>
      <c r="H479" s="490"/>
      <c r="I479" s="490"/>
      <c r="J479" s="490"/>
      <c r="K479" s="278">
        <f t="shared" si="14"/>
        <v>0</v>
      </c>
    </row>
    <row r="480" spans="1:12" x14ac:dyDescent="0.3">
      <c r="A480" s="490">
        <v>1817300110</v>
      </c>
      <c r="B480" s="490" t="s">
        <v>490</v>
      </c>
      <c r="C480" s="491">
        <v>1209056.3400000001</v>
      </c>
      <c r="D480" s="491">
        <f t="shared" si="15"/>
        <v>503773.47500000003</v>
      </c>
      <c r="E480" s="491">
        <v>634186.73</v>
      </c>
      <c r="F480" s="491">
        <v>574869.61</v>
      </c>
      <c r="G480" s="490"/>
      <c r="H480" s="490">
        <v>52.45</v>
      </c>
      <c r="I480" s="491">
        <v>1350447.68</v>
      </c>
      <c r="J480" s="490"/>
      <c r="K480" s="278">
        <f t="shared" si="14"/>
        <v>634186.73</v>
      </c>
    </row>
    <row r="481" spans="1:11" x14ac:dyDescent="0.3">
      <c r="A481" s="490">
        <v>1817300431</v>
      </c>
      <c r="B481" s="490" t="s">
        <v>491</v>
      </c>
      <c r="C481" s="491">
        <v>9662.3799999999992</v>
      </c>
      <c r="D481" s="491">
        <f t="shared" si="15"/>
        <v>4025.9916666666663</v>
      </c>
      <c r="E481" s="491">
        <v>4937.22</v>
      </c>
      <c r="F481" s="491">
        <v>4725.16</v>
      </c>
      <c r="G481" s="490"/>
      <c r="H481" s="490">
        <v>51.1</v>
      </c>
      <c r="I481" s="491">
        <v>10490.84</v>
      </c>
      <c r="J481" s="490"/>
      <c r="K481" s="278">
        <f t="shared" si="14"/>
        <v>4937.22</v>
      </c>
    </row>
    <row r="482" spans="1:11" x14ac:dyDescent="0.3">
      <c r="A482" s="490">
        <v>1817300540</v>
      </c>
      <c r="B482" s="490" t="s">
        <v>493</v>
      </c>
      <c r="C482" s="491">
        <v>7000</v>
      </c>
      <c r="D482" s="491">
        <f t="shared" si="15"/>
        <v>2916.666666666667</v>
      </c>
      <c r="E482" s="490">
        <v>107.64</v>
      </c>
      <c r="F482" s="491">
        <v>6892.36</v>
      </c>
      <c r="G482" s="490"/>
      <c r="H482" s="490">
        <v>1.54</v>
      </c>
      <c r="I482" s="491">
        <v>7943.22</v>
      </c>
      <c r="J482" s="490"/>
      <c r="K482" s="278">
        <f t="shared" si="14"/>
        <v>107.64</v>
      </c>
    </row>
    <row r="483" spans="1:11" x14ac:dyDescent="0.3">
      <c r="A483" s="490">
        <v>1817300780</v>
      </c>
      <c r="B483" s="490" t="s">
        <v>494</v>
      </c>
      <c r="C483" s="491">
        <v>40000</v>
      </c>
      <c r="D483" s="491">
        <f t="shared" si="15"/>
        <v>16666.666666666668</v>
      </c>
      <c r="E483" s="491">
        <v>17759.509999999998</v>
      </c>
      <c r="F483" s="491">
        <v>22240.49</v>
      </c>
      <c r="G483" s="490"/>
      <c r="H483" s="490">
        <v>44.4</v>
      </c>
      <c r="I483" s="491">
        <v>44780.27</v>
      </c>
      <c r="J483" s="491">
        <v>19095.71</v>
      </c>
      <c r="K483" s="278">
        <f t="shared" si="14"/>
        <v>36855.22</v>
      </c>
    </row>
    <row r="484" spans="1:11" x14ac:dyDescent="0.3">
      <c r="A484" s="490">
        <v>1817310110</v>
      </c>
      <c r="B484" s="490" t="s">
        <v>495</v>
      </c>
      <c r="C484" s="491">
        <v>31450.84</v>
      </c>
      <c r="D484" s="491">
        <f t="shared" si="15"/>
        <v>13104.516666666666</v>
      </c>
      <c r="E484" s="491">
        <v>81210.59</v>
      </c>
      <c r="F484" s="490"/>
      <c r="G484" s="491">
        <v>49759.75</v>
      </c>
      <c r="H484" s="490">
        <v>258.20999999999998</v>
      </c>
      <c r="I484" s="491">
        <v>204146.72</v>
      </c>
      <c r="J484" s="490"/>
      <c r="K484" s="278">
        <f t="shared" si="14"/>
        <v>81210.59</v>
      </c>
    </row>
    <row r="485" spans="1:11" x14ac:dyDescent="0.3">
      <c r="A485" s="490">
        <v>1817310780</v>
      </c>
      <c r="B485" s="490" t="s">
        <v>496</v>
      </c>
      <c r="C485" s="490"/>
      <c r="D485" s="491">
        <f t="shared" si="15"/>
        <v>0</v>
      </c>
      <c r="E485" s="490"/>
      <c r="F485" s="490"/>
      <c r="G485" s="490"/>
      <c r="H485" s="490"/>
      <c r="I485" s="491">
        <v>12700</v>
      </c>
      <c r="J485" s="490"/>
      <c r="K485" s="278">
        <f t="shared" si="14"/>
        <v>0</v>
      </c>
    </row>
    <row r="486" spans="1:11" x14ac:dyDescent="0.3">
      <c r="A486" s="490">
        <v>1817400110</v>
      </c>
      <c r="B486" s="490" t="s">
        <v>120</v>
      </c>
      <c r="C486" s="491">
        <v>125415.39</v>
      </c>
      <c r="D486" s="491">
        <f t="shared" si="15"/>
        <v>52256.412499999999</v>
      </c>
      <c r="E486" s="491">
        <v>46449.72</v>
      </c>
      <c r="F486" s="491">
        <v>78965.67</v>
      </c>
      <c r="G486" s="490"/>
      <c r="H486" s="490">
        <v>37.04</v>
      </c>
      <c r="I486" s="491">
        <v>123491.1</v>
      </c>
      <c r="J486" s="490"/>
      <c r="K486" s="278">
        <f t="shared" si="14"/>
        <v>46449.72</v>
      </c>
    </row>
    <row r="487" spans="1:11" x14ac:dyDescent="0.3">
      <c r="A487" s="490">
        <v>1817400785</v>
      </c>
      <c r="B487" s="490" t="s">
        <v>121</v>
      </c>
      <c r="C487" s="491">
        <v>35000</v>
      </c>
      <c r="D487" s="491">
        <f t="shared" si="15"/>
        <v>14583.333333333332</v>
      </c>
      <c r="E487" s="491">
        <v>2850.12</v>
      </c>
      <c r="F487" s="491">
        <v>32149.88</v>
      </c>
      <c r="G487" s="490"/>
      <c r="H487" s="490">
        <v>8.14</v>
      </c>
      <c r="I487" s="491">
        <v>38305.85</v>
      </c>
      <c r="J487" s="490"/>
      <c r="K487" s="278">
        <f t="shared" si="14"/>
        <v>2850.12</v>
      </c>
    </row>
    <row r="488" spans="1:11" x14ac:dyDescent="0.3">
      <c r="A488" s="490">
        <v>1817600110</v>
      </c>
      <c r="B488" s="490" t="s">
        <v>497</v>
      </c>
      <c r="C488" s="491">
        <v>214661.12</v>
      </c>
      <c r="D488" s="491">
        <f t="shared" si="15"/>
        <v>89442.133333333331</v>
      </c>
      <c r="E488" s="491">
        <v>-47962.17</v>
      </c>
      <c r="F488" s="491">
        <v>262623.28999999998</v>
      </c>
      <c r="G488" s="490"/>
      <c r="H488" s="490">
        <v>-22.34</v>
      </c>
      <c r="I488" s="491">
        <v>384391.81</v>
      </c>
      <c r="J488" s="490"/>
      <c r="K488" s="278">
        <f t="shared" si="14"/>
        <v>-47962.17</v>
      </c>
    </row>
    <row r="489" spans="1:11" x14ac:dyDescent="0.3">
      <c r="A489" s="490">
        <v>1817600780</v>
      </c>
      <c r="B489" s="490" t="s">
        <v>498</v>
      </c>
      <c r="C489" s="491">
        <v>360850</v>
      </c>
      <c r="D489" s="491">
        <f t="shared" si="15"/>
        <v>150354.16666666666</v>
      </c>
      <c r="E489" s="490"/>
      <c r="F489" s="491">
        <v>360850</v>
      </c>
      <c r="G489" s="490"/>
      <c r="H489" s="490"/>
      <c r="I489" s="491">
        <v>399433</v>
      </c>
      <c r="J489" s="490"/>
      <c r="K489" s="278">
        <f t="shared" si="14"/>
        <v>0</v>
      </c>
    </row>
    <row r="490" spans="1:11" x14ac:dyDescent="0.3">
      <c r="A490" s="490">
        <v>1817700110</v>
      </c>
      <c r="B490" s="490" t="s">
        <v>500</v>
      </c>
      <c r="C490" s="491">
        <v>354342.5</v>
      </c>
      <c r="D490" s="491">
        <f t="shared" si="15"/>
        <v>147642.70833333334</v>
      </c>
      <c r="E490" s="491">
        <v>151617.70000000001</v>
      </c>
      <c r="F490" s="491">
        <v>202724.8</v>
      </c>
      <c r="G490" s="490"/>
      <c r="H490" s="490">
        <v>42.79</v>
      </c>
      <c r="I490" s="491">
        <v>361509.52</v>
      </c>
      <c r="J490" s="490"/>
      <c r="K490" s="278">
        <f t="shared" si="14"/>
        <v>151617.70000000001</v>
      </c>
    </row>
    <row r="491" spans="1:11" x14ac:dyDescent="0.3">
      <c r="A491" s="490">
        <v>1817800110</v>
      </c>
      <c r="B491" s="490" t="s">
        <v>501</v>
      </c>
      <c r="C491" s="491">
        <v>1109267.6299999999</v>
      </c>
      <c r="D491" s="491">
        <f t="shared" si="15"/>
        <v>462194.84583333333</v>
      </c>
      <c r="E491" s="491">
        <v>408911.26</v>
      </c>
      <c r="F491" s="491">
        <v>700356.37</v>
      </c>
      <c r="G491" s="490"/>
      <c r="H491" s="490">
        <v>36.86</v>
      </c>
      <c r="I491" s="491">
        <v>1562450.78</v>
      </c>
      <c r="J491" s="490"/>
      <c r="K491" s="278">
        <f t="shared" si="14"/>
        <v>408911.26</v>
      </c>
    </row>
    <row r="492" spans="1:11" x14ac:dyDescent="0.3">
      <c r="A492" s="490">
        <v>1817800710</v>
      </c>
      <c r="B492" s="490" t="s">
        <v>502</v>
      </c>
      <c r="C492" s="491">
        <v>650000</v>
      </c>
      <c r="D492" s="491">
        <f t="shared" si="15"/>
        <v>270833.33333333331</v>
      </c>
      <c r="E492" s="491">
        <v>69686</v>
      </c>
      <c r="F492" s="491">
        <v>580314</v>
      </c>
      <c r="G492" s="490"/>
      <c r="H492" s="490">
        <v>10.72</v>
      </c>
      <c r="I492" s="491">
        <v>327027.28999999998</v>
      </c>
      <c r="J492" s="490">
        <v>400000</v>
      </c>
      <c r="K492" s="278">
        <f t="shared" si="14"/>
        <v>469686</v>
      </c>
    </row>
    <row r="493" spans="1:11" x14ac:dyDescent="0.3">
      <c r="A493" s="490">
        <v>1817800712</v>
      </c>
      <c r="B493" s="490" t="s">
        <v>126</v>
      </c>
      <c r="C493" s="491">
        <v>3700000</v>
      </c>
      <c r="D493" s="491">
        <f t="shared" si="15"/>
        <v>1541666.6666666665</v>
      </c>
      <c r="E493" s="491">
        <v>835067.46</v>
      </c>
      <c r="F493" s="491">
        <v>2864932.54</v>
      </c>
      <c r="G493" s="490"/>
      <c r="H493" s="490">
        <v>22.57</v>
      </c>
      <c r="I493" s="491">
        <v>3466893.9</v>
      </c>
      <c r="J493" s="491">
        <v>500000</v>
      </c>
      <c r="K493" s="278">
        <f t="shared" si="14"/>
        <v>1335067.46</v>
      </c>
    </row>
    <row r="494" spans="1:11" x14ac:dyDescent="0.3">
      <c r="A494" s="490">
        <v>1817800713</v>
      </c>
      <c r="B494" s="490" t="s">
        <v>503</v>
      </c>
      <c r="C494" s="491">
        <v>110000</v>
      </c>
      <c r="D494" s="491">
        <f t="shared" si="15"/>
        <v>45833.333333333328</v>
      </c>
      <c r="E494" s="491">
        <v>24984</v>
      </c>
      <c r="F494" s="491">
        <v>85016</v>
      </c>
      <c r="G494" s="490"/>
      <c r="H494" s="490">
        <v>22.71</v>
      </c>
      <c r="I494" s="491">
        <v>59740.91</v>
      </c>
      <c r="J494" s="490"/>
      <c r="K494" s="278">
        <f t="shared" si="14"/>
        <v>24984</v>
      </c>
    </row>
    <row r="495" spans="1:11" x14ac:dyDescent="0.3">
      <c r="A495" s="490">
        <v>1817810110</v>
      </c>
      <c r="B495" s="490" t="s">
        <v>504</v>
      </c>
      <c r="C495" s="491">
        <v>2356998.44</v>
      </c>
      <c r="D495" s="491">
        <f t="shared" si="15"/>
        <v>982082.68333333323</v>
      </c>
      <c r="E495" s="491">
        <v>511815.03</v>
      </c>
      <c r="F495" s="491">
        <v>1845183.41</v>
      </c>
      <c r="G495" s="490"/>
      <c r="H495" s="490">
        <v>21.71</v>
      </c>
      <c r="I495" s="491">
        <v>1890179.88</v>
      </c>
      <c r="J495" s="490"/>
      <c r="K495" s="278">
        <f t="shared" si="14"/>
        <v>511815.03</v>
      </c>
    </row>
    <row r="496" spans="1:11" x14ac:dyDescent="0.3">
      <c r="A496" s="490">
        <v>1817820110</v>
      </c>
      <c r="B496" s="490" t="s">
        <v>505</v>
      </c>
      <c r="C496" s="490"/>
      <c r="D496" s="491">
        <f t="shared" si="15"/>
        <v>0</v>
      </c>
      <c r="E496" s="491">
        <v>683559.55</v>
      </c>
      <c r="F496" s="490"/>
      <c r="G496" s="491">
        <v>683559.55</v>
      </c>
      <c r="H496" s="490"/>
      <c r="I496" s="491">
        <v>141322.48000000001</v>
      </c>
      <c r="J496" s="490"/>
      <c r="K496" s="278">
        <f t="shared" si="14"/>
        <v>683559.55</v>
      </c>
    </row>
    <row r="497" spans="1:11" x14ac:dyDescent="0.3">
      <c r="A497" s="490">
        <v>1817910110</v>
      </c>
      <c r="B497" s="490" t="s">
        <v>507</v>
      </c>
      <c r="C497" s="491">
        <v>277389.21000000002</v>
      </c>
      <c r="D497" s="491">
        <f t="shared" si="15"/>
        <v>115578.83750000001</v>
      </c>
      <c r="E497" s="490"/>
      <c r="F497" s="491">
        <v>277389.21000000002</v>
      </c>
      <c r="G497" s="490"/>
      <c r="H497" s="490"/>
      <c r="I497" s="491">
        <v>240589.05</v>
      </c>
      <c r="J497" s="490"/>
      <c r="K497" s="278">
        <f t="shared" si="14"/>
        <v>0</v>
      </c>
    </row>
    <row r="498" spans="1:11" x14ac:dyDescent="0.3">
      <c r="A498" s="490">
        <v>1818000780</v>
      </c>
      <c r="B498" s="490" t="s">
        <v>508</v>
      </c>
      <c r="C498" s="491">
        <v>171961</v>
      </c>
      <c r="D498" s="491">
        <f t="shared" si="15"/>
        <v>71650.416666666672</v>
      </c>
      <c r="E498" s="491">
        <v>8191</v>
      </c>
      <c r="F498" s="491">
        <v>163770</v>
      </c>
      <c r="G498" s="490"/>
      <c r="H498" s="490">
        <v>4.76</v>
      </c>
      <c r="I498" s="491">
        <v>159925.82999999999</v>
      </c>
      <c r="J498" s="491">
        <v>129377.99</v>
      </c>
      <c r="K498" s="278">
        <f t="shared" si="14"/>
        <v>137568.99</v>
      </c>
    </row>
    <row r="499" spans="1:11" x14ac:dyDescent="0.3">
      <c r="A499" s="490">
        <v>1818100780</v>
      </c>
      <c r="B499" s="490" t="s">
        <v>131</v>
      </c>
      <c r="C499" s="491">
        <v>120000</v>
      </c>
      <c r="D499" s="491">
        <f t="shared" si="15"/>
        <v>50000</v>
      </c>
      <c r="E499" s="491">
        <v>21256</v>
      </c>
      <c r="F499" s="491">
        <v>98744</v>
      </c>
      <c r="G499" s="490"/>
      <c r="H499" s="490">
        <v>17.71</v>
      </c>
      <c r="I499" s="491">
        <v>88008</v>
      </c>
      <c r="J499" s="490"/>
      <c r="K499" s="278">
        <f t="shared" si="14"/>
        <v>21256</v>
      </c>
    </row>
    <row r="500" spans="1:11" x14ac:dyDescent="0.3">
      <c r="A500" s="490">
        <v>1823000780</v>
      </c>
      <c r="B500" s="490" t="s">
        <v>509</v>
      </c>
      <c r="C500" s="491">
        <v>336000</v>
      </c>
      <c r="D500" s="491">
        <f t="shared" si="15"/>
        <v>140000</v>
      </c>
      <c r="E500" s="491">
        <v>130000</v>
      </c>
      <c r="F500" s="491">
        <v>206000</v>
      </c>
      <c r="G500" s="490"/>
      <c r="H500" s="490">
        <v>38.69</v>
      </c>
      <c r="I500" s="491">
        <v>329325.71000000002</v>
      </c>
      <c r="J500" s="490"/>
      <c r="K500" s="278">
        <f t="shared" si="14"/>
        <v>130000</v>
      </c>
    </row>
    <row r="501" spans="1:11" x14ac:dyDescent="0.3">
      <c r="A501" s="490">
        <v>1824000110</v>
      </c>
      <c r="B501" s="490" t="s">
        <v>510</v>
      </c>
      <c r="C501" s="491">
        <v>387368.48</v>
      </c>
      <c r="D501" s="491">
        <f t="shared" si="15"/>
        <v>161403.53333333333</v>
      </c>
      <c r="E501" s="491">
        <v>152986.06</v>
      </c>
      <c r="F501" s="491">
        <v>234382.42</v>
      </c>
      <c r="G501" s="490"/>
      <c r="H501" s="490">
        <v>39.49</v>
      </c>
      <c r="I501" s="491">
        <v>393285.85</v>
      </c>
      <c r="J501" s="490"/>
      <c r="K501" s="278">
        <f t="shared" si="14"/>
        <v>152986.06</v>
      </c>
    </row>
    <row r="502" spans="1:11" x14ac:dyDescent="0.3">
      <c r="A502" s="490">
        <v>1824000410</v>
      </c>
      <c r="B502" s="490" t="s">
        <v>511</v>
      </c>
      <c r="C502" s="491">
        <v>30000</v>
      </c>
      <c r="D502" s="491">
        <f t="shared" si="15"/>
        <v>12500</v>
      </c>
      <c r="E502" s="491">
        <v>12500</v>
      </c>
      <c r="F502" s="491">
        <v>17500</v>
      </c>
      <c r="G502" s="490"/>
      <c r="H502" s="490">
        <v>41.67</v>
      </c>
      <c r="I502" s="491">
        <v>30000</v>
      </c>
      <c r="J502" s="490"/>
      <c r="K502" s="278">
        <f t="shared" si="14"/>
        <v>12500</v>
      </c>
    </row>
    <row r="503" spans="1:11" x14ac:dyDescent="0.3">
      <c r="A503" s="490">
        <v>1824000810</v>
      </c>
      <c r="B503" s="490" t="s">
        <v>512</v>
      </c>
      <c r="C503" s="491">
        <v>360000</v>
      </c>
      <c r="D503" s="491">
        <f t="shared" si="15"/>
        <v>150000</v>
      </c>
      <c r="E503" s="491">
        <v>124962.73</v>
      </c>
      <c r="F503" s="491">
        <v>235037.27</v>
      </c>
      <c r="G503" s="490"/>
      <c r="H503" s="490">
        <v>34.71</v>
      </c>
      <c r="I503" s="491">
        <v>476877.85</v>
      </c>
      <c r="J503" s="490"/>
      <c r="K503" s="278">
        <f t="shared" si="14"/>
        <v>124962.73</v>
      </c>
    </row>
    <row r="504" spans="1:11" x14ac:dyDescent="0.3">
      <c r="A504" s="490">
        <v>1824100110</v>
      </c>
      <c r="B504" s="490" t="s">
        <v>513</v>
      </c>
      <c r="C504" s="491">
        <v>45101.45</v>
      </c>
      <c r="D504" s="491">
        <f t="shared" si="15"/>
        <v>18792.270833333332</v>
      </c>
      <c r="E504" s="490"/>
      <c r="F504" s="491">
        <v>45101.45</v>
      </c>
      <c r="G504" s="490"/>
      <c r="H504" s="490"/>
      <c r="I504" s="490"/>
      <c r="J504" s="490"/>
      <c r="K504" s="278">
        <f t="shared" si="14"/>
        <v>0</v>
      </c>
    </row>
    <row r="505" spans="1:11" x14ac:dyDescent="0.3">
      <c r="A505" s="490">
        <v>1826200720</v>
      </c>
      <c r="B505" s="490" t="s">
        <v>514</v>
      </c>
      <c r="C505" s="491">
        <v>2000</v>
      </c>
      <c r="D505" s="491">
        <f t="shared" si="15"/>
        <v>833.33333333333326</v>
      </c>
      <c r="E505" s="490">
        <v>184.31</v>
      </c>
      <c r="F505" s="491">
        <v>1815.69</v>
      </c>
      <c r="G505" s="490"/>
      <c r="H505" s="490">
        <v>9.2200000000000006</v>
      </c>
      <c r="I505" s="490"/>
      <c r="J505" s="490"/>
      <c r="K505" s="278">
        <f t="shared" si="14"/>
        <v>184.31</v>
      </c>
    </row>
    <row r="506" spans="1:11" x14ac:dyDescent="0.3">
      <c r="A506" s="490">
        <v>1828100110</v>
      </c>
      <c r="B506" s="490" t="s">
        <v>515</v>
      </c>
      <c r="C506" s="491">
        <v>121005.65</v>
      </c>
      <c r="D506" s="491">
        <f t="shared" si="15"/>
        <v>50419.020833333336</v>
      </c>
      <c r="E506" s="491">
        <v>340935.6</v>
      </c>
      <c r="F506" s="490"/>
      <c r="G506" s="491">
        <v>219929.95</v>
      </c>
      <c r="H506" s="490">
        <v>281.75</v>
      </c>
      <c r="I506" s="491">
        <v>662509.32999999996</v>
      </c>
      <c r="J506" s="490"/>
      <c r="K506" s="278">
        <f t="shared" si="14"/>
        <v>340935.6</v>
      </c>
    </row>
    <row r="507" spans="1:11" x14ac:dyDescent="0.3">
      <c r="A507" s="490">
        <v>1828100780</v>
      </c>
      <c r="B507" s="490" t="s">
        <v>132</v>
      </c>
      <c r="C507" s="491">
        <v>193767</v>
      </c>
      <c r="D507" s="491">
        <f t="shared" si="15"/>
        <v>80736.25</v>
      </c>
      <c r="E507" s="490"/>
      <c r="F507" s="491">
        <v>193767</v>
      </c>
      <c r="G507" s="490"/>
      <c r="H507" s="490"/>
      <c r="I507" s="491">
        <v>134280.45000000001</v>
      </c>
      <c r="J507" s="491">
        <v>3177.72</v>
      </c>
      <c r="K507" s="278">
        <f t="shared" si="14"/>
        <v>3177.72</v>
      </c>
    </row>
    <row r="508" spans="1:11" x14ac:dyDescent="0.3">
      <c r="A508" s="490">
        <v>1828100781</v>
      </c>
      <c r="B508" s="490" t="s">
        <v>133</v>
      </c>
      <c r="C508" s="491">
        <v>97000</v>
      </c>
      <c r="D508" s="491">
        <f t="shared" si="15"/>
        <v>40416.666666666664</v>
      </c>
      <c r="E508" s="491">
        <v>82450</v>
      </c>
      <c r="F508" s="491">
        <v>14550</v>
      </c>
      <c r="G508" s="490"/>
      <c r="H508" s="490">
        <v>85</v>
      </c>
      <c r="I508" s="491">
        <v>36693.54</v>
      </c>
      <c r="J508" s="490"/>
      <c r="K508" s="278">
        <f t="shared" si="14"/>
        <v>82450</v>
      </c>
    </row>
    <row r="509" spans="1:11" x14ac:dyDescent="0.3">
      <c r="A509" s="490">
        <v>1828200110</v>
      </c>
      <c r="B509" s="490" t="s">
        <v>516</v>
      </c>
      <c r="C509" s="491">
        <v>265031.84000000003</v>
      </c>
      <c r="D509" s="491">
        <f t="shared" si="15"/>
        <v>110429.93333333333</v>
      </c>
      <c r="E509" s="491">
        <v>114385.61</v>
      </c>
      <c r="F509" s="491">
        <v>150646.23000000001</v>
      </c>
      <c r="G509" s="490"/>
      <c r="H509" s="490">
        <v>43.16</v>
      </c>
      <c r="I509" s="491">
        <v>154050.17000000001</v>
      </c>
      <c r="J509" s="490"/>
      <c r="K509" s="278">
        <f t="shared" si="14"/>
        <v>114385.61</v>
      </c>
    </row>
    <row r="510" spans="1:11" x14ac:dyDescent="0.3">
      <c r="A510" s="490">
        <v>1828200431</v>
      </c>
      <c r="B510" s="490" t="s">
        <v>517</v>
      </c>
      <c r="C510" s="491">
        <v>3919.91</v>
      </c>
      <c r="D510" s="491">
        <f t="shared" si="15"/>
        <v>1633.2958333333331</v>
      </c>
      <c r="E510" s="491">
        <v>1255.0899999999999</v>
      </c>
      <c r="F510" s="491">
        <v>2664.82</v>
      </c>
      <c r="G510" s="490"/>
      <c r="H510" s="490">
        <v>32.020000000000003</v>
      </c>
      <c r="I510" s="491">
        <v>6720.67</v>
      </c>
      <c r="J510" s="490"/>
      <c r="K510" s="278">
        <f t="shared" si="14"/>
        <v>1255.0899999999999</v>
      </c>
    </row>
    <row r="511" spans="1:11" x14ac:dyDescent="0.3">
      <c r="A511" s="490">
        <v>1828200750</v>
      </c>
      <c r="B511" s="490" t="s">
        <v>518</v>
      </c>
      <c r="C511" s="491">
        <v>1090000</v>
      </c>
      <c r="D511" s="491">
        <f t="shared" si="15"/>
        <v>454166.66666666663</v>
      </c>
      <c r="E511" s="491">
        <v>522231</v>
      </c>
      <c r="F511" s="491">
        <v>567769</v>
      </c>
      <c r="G511" s="490"/>
      <c r="H511" s="490">
        <v>47.91</v>
      </c>
      <c r="I511" s="491">
        <v>1130613</v>
      </c>
      <c r="J511" s="490"/>
      <c r="K511" s="278">
        <f t="shared" si="14"/>
        <v>522231</v>
      </c>
    </row>
    <row r="512" spans="1:11" x14ac:dyDescent="0.3">
      <c r="A512" s="490">
        <v>1828200751</v>
      </c>
      <c r="B512" s="490" t="s">
        <v>752</v>
      </c>
      <c r="C512" s="491">
        <v>78000</v>
      </c>
      <c r="D512" s="491">
        <f t="shared" si="15"/>
        <v>32500</v>
      </c>
      <c r="E512" s="491">
        <v>59877.01</v>
      </c>
      <c r="F512" s="491">
        <v>18122.990000000002</v>
      </c>
      <c r="G512" s="490"/>
      <c r="H512" s="490">
        <v>76.77</v>
      </c>
      <c r="I512" s="491">
        <v>198615.84</v>
      </c>
      <c r="J512" s="490"/>
      <c r="K512" s="278">
        <f t="shared" si="14"/>
        <v>59877.01</v>
      </c>
    </row>
    <row r="513" spans="1:11" x14ac:dyDescent="0.3">
      <c r="A513" s="490">
        <v>1828200780</v>
      </c>
      <c r="B513" s="490" t="s">
        <v>135</v>
      </c>
      <c r="C513" s="491">
        <v>200000</v>
      </c>
      <c r="D513" s="491">
        <f t="shared" si="15"/>
        <v>83333.333333333343</v>
      </c>
      <c r="E513" s="491">
        <v>62834</v>
      </c>
      <c r="F513" s="491">
        <v>137166</v>
      </c>
      <c r="G513" s="490"/>
      <c r="H513" s="490">
        <v>31.42</v>
      </c>
      <c r="I513" s="491">
        <v>405467.94</v>
      </c>
      <c r="J513" s="491">
        <v>6170</v>
      </c>
      <c r="K513" s="278">
        <f t="shared" si="14"/>
        <v>69004</v>
      </c>
    </row>
    <row r="514" spans="1:11" x14ac:dyDescent="0.3">
      <c r="A514" s="490">
        <v>1828200781</v>
      </c>
      <c r="B514" s="490" t="s">
        <v>520</v>
      </c>
      <c r="C514" s="491">
        <v>250000</v>
      </c>
      <c r="D514" s="491">
        <f t="shared" si="15"/>
        <v>104166.66666666666</v>
      </c>
      <c r="E514" s="491">
        <v>20393.18</v>
      </c>
      <c r="F514" s="491">
        <v>229606.82</v>
      </c>
      <c r="G514" s="490"/>
      <c r="H514" s="490">
        <v>8.16</v>
      </c>
      <c r="I514" s="491">
        <v>105147.19</v>
      </c>
      <c r="J514" s="491">
        <v>38580.65</v>
      </c>
      <c r="K514" s="278">
        <f t="shared" si="14"/>
        <v>58973.83</v>
      </c>
    </row>
    <row r="515" spans="1:11" x14ac:dyDescent="0.3">
      <c r="A515" s="490">
        <v>1828900780</v>
      </c>
      <c r="B515" s="490" t="s">
        <v>521</v>
      </c>
      <c r="C515" s="491">
        <v>126354</v>
      </c>
      <c r="D515" s="491">
        <f t="shared" si="15"/>
        <v>52647.5</v>
      </c>
      <c r="E515" s="491">
        <v>25000</v>
      </c>
      <c r="F515" s="491">
        <v>101354</v>
      </c>
      <c r="G515" s="490"/>
      <c r="H515" s="490">
        <v>19.79</v>
      </c>
      <c r="I515" s="491">
        <v>13200</v>
      </c>
      <c r="J515" s="490"/>
      <c r="K515" s="278">
        <f t="shared" ref="K515:K578" si="16">E515+J515</f>
        <v>25000</v>
      </c>
    </row>
    <row r="516" spans="1:11" x14ac:dyDescent="0.3">
      <c r="A516" s="490">
        <v>1829000782</v>
      </c>
      <c r="B516" s="490" t="s">
        <v>522</v>
      </c>
      <c r="C516" s="491">
        <v>100000</v>
      </c>
      <c r="D516" s="491">
        <f t="shared" si="15"/>
        <v>41666.666666666672</v>
      </c>
      <c r="E516" s="490"/>
      <c r="F516" s="491">
        <v>100000</v>
      </c>
      <c r="G516" s="490"/>
      <c r="H516" s="490"/>
      <c r="I516" s="491">
        <v>143440</v>
      </c>
      <c r="J516" s="490"/>
      <c r="K516" s="278">
        <f t="shared" si="16"/>
        <v>0</v>
      </c>
    </row>
    <row r="517" spans="1:11" x14ac:dyDescent="0.3">
      <c r="A517" s="490">
        <v>1829200110</v>
      </c>
      <c r="B517" s="490" t="s">
        <v>523</v>
      </c>
      <c r="C517" s="491">
        <v>711520.48</v>
      </c>
      <c r="D517" s="491">
        <f t="shared" si="15"/>
        <v>296466.86666666664</v>
      </c>
      <c r="E517" s="491">
        <v>221000.44</v>
      </c>
      <c r="F517" s="491">
        <v>490520.04</v>
      </c>
      <c r="G517" s="490"/>
      <c r="H517" s="490">
        <v>31.06</v>
      </c>
      <c r="I517" s="491">
        <v>716106.37</v>
      </c>
      <c r="J517" s="490"/>
      <c r="K517" s="278">
        <f t="shared" si="16"/>
        <v>221000.44</v>
      </c>
    </row>
    <row r="518" spans="1:11" x14ac:dyDescent="0.3">
      <c r="A518" s="490">
        <v>1829200431</v>
      </c>
      <c r="B518" s="490" t="s">
        <v>524</v>
      </c>
      <c r="C518" s="491">
        <v>7893.73</v>
      </c>
      <c r="D518" s="491">
        <f t="shared" ref="D518:D581" si="17">C518/12*5</f>
        <v>3289.0541666666668</v>
      </c>
      <c r="E518" s="491">
        <v>4483.71</v>
      </c>
      <c r="F518" s="491">
        <v>3410.02</v>
      </c>
      <c r="G518" s="490"/>
      <c r="H518" s="490">
        <v>56.8</v>
      </c>
      <c r="I518" s="491">
        <v>10974.75</v>
      </c>
      <c r="J518" s="490"/>
      <c r="K518" s="278">
        <f t="shared" si="16"/>
        <v>4483.71</v>
      </c>
    </row>
    <row r="519" spans="1:11" x14ac:dyDescent="0.3">
      <c r="A519" s="490">
        <v>1829200432</v>
      </c>
      <c r="B519" s="490" t="s">
        <v>525</v>
      </c>
      <c r="C519" s="491">
        <v>5000</v>
      </c>
      <c r="D519" s="491">
        <f t="shared" si="17"/>
        <v>2083.3333333333335</v>
      </c>
      <c r="E519" s="491">
        <v>8518.77</v>
      </c>
      <c r="F519" s="490"/>
      <c r="G519" s="491">
        <v>3518.77</v>
      </c>
      <c r="H519" s="490">
        <v>170.38</v>
      </c>
      <c r="I519" s="490">
        <v>441.09</v>
      </c>
      <c r="J519" s="490"/>
      <c r="K519" s="278">
        <f t="shared" si="16"/>
        <v>8518.77</v>
      </c>
    </row>
    <row r="520" spans="1:11" x14ac:dyDescent="0.3">
      <c r="A520" s="490">
        <v>1829200540</v>
      </c>
      <c r="B520" s="490" t="s">
        <v>526</v>
      </c>
      <c r="C520" s="491">
        <v>4000</v>
      </c>
      <c r="D520" s="491">
        <f t="shared" si="17"/>
        <v>1666.6666666666665</v>
      </c>
      <c r="E520" s="490">
        <v>889.83</v>
      </c>
      <c r="F520" s="491">
        <v>3110.17</v>
      </c>
      <c r="G520" s="490"/>
      <c r="H520" s="490">
        <v>22.25</v>
      </c>
      <c r="I520" s="491">
        <v>5499.78</v>
      </c>
      <c r="J520" s="490"/>
      <c r="K520" s="278">
        <f t="shared" si="16"/>
        <v>889.83</v>
      </c>
    </row>
    <row r="521" spans="1:11" x14ac:dyDescent="0.3">
      <c r="A521" s="490">
        <v>1829200751</v>
      </c>
      <c r="B521" s="490" t="s">
        <v>527</v>
      </c>
      <c r="C521" s="491">
        <v>435000</v>
      </c>
      <c r="D521" s="491">
        <f t="shared" si="17"/>
        <v>181250</v>
      </c>
      <c r="E521" s="491">
        <v>16106.4</v>
      </c>
      <c r="F521" s="491">
        <v>418893.6</v>
      </c>
      <c r="G521" s="490"/>
      <c r="H521" s="490">
        <v>3.7</v>
      </c>
      <c r="I521" s="491">
        <v>235491.82</v>
      </c>
      <c r="J521" s="491">
        <v>4509.57</v>
      </c>
      <c r="K521" s="278">
        <f t="shared" si="16"/>
        <v>20615.97</v>
      </c>
    </row>
    <row r="522" spans="1:11" x14ac:dyDescent="0.3">
      <c r="A522" s="490">
        <v>1829300431</v>
      </c>
      <c r="B522" s="490" t="s">
        <v>528</v>
      </c>
      <c r="C522" s="491">
        <v>121674.01</v>
      </c>
      <c r="D522" s="491">
        <f t="shared" si="17"/>
        <v>50697.504166666666</v>
      </c>
      <c r="E522" s="491">
        <v>58559.07</v>
      </c>
      <c r="F522" s="491">
        <v>63114.94</v>
      </c>
      <c r="G522" s="490"/>
      <c r="H522" s="490">
        <v>48.13</v>
      </c>
      <c r="I522" s="491">
        <v>184261.97</v>
      </c>
      <c r="J522" s="490"/>
      <c r="K522" s="278">
        <f t="shared" si="16"/>
        <v>58559.07</v>
      </c>
    </row>
    <row r="523" spans="1:11" x14ac:dyDescent="0.3">
      <c r="A523" s="490">
        <v>1829300432</v>
      </c>
      <c r="B523" s="490" t="s">
        <v>529</v>
      </c>
      <c r="C523" s="491">
        <v>141000</v>
      </c>
      <c r="D523" s="491">
        <f t="shared" si="17"/>
        <v>58750</v>
      </c>
      <c r="E523" s="490">
        <v>64.349999999999994</v>
      </c>
      <c r="F523" s="491">
        <v>140935.65</v>
      </c>
      <c r="G523" s="490"/>
      <c r="H523" s="490">
        <v>0.05</v>
      </c>
      <c r="I523" s="491">
        <v>34046.199999999997</v>
      </c>
      <c r="J523" s="490"/>
      <c r="K523" s="278">
        <f t="shared" si="16"/>
        <v>64.349999999999994</v>
      </c>
    </row>
    <row r="524" spans="1:11" x14ac:dyDescent="0.3">
      <c r="A524" s="490">
        <v>1829300750</v>
      </c>
      <c r="B524" s="490" t="s">
        <v>530</v>
      </c>
      <c r="C524" s="491">
        <v>130000</v>
      </c>
      <c r="D524" s="491">
        <f t="shared" si="17"/>
        <v>54166.666666666672</v>
      </c>
      <c r="E524" s="491">
        <v>111087</v>
      </c>
      <c r="F524" s="491">
        <v>18913</v>
      </c>
      <c r="G524" s="490"/>
      <c r="H524" s="490">
        <v>85.45</v>
      </c>
      <c r="I524" s="491">
        <v>199428.27</v>
      </c>
      <c r="J524" s="490"/>
      <c r="K524" s="278">
        <f t="shared" si="16"/>
        <v>111087</v>
      </c>
    </row>
    <row r="525" spans="1:11" x14ac:dyDescent="0.3">
      <c r="A525" s="490">
        <v>1829300751</v>
      </c>
      <c r="B525" s="490" t="s">
        <v>531</v>
      </c>
      <c r="C525" s="491">
        <v>75000</v>
      </c>
      <c r="D525" s="491">
        <f t="shared" si="17"/>
        <v>31250</v>
      </c>
      <c r="E525" s="490"/>
      <c r="F525" s="491">
        <v>75000</v>
      </c>
      <c r="G525" s="490"/>
      <c r="H525" s="490"/>
      <c r="I525" s="491">
        <v>55639</v>
      </c>
      <c r="J525" s="490"/>
      <c r="K525" s="278">
        <f t="shared" si="16"/>
        <v>0</v>
      </c>
    </row>
    <row r="526" spans="1:11" x14ac:dyDescent="0.3">
      <c r="A526" s="490">
        <v>1832400780</v>
      </c>
      <c r="B526" s="490" t="s">
        <v>533</v>
      </c>
      <c r="C526" s="491">
        <v>10000</v>
      </c>
      <c r="D526" s="491">
        <f t="shared" si="17"/>
        <v>4166.666666666667</v>
      </c>
      <c r="E526" s="491">
        <v>4799.0200000000004</v>
      </c>
      <c r="F526" s="491">
        <v>5200.9799999999996</v>
      </c>
      <c r="G526" s="490"/>
      <c r="H526" s="490">
        <v>47.99</v>
      </c>
      <c r="I526" s="491">
        <v>11865.36</v>
      </c>
      <c r="J526" s="490"/>
      <c r="K526" s="278">
        <f t="shared" si="16"/>
        <v>4799.0200000000004</v>
      </c>
    </row>
    <row r="527" spans="1:11" x14ac:dyDescent="0.3">
      <c r="A527" s="490">
        <v>1835000781</v>
      </c>
      <c r="B527" s="490" t="s">
        <v>534</v>
      </c>
      <c r="C527" s="491">
        <v>69004</v>
      </c>
      <c r="D527" s="491">
        <f t="shared" si="17"/>
        <v>28751.666666666664</v>
      </c>
      <c r="E527" s="490"/>
      <c r="F527" s="491">
        <v>69004</v>
      </c>
      <c r="G527" s="490"/>
      <c r="H527" s="490"/>
      <c r="I527" s="491">
        <v>111112.1</v>
      </c>
      <c r="J527" s="490"/>
      <c r="K527" s="278">
        <f t="shared" si="16"/>
        <v>0</v>
      </c>
    </row>
    <row r="528" spans="1:11" x14ac:dyDescent="0.3">
      <c r="A528" s="490">
        <v>1836200810</v>
      </c>
      <c r="B528" s="490" t="s">
        <v>535</v>
      </c>
      <c r="C528" s="491">
        <v>185000</v>
      </c>
      <c r="D528" s="491">
        <f t="shared" si="17"/>
        <v>77083.333333333328</v>
      </c>
      <c r="E528" s="491">
        <v>49707</v>
      </c>
      <c r="F528" s="491">
        <v>135293</v>
      </c>
      <c r="G528" s="490"/>
      <c r="H528" s="490">
        <v>26.87</v>
      </c>
      <c r="I528" s="491">
        <v>195292</v>
      </c>
      <c r="J528" s="490"/>
      <c r="K528" s="278">
        <f t="shared" si="16"/>
        <v>49707</v>
      </c>
    </row>
    <row r="529" spans="1:12" x14ac:dyDescent="0.3">
      <c r="A529" s="490">
        <v>1841000110</v>
      </c>
      <c r="B529" s="490" t="s">
        <v>139</v>
      </c>
      <c r="C529" s="491">
        <v>6575875.8099999996</v>
      </c>
      <c r="D529" s="491">
        <f t="shared" si="17"/>
        <v>2739948.2541666664</v>
      </c>
      <c r="E529" s="491">
        <v>2497272.16</v>
      </c>
      <c r="F529" s="491">
        <v>4078603.65</v>
      </c>
      <c r="G529" s="490"/>
      <c r="H529" s="490">
        <v>37.979999999999997</v>
      </c>
      <c r="I529" s="491">
        <v>6425343.2400000002</v>
      </c>
      <c r="J529" s="493">
        <v>180000</v>
      </c>
      <c r="K529" s="278">
        <f t="shared" si="16"/>
        <v>2677272.16</v>
      </c>
      <c r="L529" s="171" t="s">
        <v>3537</v>
      </c>
    </row>
    <row r="530" spans="1:12" x14ac:dyDescent="0.3">
      <c r="A530" s="490">
        <v>1841000431</v>
      </c>
      <c r="B530" s="490" t="s">
        <v>537</v>
      </c>
      <c r="C530" s="491">
        <v>15832.24</v>
      </c>
      <c r="D530" s="491">
        <f t="shared" si="17"/>
        <v>6596.7666666666664</v>
      </c>
      <c r="E530" s="491">
        <v>11283.48</v>
      </c>
      <c r="F530" s="491">
        <v>4548.76</v>
      </c>
      <c r="G530" s="490"/>
      <c r="H530" s="490">
        <v>71.27</v>
      </c>
      <c r="I530" s="491">
        <v>29263.919999999998</v>
      </c>
      <c r="J530" s="490"/>
      <c r="K530" s="278">
        <f t="shared" si="16"/>
        <v>11283.48</v>
      </c>
    </row>
    <row r="531" spans="1:12" x14ac:dyDescent="0.3">
      <c r="A531" s="490">
        <v>1841000432</v>
      </c>
      <c r="B531" s="490" t="s">
        <v>253</v>
      </c>
      <c r="C531" s="491">
        <v>2000</v>
      </c>
      <c r="D531" s="491">
        <f t="shared" si="17"/>
        <v>833.33333333333326</v>
      </c>
      <c r="E531" s="490">
        <v>533.52</v>
      </c>
      <c r="F531" s="491">
        <v>1466.48</v>
      </c>
      <c r="G531" s="490"/>
      <c r="H531" s="490">
        <v>26.68</v>
      </c>
      <c r="I531" s="490"/>
      <c r="J531" s="490"/>
      <c r="K531" s="278">
        <f t="shared" si="16"/>
        <v>533.52</v>
      </c>
    </row>
    <row r="532" spans="1:12" x14ac:dyDescent="0.3">
      <c r="A532" s="490">
        <v>1841000540</v>
      </c>
      <c r="B532" s="490" t="s">
        <v>241</v>
      </c>
      <c r="C532" s="491">
        <v>35000</v>
      </c>
      <c r="D532" s="491">
        <f t="shared" si="17"/>
        <v>14583.333333333332</v>
      </c>
      <c r="E532" s="490">
        <v>649.26</v>
      </c>
      <c r="F532" s="491">
        <v>34350.74</v>
      </c>
      <c r="G532" s="490"/>
      <c r="H532" s="490">
        <v>1.86</v>
      </c>
      <c r="I532" s="491">
        <v>42000.3</v>
      </c>
      <c r="J532" s="490"/>
      <c r="K532" s="278">
        <f t="shared" si="16"/>
        <v>649.26</v>
      </c>
    </row>
    <row r="533" spans="1:12" x14ac:dyDescent="0.3">
      <c r="A533" s="490">
        <v>1841000840</v>
      </c>
      <c r="B533" s="490" t="s">
        <v>538</v>
      </c>
      <c r="C533" s="491">
        <v>94312</v>
      </c>
      <c r="D533" s="491">
        <f t="shared" si="17"/>
        <v>39296.666666666664</v>
      </c>
      <c r="E533" s="491">
        <v>54520.84</v>
      </c>
      <c r="F533" s="491">
        <v>39791.160000000003</v>
      </c>
      <c r="G533" s="490"/>
      <c r="H533" s="490">
        <v>57.81</v>
      </c>
      <c r="I533" s="491">
        <v>55082.27</v>
      </c>
      <c r="J533" s="491">
        <v>16894.13</v>
      </c>
      <c r="K533" s="278">
        <f t="shared" si="16"/>
        <v>71414.97</v>
      </c>
    </row>
    <row r="534" spans="1:12" x14ac:dyDescent="0.3">
      <c r="A534" s="490">
        <v>1841100110</v>
      </c>
      <c r="B534" s="490" t="s">
        <v>539</v>
      </c>
      <c r="C534" s="491">
        <v>90917.17</v>
      </c>
      <c r="D534" s="491">
        <f t="shared" si="17"/>
        <v>37882.154166666667</v>
      </c>
      <c r="E534" s="490"/>
      <c r="F534" s="491">
        <v>90917.17</v>
      </c>
      <c r="G534" s="490"/>
      <c r="H534" s="490"/>
      <c r="I534" s="491">
        <v>15958.84</v>
      </c>
      <c r="J534" s="490"/>
      <c r="K534" s="278">
        <f t="shared" si="16"/>
        <v>0</v>
      </c>
    </row>
    <row r="535" spans="1:12" x14ac:dyDescent="0.3">
      <c r="A535" s="490">
        <v>1841100770</v>
      </c>
      <c r="B535" s="490" t="s">
        <v>540</v>
      </c>
      <c r="C535" s="491">
        <v>95000</v>
      </c>
      <c r="D535" s="491">
        <f t="shared" si="17"/>
        <v>39583.333333333336</v>
      </c>
      <c r="E535" s="491">
        <v>49492</v>
      </c>
      <c r="F535" s="491">
        <v>45508</v>
      </c>
      <c r="G535" s="490"/>
      <c r="H535" s="490">
        <v>52.1</v>
      </c>
      <c r="I535" s="491">
        <v>97141</v>
      </c>
      <c r="J535" s="491">
        <v>28753.919999999998</v>
      </c>
      <c r="K535" s="278">
        <f t="shared" si="16"/>
        <v>78245.919999999998</v>
      </c>
    </row>
    <row r="536" spans="1:12" x14ac:dyDescent="0.3">
      <c r="A536" s="490">
        <v>1842200810</v>
      </c>
      <c r="B536" s="490" t="s">
        <v>143</v>
      </c>
      <c r="C536" s="490"/>
      <c r="D536" s="491">
        <f t="shared" si="17"/>
        <v>0</v>
      </c>
      <c r="E536" s="490"/>
      <c r="F536" s="490"/>
      <c r="G536" s="490"/>
      <c r="H536" s="490"/>
      <c r="I536" s="491">
        <v>35061.43</v>
      </c>
      <c r="J536" s="490"/>
      <c r="K536" s="278">
        <f t="shared" si="16"/>
        <v>0</v>
      </c>
    </row>
    <row r="537" spans="1:12" x14ac:dyDescent="0.3">
      <c r="A537" s="490">
        <v>1842200841</v>
      </c>
      <c r="B537" s="490" t="s">
        <v>142</v>
      </c>
      <c r="C537" s="491">
        <v>200000</v>
      </c>
      <c r="D537" s="491">
        <f t="shared" si="17"/>
        <v>83333.333333333343</v>
      </c>
      <c r="E537" s="491">
        <v>70180</v>
      </c>
      <c r="F537" s="491">
        <v>129820</v>
      </c>
      <c r="G537" s="490"/>
      <c r="H537" s="490">
        <v>35.090000000000003</v>
      </c>
      <c r="I537" s="491">
        <v>188606</v>
      </c>
      <c r="J537" s="490"/>
      <c r="K537" s="278">
        <f t="shared" si="16"/>
        <v>70180</v>
      </c>
    </row>
    <row r="538" spans="1:12" x14ac:dyDescent="0.3">
      <c r="A538" s="490">
        <v>1842200846</v>
      </c>
      <c r="B538" s="490" t="s">
        <v>144</v>
      </c>
      <c r="C538" s="491">
        <v>90288</v>
      </c>
      <c r="D538" s="491">
        <f t="shared" si="17"/>
        <v>37620</v>
      </c>
      <c r="E538" s="490"/>
      <c r="F538" s="491">
        <v>90288</v>
      </c>
      <c r="G538" s="490"/>
      <c r="H538" s="490"/>
      <c r="I538" s="491">
        <v>47714</v>
      </c>
      <c r="J538" s="490"/>
      <c r="K538" s="278">
        <f t="shared" si="16"/>
        <v>0</v>
      </c>
    </row>
    <row r="539" spans="1:12" x14ac:dyDescent="0.3">
      <c r="A539" s="490">
        <v>1842200847</v>
      </c>
      <c r="B539" s="490" t="s">
        <v>145</v>
      </c>
      <c r="C539" s="491">
        <v>75733</v>
      </c>
      <c r="D539" s="491">
        <f t="shared" si="17"/>
        <v>31555.416666666664</v>
      </c>
      <c r="E539" s="491">
        <v>2158</v>
      </c>
      <c r="F539" s="491">
        <v>73575</v>
      </c>
      <c r="G539" s="490"/>
      <c r="H539" s="490">
        <v>2.85</v>
      </c>
      <c r="I539" s="491">
        <v>28037</v>
      </c>
      <c r="J539" s="490"/>
      <c r="K539" s="278">
        <f t="shared" si="16"/>
        <v>2158</v>
      </c>
    </row>
    <row r="540" spans="1:12" x14ac:dyDescent="0.3">
      <c r="A540" s="490">
        <v>1842300810</v>
      </c>
      <c r="B540" s="490" t="s">
        <v>3533</v>
      </c>
      <c r="C540" s="490"/>
      <c r="D540" s="491">
        <f t="shared" si="17"/>
        <v>0</v>
      </c>
      <c r="E540" s="491">
        <v>55000</v>
      </c>
      <c r="F540" s="490"/>
      <c r="G540" s="491">
        <v>55000</v>
      </c>
      <c r="H540" s="490"/>
      <c r="I540" s="490"/>
      <c r="J540" s="490"/>
      <c r="K540" s="278">
        <f t="shared" si="16"/>
        <v>55000</v>
      </c>
    </row>
    <row r="541" spans="1:12" x14ac:dyDescent="0.3">
      <c r="A541" s="490">
        <v>1842300841</v>
      </c>
      <c r="B541" s="490" t="s">
        <v>146</v>
      </c>
      <c r="C541" s="491">
        <v>191541</v>
      </c>
      <c r="D541" s="491">
        <f t="shared" si="17"/>
        <v>79808.75</v>
      </c>
      <c r="E541" s="491">
        <v>10567.67</v>
      </c>
      <c r="F541" s="491">
        <v>180973.33</v>
      </c>
      <c r="G541" s="490"/>
      <c r="H541" s="490">
        <v>5.52</v>
      </c>
      <c r="I541" s="491">
        <v>114409.63</v>
      </c>
      <c r="J541" s="491">
        <v>8574.4699999999993</v>
      </c>
      <c r="K541" s="278">
        <f t="shared" si="16"/>
        <v>19142.14</v>
      </c>
    </row>
    <row r="542" spans="1:12" x14ac:dyDescent="0.3">
      <c r="A542" s="490">
        <v>1842400110</v>
      </c>
      <c r="B542" s="490" t="s">
        <v>541</v>
      </c>
      <c r="C542" s="491">
        <v>175773.31</v>
      </c>
      <c r="D542" s="491">
        <f t="shared" si="17"/>
        <v>73238.879166666666</v>
      </c>
      <c r="E542" s="491">
        <v>176246.92</v>
      </c>
      <c r="F542" s="490"/>
      <c r="G542" s="490">
        <v>473.61</v>
      </c>
      <c r="H542" s="490">
        <v>100.27</v>
      </c>
      <c r="I542" s="491">
        <v>360371.57</v>
      </c>
      <c r="J542" s="490"/>
      <c r="K542" s="278">
        <f t="shared" si="16"/>
        <v>176246.92</v>
      </c>
    </row>
    <row r="543" spans="1:12" x14ac:dyDescent="0.3">
      <c r="A543" s="490">
        <v>1842400840</v>
      </c>
      <c r="B543" s="490" t="s">
        <v>541</v>
      </c>
      <c r="C543" s="491">
        <v>30000</v>
      </c>
      <c r="D543" s="491">
        <f t="shared" si="17"/>
        <v>12500</v>
      </c>
      <c r="E543" s="491">
        <v>7386.65</v>
      </c>
      <c r="F543" s="491">
        <v>22613.35</v>
      </c>
      <c r="G543" s="490"/>
      <c r="H543" s="490">
        <v>24.62</v>
      </c>
      <c r="I543" s="491">
        <v>15900.98</v>
      </c>
      <c r="J543" s="491">
        <v>6623.37</v>
      </c>
      <c r="K543" s="278">
        <f t="shared" si="16"/>
        <v>14010.02</v>
      </c>
    </row>
    <row r="544" spans="1:12" x14ac:dyDescent="0.3">
      <c r="A544" s="490">
        <v>1842400841</v>
      </c>
      <c r="B544" s="490" t="s">
        <v>148</v>
      </c>
      <c r="C544" s="491">
        <v>40500</v>
      </c>
      <c r="D544" s="491">
        <f t="shared" si="17"/>
        <v>16875</v>
      </c>
      <c r="E544" s="490"/>
      <c r="F544" s="491">
        <v>40500</v>
      </c>
      <c r="G544" s="490"/>
      <c r="H544" s="490"/>
      <c r="I544" s="491">
        <v>7000</v>
      </c>
      <c r="J544" s="490"/>
      <c r="K544" s="278">
        <f t="shared" si="16"/>
        <v>0</v>
      </c>
    </row>
    <row r="545" spans="1:11" x14ac:dyDescent="0.3">
      <c r="A545" s="490">
        <v>1843500110</v>
      </c>
      <c r="B545" s="490" t="s">
        <v>753</v>
      </c>
      <c r="C545" s="491">
        <v>111251.69</v>
      </c>
      <c r="D545" s="491">
        <f t="shared" si="17"/>
        <v>46354.870833333334</v>
      </c>
      <c r="E545" s="491">
        <v>35973.629999999997</v>
      </c>
      <c r="F545" s="491">
        <v>75278.06</v>
      </c>
      <c r="G545" s="490"/>
      <c r="H545" s="490">
        <v>32.340000000000003</v>
      </c>
      <c r="I545" s="491">
        <v>116015.31</v>
      </c>
      <c r="J545" s="490"/>
      <c r="K545" s="278">
        <f t="shared" si="16"/>
        <v>35973.629999999997</v>
      </c>
    </row>
    <row r="546" spans="1:11" x14ac:dyDescent="0.3">
      <c r="A546" s="490">
        <v>1843500840</v>
      </c>
      <c r="B546" s="490" t="s">
        <v>543</v>
      </c>
      <c r="C546" s="491">
        <v>580236</v>
      </c>
      <c r="D546" s="491">
        <f t="shared" si="17"/>
        <v>241765</v>
      </c>
      <c r="E546" s="491">
        <v>142407.5</v>
      </c>
      <c r="F546" s="491">
        <v>437828.5</v>
      </c>
      <c r="G546" s="490"/>
      <c r="H546" s="490">
        <v>24.54</v>
      </c>
      <c r="I546" s="491">
        <v>558462</v>
      </c>
      <c r="J546" s="491">
        <v>7300.8</v>
      </c>
      <c r="K546" s="278">
        <f t="shared" si="16"/>
        <v>149708.29999999999</v>
      </c>
    </row>
    <row r="547" spans="1:11" x14ac:dyDescent="0.3">
      <c r="A547" s="490">
        <v>1843500841</v>
      </c>
      <c r="B547" s="490" t="s">
        <v>150</v>
      </c>
      <c r="C547" s="491">
        <v>57000</v>
      </c>
      <c r="D547" s="491">
        <f t="shared" si="17"/>
        <v>23750</v>
      </c>
      <c r="E547" s="490"/>
      <c r="F547" s="491">
        <v>57000</v>
      </c>
      <c r="G547" s="490"/>
      <c r="H547" s="490"/>
      <c r="I547" s="490"/>
      <c r="J547" s="490"/>
      <c r="K547" s="278">
        <f t="shared" si="16"/>
        <v>0</v>
      </c>
    </row>
    <row r="548" spans="1:11" x14ac:dyDescent="0.3">
      <c r="A548" s="490">
        <v>1843500842</v>
      </c>
      <c r="B548" s="490" t="s">
        <v>544</v>
      </c>
      <c r="C548" s="491">
        <v>350000</v>
      </c>
      <c r="D548" s="491">
        <f t="shared" si="17"/>
        <v>145833.33333333334</v>
      </c>
      <c r="E548" s="491">
        <v>148442</v>
      </c>
      <c r="F548" s="491">
        <v>201558</v>
      </c>
      <c r="G548" s="490"/>
      <c r="H548" s="490">
        <v>42.41</v>
      </c>
      <c r="I548" s="491">
        <v>388961</v>
      </c>
      <c r="J548" s="490"/>
      <c r="K548" s="278">
        <f t="shared" si="16"/>
        <v>148442</v>
      </c>
    </row>
    <row r="549" spans="1:11" x14ac:dyDescent="0.3">
      <c r="A549" s="490">
        <v>1843500843</v>
      </c>
      <c r="B549" s="490" t="s">
        <v>152</v>
      </c>
      <c r="C549" s="491">
        <v>40000</v>
      </c>
      <c r="D549" s="491">
        <f t="shared" si="17"/>
        <v>16666.666666666668</v>
      </c>
      <c r="E549" s="491">
        <v>8406</v>
      </c>
      <c r="F549" s="491">
        <v>31594</v>
      </c>
      <c r="G549" s="490"/>
      <c r="H549" s="490">
        <v>21.02</v>
      </c>
      <c r="I549" s="491">
        <v>25597</v>
      </c>
      <c r="J549" s="490"/>
      <c r="K549" s="278">
        <f t="shared" si="16"/>
        <v>8406</v>
      </c>
    </row>
    <row r="550" spans="1:11" x14ac:dyDescent="0.3">
      <c r="A550" s="490">
        <v>1843500844</v>
      </c>
      <c r="B550" s="490" t="s">
        <v>153</v>
      </c>
      <c r="C550" s="491">
        <v>74173</v>
      </c>
      <c r="D550" s="491">
        <f t="shared" si="17"/>
        <v>30905.416666666664</v>
      </c>
      <c r="E550" s="491">
        <v>104994</v>
      </c>
      <c r="F550" s="490"/>
      <c r="G550" s="491">
        <v>30821</v>
      </c>
      <c r="H550" s="490">
        <v>141.55000000000001</v>
      </c>
      <c r="I550" s="491">
        <v>69951</v>
      </c>
      <c r="J550" s="490"/>
      <c r="K550" s="278">
        <f t="shared" si="16"/>
        <v>104994</v>
      </c>
    </row>
    <row r="551" spans="1:11" x14ac:dyDescent="0.3">
      <c r="A551" s="490">
        <v>1843500847</v>
      </c>
      <c r="B551" s="490" t="s">
        <v>545</v>
      </c>
      <c r="C551" s="491">
        <v>56538</v>
      </c>
      <c r="D551" s="491">
        <f t="shared" si="17"/>
        <v>23557.5</v>
      </c>
      <c r="E551" s="490"/>
      <c r="F551" s="491">
        <v>56538</v>
      </c>
      <c r="G551" s="490"/>
      <c r="H551" s="490"/>
      <c r="I551" s="490"/>
      <c r="J551" s="490"/>
      <c r="K551" s="278">
        <f t="shared" si="16"/>
        <v>0</v>
      </c>
    </row>
    <row r="552" spans="1:11" x14ac:dyDescent="0.3">
      <c r="A552" s="490">
        <v>1843800840</v>
      </c>
      <c r="B552" s="490" t="s">
        <v>156</v>
      </c>
      <c r="C552" s="491">
        <v>3900000</v>
      </c>
      <c r="D552" s="491">
        <f t="shared" si="17"/>
        <v>1625000</v>
      </c>
      <c r="E552" s="491">
        <v>907303</v>
      </c>
      <c r="F552" s="491">
        <v>2992697</v>
      </c>
      <c r="G552" s="490"/>
      <c r="H552" s="490">
        <v>23.26</v>
      </c>
      <c r="I552" s="491">
        <v>3056470.85</v>
      </c>
      <c r="J552" s="490"/>
      <c r="K552" s="278">
        <f t="shared" si="16"/>
        <v>907303</v>
      </c>
    </row>
    <row r="553" spans="1:11" x14ac:dyDescent="0.3">
      <c r="A553" s="490">
        <v>1843800841</v>
      </c>
      <c r="B553" s="490" t="s">
        <v>157</v>
      </c>
      <c r="C553" s="490"/>
      <c r="D553" s="491">
        <f t="shared" si="17"/>
        <v>0</v>
      </c>
      <c r="E553" s="490"/>
      <c r="F553" s="490"/>
      <c r="G553" s="490"/>
      <c r="H553" s="490"/>
      <c r="I553" s="490">
        <v>654</v>
      </c>
      <c r="J553" s="490"/>
      <c r="K553" s="278">
        <f t="shared" si="16"/>
        <v>0</v>
      </c>
    </row>
    <row r="554" spans="1:11" x14ac:dyDescent="0.3">
      <c r="A554" s="490">
        <v>1843900840</v>
      </c>
      <c r="B554" s="490" t="s">
        <v>546</v>
      </c>
      <c r="C554" s="491">
        <v>1400000</v>
      </c>
      <c r="D554" s="491">
        <f t="shared" si="17"/>
        <v>583333.33333333337</v>
      </c>
      <c r="E554" s="491">
        <v>506128</v>
      </c>
      <c r="F554" s="491">
        <v>893872</v>
      </c>
      <c r="G554" s="490"/>
      <c r="H554" s="490">
        <v>36.15</v>
      </c>
      <c r="I554" s="491">
        <v>1610013</v>
      </c>
      <c r="J554" s="490"/>
      <c r="K554" s="278">
        <f t="shared" si="16"/>
        <v>506128</v>
      </c>
    </row>
    <row r="555" spans="1:11" x14ac:dyDescent="0.3">
      <c r="A555" s="490">
        <v>1844300840</v>
      </c>
      <c r="B555" s="490" t="s">
        <v>159</v>
      </c>
      <c r="C555" s="491">
        <v>900000</v>
      </c>
      <c r="D555" s="491">
        <f t="shared" si="17"/>
        <v>375000</v>
      </c>
      <c r="E555" s="491">
        <v>327635</v>
      </c>
      <c r="F555" s="491">
        <v>572365</v>
      </c>
      <c r="G555" s="490"/>
      <c r="H555" s="490">
        <v>36.4</v>
      </c>
      <c r="I555" s="491">
        <v>788695</v>
      </c>
      <c r="J555" s="490"/>
      <c r="K555" s="278">
        <f t="shared" si="16"/>
        <v>327635</v>
      </c>
    </row>
    <row r="556" spans="1:11" x14ac:dyDescent="0.3">
      <c r="A556" s="490">
        <v>1844400841</v>
      </c>
      <c r="B556" s="490" t="s">
        <v>547</v>
      </c>
      <c r="C556" s="491">
        <v>300000</v>
      </c>
      <c r="D556" s="491">
        <f t="shared" si="17"/>
        <v>125000</v>
      </c>
      <c r="E556" s="491">
        <v>61245</v>
      </c>
      <c r="F556" s="491">
        <v>238755</v>
      </c>
      <c r="G556" s="490"/>
      <c r="H556" s="490">
        <v>20.420000000000002</v>
      </c>
      <c r="I556" s="491">
        <v>242673.8</v>
      </c>
      <c r="J556" s="491">
        <v>2180</v>
      </c>
      <c r="K556" s="278">
        <f t="shared" si="16"/>
        <v>63425</v>
      </c>
    </row>
    <row r="557" spans="1:11" x14ac:dyDescent="0.3">
      <c r="A557" s="490">
        <v>1844400842</v>
      </c>
      <c r="B557" s="490" t="s">
        <v>548</v>
      </c>
      <c r="C557" s="490"/>
      <c r="D557" s="491">
        <f t="shared" si="17"/>
        <v>0</v>
      </c>
      <c r="E557" s="490"/>
      <c r="F557" s="490"/>
      <c r="G557" s="490"/>
      <c r="H557" s="490"/>
      <c r="I557" s="491">
        <v>3500</v>
      </c>
      <c r="J557" s="490"/>
      <c r="K557" s="278">
        <f t="shared" si="16"/>
        <v>0</v>
      </c>
    </row>
    <row r="558" spans="1:11" x14ac:dyDescent="0.3">
      <c r="A558" s="490">
        <v>1844400843</v>
      </c>
      <c r="B558" s="490" t="s">
        <v>161</v>
      </c>
      <c r="C558" s="491">
        <v>32000</v>
      </c>
      <c r="D558" s="491">
        <f t="shared" si="17"/>
        <v>13333.333333333332</v>
      </c>
      <c r="E558" s="491">
        <v>-2000</v>
      </c>
      <c r="F558" s="491">
        <v>34000</v>
      </c>
      <c r="G558" s="490"/>
      <c r="H558" s="490">
        <v>-6.25</v>
      </c>
      <c r="I558" s="491">
        <v>24568</v>
      </c>
      <c r="J558" s="490"/>
      <c r="K558" s="278">
        <f t="shared" si="16"/>
        <v>-2000</v>
      </c>
    </row>
    <row r="559" spans="1:11" x14ac:dyDescent="0.3">
      <c r="A559" s="490">
        <v>1844400844</v>
      </c>
      <c r="B559" s="490" t="s">
        <v>162</v>
      </c>
      <c r="C559" s="491">
        <v>90000</v>
      </c>
      <c r="D559" s="491">
        <f t="shared" si="17"/>
        <v>37500</v>
      </c>
      <c r="E559" s="491">
        <v>32718</v>
      </c>
      <c r="F559" s="491">
        <v>57282</v>
      </c>
      <c r="G559" s="490"/>
      <c r="H559" s="490">
        <v>36.35</v>
      </c>
      <c r="I559" s="491">
        <v>135933</v>
      </c>
      <c r="J559" s="490"/>
      <c r="K559" s="278">
        <f t="shared" si="16"/>
        <v>32718</v>
      </c>
    </row>
    <row r="560" spans="1:11" x14ac:dyDescent="0.3">
      <c r="A560" s="490">
        <v>1844400845</v>
      </c>
      <c r="B560" s="490" t="s">
        <v>163</v>
      </c>
      <c r="C560" s="491">
        <v>54000</v>
      </c>
      <c r="D560" s="491">
        <f t="shared" si="17"/>
        <v>22500</v>
      </c>
      <c r="E560" s="490"/>
      <c r="F560" s="491">
        <v>54000</v>
      </c>
      <c r="G560" s="490"/>
      <c r="H560" s="490"/>
      <c r="I560" s="491">
        <v>4481</v>
      </c>
      <c r="J560" s="490"/>
      <c r="K560" s="278">
        <f t="shared" si="16"/>
        <v>0</v>
      </c>
    </row>
    <row r="561" spans="1:11" x14ac:dyDescent="0.3">
      <c r="A561" s="490">
        <v>1844400846</v>
      </c>
      <c r="B561" s="490" t="s">
        <v>164</v>
      </c>
      <c r="C561" s="491">
        <v>42000</v>
      </c>
      <c r="D561" s="491">
        <f t="shared" si="17"/>
        <v>17500</v>
      </c>
      <c r="E561" s="491">
        <v>7000</v>
      </c>
      <c r="F561" s="491">
        <v>35000</v>
      </c>
      <c r="G561" s="490"/>
      <c r="H561" s="490">
        <v>16.670000000000002</v>
      </c>
      <c r="I561" s="491">
        <v>38500</v>
      </c>
      <c r="K561" s="278">
        <f t="shared" si="16"/>
        <v>7000</v>
      </c>
    </row>
    <row r="562" spans="1:11" x14ac:dyDescent="0.3">
      <c r="A562" s="490">
        <v>1844400847</v>
      </c>
      <c r="B562" s="490" t="s">
        <v>165</v>
      </c>
      <c r="C562" s="491">
        <v>40000</v>
      </c>
      <c r="D562" s="491">
        <f t="shared" si="17"/>
        <v>16666.666666666668</v>
      </c>
      <c r="E562" s="490"/>
      <c r="F562" s="491">
        <v>40000</v>
      </c>
      <c r="G562" s="490"/>
      <c r="H562" s="490"/>
      <c r="I562" s="491">
        <v>24600</v>
      </c>
      <c r="K562" s="278">
        <f t="shared" si="16"/>
        <v>0</v>
      </c>
    </row>
    <row r="563" spans="1:11" x14ac:dyDescent="0.3">
      <c r="A563" s="490">
        <v>1844500840</v>
      </c>
      <c r="B563" s="490" t="s">
        <v>168</v>
      </c>
      <c r="C563" s="491">
        <v>270000</v>
      </c>
      <c r="D563" s="491">
        <f t="shared" si="17"/>
        <v>112500</v>
      </c>
      <c r="E563" s="491">
        <v>47950</v>
      </c>
      <c r="F563" s="491">
        <v>222050</v>
      </c>
      <c r="G563" s="490"/>
      <c r="H563" s="490">
        <v>17.760000000000002</v>
      </c>
      <c r="I563" s="491">
        <v>212512</v>
      </c>
      <c r="K563" s="278">
        <f t="shared" si="16"/>
        <v>47950</v>
      </c>
    </row>
    <row r="564" spans="1:11" x14ac:dyDescent="0.3">
      <c r="A564" s="490">
        <v>1844600420</v>
      </c>
      <c r="B564" s="490" t="s">
        <v>549</v>
      </c>
      <c r="C564" s="491">
        <v>120000</v>
      </c>
      <c r="D564" s="491">
        <f t="shared" si="17"/>
        <v>50000</v>
      </c>
      <c r="E564" s="491">
        <v>48298.41</v>
      </c>
      <c r="F564" s="491">
        <v>71701.59</v>
      </c>
      <c r="G564" s="490"/>
      <c r="H564" s="490">
        <v>40.25</v>
      </c>
      <c r="I564" s="491">
        <v>92986.75</v>
      </c>
      <c r="K564" s="278">
        <f t="shared" si="16"/>
        <v>48298.41</v>
      </c>
    </row>
    <row r="565" spans="1:11" x14ac:dyDescent="0.3">
      <c r="A565" s="490">
        <v>1844600820</v>
      </c>
      <c r="B565" s="490" t="s">
        <v>754</v>
      </c>
      <c r="C565" s="490"/>
      <c r="D565" s="491">
        <f t="shared" si="17"/>
        <v>0</v>
      </c>
      <c r="E565" s="490">
        <v>125.41</v>
      </c>
      <c r="F565" s="490"/>
      <c r="G565" s="490">
        <v>125.41</v>
      </c>
      <c r="H565" s="490"/>
      <c r="I565" s="490">
        <v>53.55</v>
      </c>
      <c r="K565" s="278">
        <f t="shared" si="16"/>
        <v>125.41</v>
      </c>
    </row>
    <row r="566" spans="1:11" x14ac:dyDescent="0.3">
      <c r="A566" s="490">
        <v>1845100840</v>
      </c>
      <c r="B566" s="490" t="s">
        <v>170</v>
      </c>
      <c r="C566" s="491">
        <v>5600000</v>
      </c>
      <c r="D566" s="491">
        <f t="shared" si="17"/>
        <v>2333333.3333333335</v>
      </c>
      <c r="E566" s="491">
        <v>2729624</v>
      </c>
      <c r="F566" s="491">
        <v>2870376</v>
      </c>
      <c r="G566" s="490"/>
      <c r="H566" s="490">
        <v>48.74</v>
      </c>
      <c r="I566" s="491">
        <v>6554568</v>
      </c>
      <c r="K566" s="278">
        <f t="shared" si="16"/>
        <v>2729624</v>
      </c>
    </row>
    <row r="567" spans="1:11" x14ac:dyDescent="0.3">
      <c r="A567" s="490">
        <v>1845100841</v>
      </c>
      <c r="B567" s="490" t="s">
        <v>171</v>
      </c>
      <c r="C567" s="491">
        <v>325000</v>
      </c>
      <c r="D567" s="491">
        <f t="shared" si="17"/>
        <v>135416.66666666666</v>
      </c>
      <c r="E567" s="491">
        <v>216750</v>
      </c>
      <c r="F567" s="491">
        <v>108250</v>
      </c>
      <c r="G567" s="490"/>
      <c r="H567" s="490">
        <v>66.69</v>
      </c>
      <c r="I567" s="491">
        <v>494594</v>
      </c>
      <c r="K567" s="278">
        <f t="shared" si="16"/>
        <v>216750</v>
      </c>
    </row>
    <row r="568" spans="1:11" x14ac:dyDescent="0.3">
      <c r="A568" s="490">
        <v>1845100842</v>
      </c>
      <c r="B568" s="490" t="s">
        <v>172</v>
      </c>
      <c r="C568" s="491">
        <v>10000</v>
      </c>
      <c r="D568" s="491">
        <f t="shared" si="17"/>
        <v>4166.666666666667</v>
      </c>
      <c r="E568" s="490"/>
      <c r="F568" s="491">
        <v>10000</v>
      </c>
      <c r="G568" s="490"/>
      <c r="H568" s="490"/>
      <c r="I568" s="491">
        <v>10426</v>
      </c>
      <c r="K568" s="278">
        <f t="shared" si="16"/>
        <v>0</v>
      </c>
    </row>
    <row r="569" spans="1:11" x14ac:dyDescent="0.3">
      <c r="A569" s="490">
        <v>1845100843</v>
      </c>
      <c r="B569" s="490" t="s">
        <v>173</v>
      </c>
      <c r="C569" s="491">
        <v>70000</v>
      </c>
      <c r="D569" s="491">
        <f t="shared" si="17"/>
        <v>29166.666666666664</v>
      </c>
      <c r="E569" s="491">
        <v>33311</v>
      </c>
      <c r="F569" s="491">
        <v>36689</v>
      </c>
      <c r="G569" s="490"/>
      <c r="H569" s="490">
        <v>47.59</v>
      </c>
      <c r="I569" s="491">
        <v>73934</v>
      </c>
      <c r="K569" s="278">
        <f t="shared" si="16"/>
        <v>33311</v>
      </c>
    </row>
    <row r="570" spans="1:11" x14ac:dyDescent="0.3">
      <c r="A570" s="490">
        <v>1845100844</v>
      </c>
      <c r="B570" s="490" t="s">
        <v>174</v>
      </c>
      <c r="C570" s="491">
        <v>67000</v>
      </c>
      <c r="D570" s="491">
        <f t="shared" si="17"/>
        <v>27916.666666666664</v>
      </c>
      <c r="E570" s="491">
        <v>34540</v>
      </c>
      <c r="F570" s="491">
        <v>32460</v>
      </c>
      <c r="G570" s="490"/>
      <c r="H570" s="490">
        <v>51.55</v>
      </c>
      <c r="I570" s="491">
        <v>68719</v>
      </c>
      <c r="K570" s="278">
        <f t="shared" si="16"/>
        <v>34540</v>
      </c>
    </row>
    <row r="571" spans="1:11" x14ac:dyDescent="0.3">
      <c r="A571" s="490">
        <v>1845100845</v>
      </c>
      <c r="B571" s="490" t="s">
        <v>175</v>
      </c>
      <c r="C571" s="491">
        <v>89600</v>
      </c>
      <c r="D571" s="491">
        <f t="shared" si="17"/>
        <v>37333.333333333336</v>
      </c>
      <c r="E571" s="490"/>
      <c r="F571" s="491">
        <v>89600</v>
      </c>
      <c r="G571" s="490"/>
      <c r="H571" s="490"/>
      <c r="I571" s="491">
        <v>27859</v>
      </c>
      <c r="K571" s="278">
        <f t="shared" si="16"/>
        <v>0</v>
      </c>
    </row>
    <row r="572" spans="1:11" x14ac:dyDescent="0.3">
      <c r="A572" s="490">
        <v>1845100846</v>
      </c>
      <c r="B572" s="490" t="s">
        <v>176</v>
      </c>
      <c r="C572" s="491">
        <v>50000</v>
      </c>
      <c r="D572" s="491">
        <f t="shared" si="17"/>
        <v>20833.333333333336</v>
      </c>
      <c r="E572" s="491">
        <v>20374</v>
      </c>
      <c r="F572" s="491">
        <v>29626</v>
      </c>
      <c r="G572" s="490"/>
      <c r="H572" s="490">
        <v>40.75</v>
      </c>
      <c r="I572" s="491">
        <v>48453</v>
      </c>
      <c r="K572" s="278">
        <f t="shared" si="16"/>
        <v>20374</v>
      </c>
    </row>
    <row r="573" spans="1:11" x14ac:dyDescent="0.3">
      <c r="A573" s="490">
        <v>1845100847</v>
      </c>
      <c r="B573" s="490" t="s">
        <v>177</v>
      </c>
      <c r="C573" s="491">
        <v>1200000</v>
      </c>
      <c r="D573" s="491">
        <f t="shared" si="17"/>
        <v>500000</v>
      </c>
      <c r="E573" s="491">
        <v>647380</v>
      </c>
      <c r="F573" s="491">
        <v>552620</v>
      </c>
      <c r="G573" s="490"/>
      <c r="H573" s="490">
        <v>53.95</v>
      </c>
      <c r="I573" s="491">
        <v>1427550</v>
      </c>
      <c r="K573" s="278">
        <f t="shared" si="16"/>
        <v>647380</v>
      </c>
    </row>
    <row r="574" spans="1:11" x14ac:dyDescent="0.3">
      <c r="A574" s="490">
        <v>1845100848</v>
      </c>
      <c r="B574" s="490" t="s">
        <v>178</v>
      </c>
      <c r="C574" s="491">
        <v>5000</v>
      </c>
      <c r="D574" s="491">
        <f t="shared" si="17"/>
        <v>2083.3333333333335</v>
      </c>
      <c r="E574" s="490"/>
      <c r="F574" s="491">
        <v>5000</v>
      </c>
      <c r="G574" s="490"/>
      <c r="H574" s="490"/>
      <c r="I574" s="490"/>
      <c r="K574" s="278">
        <f t="shared" si="16"/>
        <v>0</v>
      </c>
    </row>
    <row r="575" spans="1:11" x14ac:dyDescent="0.3">
      <c r="A575" s="490">
        <v>1845200110</v>
      </c>
      <c r="B575" s="490" t="s">
        <v>550</v>
      </c>
      <c r="C575" s="491">
        <v>231287.3</v>
      </c>
      <c r="D575" s="491">
        <f t="shared" si="17"/>
        <v>96369.708333333328</v>
      </c>
      <c r="E575" s="491">
        <v>304077.49</v>
      </c>
      <c r="F575" s="490"/>
      <c r="G575" s="491">
        <v>72790.19</v>
      </c>
      <c r="H575" s="490">
        <v>131.47</v>
      </c>
      <c r="I575" s="491">
        <v>688520.01</v>
      </c>
      <c r="K575" s="278">
        <f t="shared" si="16"/>
        <v>304077.49</v>
      </c>
    </row>
    <row r="576" spans="1:11" x14ac:dyDescent="0.3">
      <c r="A576" s="490">
        <v>1845200840</v>
      </c>
      <c r="B576" s="490" t="s">
        <v>181</v>
      </c>
      <c r="C576" s="491">
        <v>550000</v>
      </c>
      <c r="D576" s="491">
        <f t="shared" si="17"/>
        <v>229166.66666666669</v>
      </c>
      <c r="E576" s="491">
        <v>275954</v>
      </c>
      <c r="F576" s="491">
        <v>274046</v>
      </c>
      <c r="G576" s="490"/>
      <c r="H576" s="490">
        <v>50.17</v>
      </c>
      <c r="I576" s="491">
        <v>543493</v>
      </c>
      <c r="K576" s="278">
        <f t="shared" si="16"/>
        <v>275954</v>
      </c>
    </row>
    <row r="577" spans="1:11" x14ac:dyDescent="0.3">
      <c r="A577" s="490">
        <v>1845200841</v>
      </c>
      <c r="B577" s="490" t="s">
        <v>551</v>
      </c>
      <c r="C577" s="491">
        <v>90000</v>
      </c>
      <c r="D577" s="491">
        <f t="shared" si="17"/>
        <v>37500</v>
      </c>
      <c r="E577" s="491">
        <v>15792.28</v>
      </c>
      <c r="F577" s="491">
        <v>74207.72</v>
      </c>
      <c r="G577" s="490"/>
      <c r="H577" s="490">
        <v>17.55</v>
      </c>
      <c r="I577" s="491">
        <v>84817</v>
      </c>
      <c r="J577" s="491">
        <v>40573.53</v>
      </c>
      <c r="K577" s="278">
        <f t="shared" si="16"/>
        <v>56365.81</v>
      </c>
    </row>
    <row r="578" spans="1:11" x14ac:dyDescent="0.3">
      <c r="A578" s="490">
        <v>1845200843</v>
      </c>
      <c r="B578" s="490" t="s">
        <v>179</v>
      </c>
      <c r="C578" s="491">
        <v>550000</v>
      </c>
      <c r="D578" s="491">
        <f t="shared" si="17"/>
        <v>229166.66666666669</v>
      </c>
      <c r="E578" s="491">
        <v>138174.87</v>
      </c>
      <c r="F578" s="491">
        <v>411825.13</v>
      </c>
      <c r="G578" s="490"/>
      <c r="H578" s="490">
        <v>25.12</v>
      </c>
      <c r="I578" s="491">
        <v>426748.32</v>
      </c>
      <c r="J578" s="491">
        <v>87373.53</v>
      </c>
      <c r="K578" s="278">
        <f t="shared" si="16"/>
        <v>225548.4</v>
      </c>
    </row>
    <row r="579" spans="1:11" x14ac:dyDescent="0.3">
      <c r="A579" s="490">
        <v>1845210110</v>
      </c>
      <c r="B579" s="490" t="s">
        <v>552</v>
      </c>
      <c r="C579" s="491">
        <v>586130.32999999996</v>
      </c>
      <c r="D579" s="491">
        <f t="shared" si="17"/>
        <v>244220.9708333333</v>
      </c>
      <c r="E579" s="491">
        <v>271672.15999999997</v>
      </c>
      <c r="F579" s="491">
        <v>314458.17</v>
      </c>
      <c r="G579" s="490"/>
      <c r="H579" s="490">
        <v>46.35</v>
      </c>
      <c r="I579" s="491">
        <v>582544.86</v>
      </c>
      <c r="J579" s="490"/>
      <c r="K579" s="278">
        <f t="shared" ref="K579:K633" si="18">E579+J579</f>
        <v>271672.15999999997</v>
      </c>
    </row>
    <row r="580" spans="1:11" x14ac:dyDescent="0.3">
      <c r="A580" s="490">
        <v>1845300840</v>
      </c>
      <c r="B580" s="490" t="s">
        <v>183</v>
      </c>
      <c r="C580" s="491">
        <v>7000</v>
      </c>
      <c r="D580" s="491">
        <f t="shared" si="17"/>
        <v>2916.666666666667</v>
      </c>
      <c r="E580" s="490"/>
      <c r="F580" s="491">
        <v>7000</v>
      </c>
      <c r="G580" s="490"/>
      <c r="H580" s="490"/>
      <c r="I580" s="491">
        <v>15935</v>
      </c>
      <c r="J580" s="490"/>
      <c r="K580" s="278">
        <f t="shared" si="18"/>
        <v>0</v>
      </c>
    </row>
    <row r="581" spans="1:11" x14ac:dyDescent="0.3">
      <c r="A581" s="490">
        <v>1845300842</v>
      </c>
      <c r="B581" s="490" t="s">
        <v>184</v>
      </c>
      <c r="C581" s="491">
        <v>4000</v>
      </c>
      <c r="D581" s="491">
        <f t="shared" si="17"/>
        <v>1666.6666666666665</v>
      </c>
      <c r="E581" s="490"/>
      <c r="F581" s="491">
        <v>4000</v>
      </c>
      <c r="G581" s="490"/>
      <c r="H581" s="490"/>
      <c r="I581" s="491">
        <v>12951</v>
      </c>
      <c r="J581" s="490"/>
      <c r="K581" s="278">
        <f t="shared" si="18"/>
        <v>0</v>
      </c>
    </row>
    <row r="582" spans="1:11" x14ac:dyDescent="0.3">
      <c r="A582" s="490">
        <v>1845300843</v>
      </c>
      <c r="B582" s="490" t="s">
        <v>185</v>
      </c>
      <c r="C582" s="491">
        <v>240000</v>
      </c>
      <c r="D582" s="491">
        <f t="shared" ref="D582:D635" si="19">C582/12*5</f>
        <v>100000</v>
      </c>
      <c r="E582" s="490"/>
      <c r="F582" s="491">
        <v>240000</v>
      </c>
      <c r="G582" s="490"/>
      <c r="H582" s="490"/>
      <c r="I582" s="491">
        <v>228992.32</v>
      </c>
      <c r="J582" s="490"/>
      <c r="K582" s="278">
        <f t="shared" si="18"/>
        <v>0</v>
      </c>
    </row>
    <row r="583" spans="1:11" x14ac:dyDescent="0.3">
      <c r="A583" s="490">
        <v>1846300110</v>
      </c>
      <c r="B583" s="490" t="s">
        <v>553</v>
      </c>
      <c r="C583" s="491">
        <v>155150.69</v>
      </c>
      <c r="D583" s="491">
        <f t="shared" si="19"/>
        <v>64646.120833333334</v>
      </c>
      <c r="E583" s="491">
        <v>59880.25</v>
      </c>
      <c r="F583" s="491">
        <v>95270.44</v>
      </c>
      <c r="G583" s="490"/>
      <c r="H583" s="490">
        <v>38.590000000000003</v>
      </c>
      <c r="I583" s="491">
        <v>152686.82999999999</v>
      </c>
      <c r="J583" s="490"/>
      <c r="K583" s="278">
        <f t="shared" si="18"/>
        <v>59880.25</v>
      </c>
    </row>
    <row r="584" spans="1:11" x14ac:dyDescent="0.3">
      <c r="A584" s="490">
        <v>1846300840</v>
      </c>
      <c r="B584" s="490" t="s">
        <v>554</v>
      </c>
      <c r="C584" s="491">
        <v>20000</v>
      </c>
      <c r="D584" s="491">
        <f t="shared" si="19"/>
        <v>8333.3333333333339</v>
      </c>
      <c r="E584" s="491">
        <v>6705</v>
      </c>
      <c r="F584" s="491">
        <v>13295</v>
      </c>
      <c r="G584" s="490"/>
      <c r="H584" s="490">
        <v>33.53</v>
      </c>
      <c r="I584" s="491">
        <v>15138</v>
      </c>
      <c r="J584" s="490"/>
      <c r="K584" s="278">
        <f t="shared" si="18"/>
        <v>6705</v>
      </c>
    </row>
    <row r="585" spans="1:11" x14ac:dyDescent="0.3">
      <c r="A585" s="490">
        <v>1846300841</v>
      </c>
      <c r="B585" s="490" t="s">
        <v>555</v>
      </c>
      <c r="C585" s="491">
        <v>10000</v>
      </c>
      <c r="D585" s="491">
        <f t="shared" si="19"/>
        <v>4166.666666666667</v>
      </c>
      <c r="E585" s="490"/>
      <c r="F585" s="491">
        <v>10000</v>
      </c>
      <c r="G585" s="490"/>
      <c r="H585" s="490"/>
      <c r="I585" s="490"/>
      <c r="J585" s="490"/>
      <c r="K585" s="278">
        <f t="shared" si="18"/>
        <v>0</v>
      </c>
    </row>
    <row r="586" spans="1:11" x14ac:dyDescent="0.3">
      <c r="A586" s="490">
        <v>1846400841</v>
      </c>
      <c r="B586" s="490" t="s">
        <v>187</v>
      </c>
      <c r="C586" s="490"/>
      <c r="D586" s="491">
        <f t="shared" si="19"/>
        <v>0</v>
      </c>
      <c r="E586" s="490"/>
      <c r="F586" s="490"/>
      <c r="G586" s="490"/>
      <c r="H586" s="490"/>
      <c r="I586" s="491">
        <v>4482</v>
      </c>
      <c r="J586" s="490"/>
      <c r="K586" s="278">
        <f t="shared" si="18"/>
        <v>0</v>
      </c>
    </row>
    <row r="587" spans="1:11" x14ac:dyDescent="0.3">
      <c r="A587" s="490">
        <v>1846500840</v>
      </c>
      <c r="B587" s="490" t="s">
        <v>188</v>
      </c>
      <c r="C587" s="491">
        <v>140400</v>
      </c>
      <c r="D587" s="491">
        <f t="shared" si="19"/>
        <v>58500</v>
      </c>
      <c r="E587" s="490"/>
      <c r="F587" s="491">
        <v>140400</v>
      </c>
      <c r="G587" s="490"/>
      <c r="H587" s="490"/>
      <c r="I587" s="491">
        <v>87900</v>
      </c>
      <c r="J587" s="490"/>
      <c r="K587" s="278">
        <f t="shared" si="18"/>
        <v>0</v>
      </c>
    </row>
    <row r="588" spans="1:11" x14ac:dyDescent="0.3">
      <c r="A588" s="490">
        <v>1846500842</v>
      </c>
      <c r="B588" s="490" t="s">
        <v>189</v>
      </c>
      <c r="C588" s="491">
        <v>2350000</v>
      </c>
      <c r="D588" s="491">
        <f t="shared" si="19"/>
        <v>979166.66666666674</v>
      </c>
      <c r="E588" s="491">
        <v>1616991</v>
      </c>
      <c r="F588" s="491">
        <v>733009</v>
      </c>
      <c r="G588" s="490"/>
      <c r="H588" s="490">
        <v>68.81</v>
      </c>
      <c r="I588" s="491">
        <v>2854774</v>
      </c>
      <c r="J588" s="490"/>
      <c r="K588" s="278">
        <f t="shared" si="18"/>
        <v>1616991</v>
      </c>
    </row>
    <row r="589" spans="1:11" x14ac:dyDescent="0.3">
      <c r="A589" s="490">
        <v>1846500843</v>
      </c>
      <c r="B589" s="490" t="s">
        <v>190</v>
      </c>
      <c r="C589" s="491">
        <v>450000</v>
      </c>
      <c r="D589" s="491">
        <f t="shared" si="19"/>
        <v>187500</v>
      </c>
      <c r="E589" s="491">
        <v>157435</v>
      </c>
      <c r="F589" s="491">
        <v>292565</v>
      </c>
      <c r="G589" s="490"/>
      <c r="H589" s="490">
        <v>34.99</v>
      </c>
      <c r="I589" s="491">
        <v>494755</v>
      </c>
      <c r="J589" s="490"/>
      <c r="K589" s="278">
        <f t="shared" si="18"/>
        <v>157435</v>
      </c>
    </row>
    <row r="590" spans="1:11" x14ac:dyDescent="0.3">
      <c r="A590" s="490">
        <v>1846700840</v>
      </c>
      <c r="B590" s="490" t="s">
        <v>193</v>
      </c>
      <c r="C590" s="491">
        <v>206000</v>
      </c>
      <c r="D590" s="491">
        <f t="shared" si="19"/>
        <v>85833.333333333343</v>
      </c>
      <c r="E590" s="490"/>
      <c r="F590" s="491">
        <v>206000</v>
      </c>
      <c r="G590" s="490"/>
      <c r="H590" s="490"/>
      <c r="I590" s="491">
        <v>225980</v>
      </c>
      <c r="J590" s="490"/>
      <c r="K590" s="278">
        <f t="shared" si="18"/>
        <v>0</v>
      </c>
    </row>
    <row r="591" spans="1:11" x14ac:dyDescent="0.3">
      <c r="A591" s="490">
        <v>1846700841</v>
      </c>
      <c r="B591" s="490" t="s">
        <v>194</v>
      </c>
      <c r="C591" s="491">
        <v>40000</v>
      </c>
      <c r="D591" s="491">
        <f t="shared" si="19"/>
        <v>16666.666666666668</v>
      </c>
      <c r="E591" s="491">
        <v>99076</v>
      </c>
      <c r="F591" s="490"/>
      <c r="G591" s="491">
        <v>59076</v>
      </c>
      <c r="H591" s="490">
        <v>247.69</v>
      </c>
      <c r="I591" s="491">
        <v>216522</v>
      </c>
      <c r="J591" s="490"/>
      <c r="K591" s="278">
        <f t="shared" si="18"/>
        <v>99076</v>
      </c>
    </row>
    <row r="592" spans="1:11" x14ac:dyDescent="0.3">
      <c r="A592" s="490">
        <v>1846700843</v>
      </c>
      <c r="B592" s="490" t="s">
        <v>196</v>
      </c>
      <c r="C592" s="491">
        <v>700000</v>
      </c>
      <c r="D592" s="491">
        <f t="shared" si="19"/>
        <v>291666.66666666669</v>
      </c>
      <c r="E592" s="491">
        <v>530447</v>
      </c>
      <c r="F592" s="491">
        <v>169553</v>
      </c>
      <c r="G592" s="490"/>
      <c r="H592" s="490">
        <v>75.78</v>
      </c>
      <c r="I592" s="491">
        <v>1199956</v>
      </c>
      <c r="J592" s="490">
        <v>-400000</v>
      </c>
      <c r="K592" s="278">
        <f t="shared" si="18"/>
        <v>130447</v>
      </c>
    </row>
    <row r="593" spans="1:11" x14ac:dyDescent="0.3">
      <c r="A593" s="490">
        <v>1846700845</v>
      </c>
      <c r="B593" s="490" t="s">
        <v>197</v>
      </c>
      <c r="C593" s="491">
        <v>40000</v>
      </c>
      <c r="D593" s="491">
        <f t="shared" si="19"/>
        <v>16666.666666666668</v>
      </c>
      <c r="E593" s="491">
        <v>18529</v>
      </c>
      <c r="F593" s="491">
        <v>21471</v>
      </c>
      <c r="G593" s="490"/>
      <c r="H593" s="490">
        <v>46.32</v>
      </c>
      <c r="I593" s="491">
        <v>52507</v>
      </c>
      <c r="K593" s="278">
        <f t="shared" si="18"/>
        <v>18529</v>
      </c>
    </row>
    <row r="594" spans="1:11" x14ac:dyDescent="0.3">
      <c r="A594" s="490">
        <v>1846700846</v>
      </c>
      <c r="B594" s="490" t="s">
        <v>198</v>
      </c>
      <c r="C594" s="491">
        <v>210000</v>
      </c>
      <c r="D594" s="491">
        <f t="shared" si="19"/>
        <v>87500</v>
      </c>
      <c r="E594" s="491">
        <v>37776</v>
      </c>
      <c r="F594" s="491">
        <v>172224</v>
      </c>
      <c r="G594" s="490"/>
      <c r="H594" s="490">
        <v>17.989999999999998</v>
      </c>
      <c r="I594" s="491">
        <v>21835</v>
      </c>
      <c r="K594" s="278">
        <f t="shared" si="18"/>
        <v>37776</v>
      </c>
    </row>
    <row r="595" spans="1:11" x14ac:dyDescent="0.3">
      <c r="A595" s="490">
        <v>1846700847</v>
      </c>
      <c r="B595" s="490" t="s">
        <v>199</v>
      </c>
      <c r="C595" s="491">
        <v>85000</v>
      </c>
      <c r="D595" s="491">
        <f t="shared" si="19"/>
        <v>35416.666666666664</v>
      </c>
      <c r="E595" s="491">
        <v>122699</v>
      </c>
      <c r="F595" s="490"/>
      <c r="G595" s="491">
        <v>37699</v>
      </c>
      <c r="H595" s="490">
        <v>144.35</v>
      </c>
      <c r="I595" s="491">
        <v>110973</v>
      </c>
      <c r="K595" s="278">
        <f t="shared" si="18"/>
        <v>122699</v>
      </c>
    </row>
    <row r="596" spans="1:11" x14ac:dyDescent="0.3">
      <c r="A596" s="490">
        <v>1846700848</v>
      </c>
      <c r="B596" s="490" t="s">
        <v>200</v>
      </c>
      <c r="C596" s="491">
        <v>70000</v>
      </c>
      <c r="D596" s="491">
        <f t="shared" si="19"/>
        <v>29166.666666666664</v>
      </c>
      <c r="E596" s="491">
        <v>33437</v>
      </c>
      <c r="F596" s="491">
        <v>36563</v>
      </c>
      <c r="G596" s="490"/>
      <c r="H596" s="490">
        <v>47.77</v>
      </c>
      <c r="I596" s="491">
        <v>69811</v>
      </c>
      <c r="K596" s="278">
        <f t="shared" si="18"/>
        <v>33437</v>
      </c>
    </row>
    <row r="597" spans="1:11" x14ac:dyDescent="0.3">
      <c r="A597" s="490">
        <v>1846800840</v>
      </c>
      <c r="B597" s="490" t="s">
        <v>556</v>
      </c>
      <c r="C597" s="491">
        <v>15000</v>
      </c>
      <c r="D597" s="491">
        <f t="shared" si="19"/>
        <v>6250</v>
      </c>
      <c r="E597" s="490"/>
      <c r="F597" s="491">
        <v>15000</v>
      </c>
      <c r="G597" s="490"/>
      <c r="H597" s="490"/>
      <c r="I597" s="491">
        <v>1623</v>
      </c>
      <c r="K597" s="278">
        <f t="shared" si="18"/>
        <v>0</v>
      </c>
    </row>
    <row r="598" spans="1:11" x14ac:dyDescent="0.3">
      <c r="A598" s="490">
        <v>1846800841</v>
      </c>
      <c r="B598" s="490" t="s">
        <v>202</v>
      </c>
      <c r="C598" s="491">
        <v>6000</v>
      </c>
      <c r="D598" s="491">
        <f t="shared" si="19"/>
        <v>2500</v>
      </c>
      <c r="E598" s="491">
        <v>87306</v>
      </c>
      <c r="F598" s="490"/>
      <c r="G598" s="491">
        <v>81306</v>
      </c>
      <c r="H598" s="491">
        <v>1455.1</v>
      </c>
      <c r="I598" s="491">
        <v>42699.75</v>
      </c>
      <c r="K598" s="278">
        <f t="shared" si="18"/>
        <v>87306</v>
      </c>
    </row>
    <row r="599" spans="1:11" x14ac:dyDescent="0.3">
      <c r="A599" s="490">
        <v>1846800843</v>
      </c>
      <c r="B599" s="490" t="s">
        <v>204</v>
      </c>
      <c r="C599" s="491">
        <v>5000</v>
      </c>
      <c r="D599" s="491">
        <f t="shared" si="19"/>
        <v>2083.3333333333335</v>
      </c>
      <c r="E599" s="490"/>
      <c r="F599" s="491">
        <v>5000</v>
      </c>
      <c r="G599" s="490"/>
      <c r="H599" s="490"/>
      <c r="I599" s="490"/>
      <c r="K599" s="278">
        <f t="shared" si="18"/>
        <v>0</v>
      </c>
    </row>
    <row r="600" spans="1:11" x14ac:dyDescent="0.3">
      <c r="A600" s="490">
        <v>1847100841</v>
      </c>
      <c r="B600" s="490" t="s">
        <v>205</v>
      </c>
      <c r="C600" s="491">
        <v>20000</v>
      </c>
      <c r="D600" s="491">
        <f t="shared" si="19"/>
        <v>8333.3333333333339</v>
      </c>
      <c r="E600" s="490"/>
      <c r="F600" s="491">
        <v>20000</v>
      </c>
      <c r="G600" s="490"/>
      <c r="H600" s="490"/>
      <c r="I600" s="490"/>
      <c r="K600" s="278">
        <f t="shared" si="18"/>
        <v>0</v>
      </c>
    </row>
    <row r="601" spans="1:11" x14ac:dyDescent="0.3">
      <c r="A601" s="490">
        <v>1847100842</v>
      </c>
      <c r="B601" s="490" t="s">
        <v>206</v>
      </c>
      <c r="C601" s="491">
        <v>12637</v>
      </c>
      <c r="D601" s="491">
        <f t="shared" si="19"/>
        <v>5265.4166666666661</v>
      </c>
      <c r="E601" s="491">
        <v>45364</v>
      </c>
      <c r="F601" s="490"/>
      <c r="G601" s="491">
        <v>32727</v>
      </c>
      <c r="H601" s="490">
        <v>358.98</v>
      </c>
      <c r="I601" s="491">
        <v>30052</v>
      </c>
      <c r="K601" s="278">
        <f t="shared" si="18"/>
        <v>45364</v>
      </c>
    </row>
    <row r="602" spans="1:11" x14ac:dyDescent="0.3">
      <c r="A602" s="490">
        <v>1847100845</v>
      </c>
      <c r="B602" s="490" t="s">
        <v>207</v>
      </c>
      <c r="C602" s="491">
        <v>20000</v>
      </c>
      <c r="D602" s="491">
        <f t="shared" si="19"/>
        <v>8333.3333333333339</v>
      </c>
      <c r="E602" s="491">
        <v>-1156</v>
      </c>
      <c r="F602" s="491">
        <v>21156</v>
      </c>
      <c r="G602" s="490"/>
      <c r="H602" s="490">
        <v>-5.78</v>
      </c>
      <c r="I602" s="490"/>
      <c r="K602" s="278">
        <f t="shared" si="18"/>
        <v>-1156</v>
      </c>
    </row>
    <row r="603" spans="1:11" x14ac:dyDescent="0.3">
      <c r="A603" s="490">
        <v>1847100846</v>
      </c>
      <c r="B603" s="490" t="s">
        <v>208</v>
      </c>
      <c r="C603" s="491">
        <v>272000</v>
      </c>
      <c r="D603" s="491">
        <f t="shared" si="19"/>
        <v>113333.33333333334</v>
      </c>
      <c r="E603" s="491">
        <v>114477</v>
      </c>
      <c r="F603" s="491">
        <v>157523</v>
      </c>
      <c r="G603" s="490"/>
      <c r="H603" s="490">
        <v>42.09</v>
      </c>
      <c r="I603" s="491">
        <v>287747</v>
      </c>
      <c r="K603" s="278">
        <f t="shared" si="18"/>
        <v>114477</v>
      </c>
    </row>
    <row r="604" spans="1:11" x14ac:dyDescent="0.3">
      <c r="A604" s="490">
        <v>1847100847</v>
      </c>
      <c r="B604" s="490" t="s">
        <v>209</v>
      </c>
      <c r="C604" s="491">
        <v>41000</v>
      </c>
      <c r="D604" s="491">
        <f t="shared" si="19"/>
        <v>17083.333333333332</v>
      </c>
      <c r="E604" s="490">
        <v>65.7</v>
      </c>
      <c r="F604" s="491">
        <v>40934.300000000003</v>
      </c>
      <c r="G604" s="490"/>
      <c r="H604" s="490">
        <v>0.16</v>
      </c>
      <c r="I604" s="491">
        <v>4019.7</v>
      </c>
      <c r="K604" s="278">
        <f t="shared" si="18"/>
        <v>65.7</v>
      </c>
    </row>
    <row r="605" spans="1:11" x14ac:dyDescent="0.3">
      <c r="A605" s="490">
        <v>1847300840</v>
      </c>
      <c r="B605" s="490" t="s">
        <v>557</v>
      </c>
      <c r="C605" s="491">
        <v>3000</v>
      </c>
      <c r="D605" s="491">
        <f t="shared" si="19"/>
        <v>1250</v>
      </c>
      <c r="E605" s="491">
        <v>2952</v>
      </c>
      <c r="F605" s="490">
        <v>48</v>
      </c>
      <c r="G605" s="490"/>
      <c r="H605" s="490">
        <v>98.4</v>
      </c>
      <c r="I605" s="491">
        <v>2585</v>
      </c>
      <c r="K605" s="278">
        <f t="shared" si="18"/>
        <v>2952</v>
      </c>
    </row>
    <row r="606" spans="1:11" x14ac:dyDescent="0.3">
      <c r="A606" s="490">
        <v>1847300841</v>
      </c>
      <c r="B606" s="490" t="s">
        <v>211</v>
      </c>
      <c r="C606" s="491">
        <v>240000</v>
      </c>
      <c r="D606" s="491">
        <f t="shared" si="19"/>
        <v>100000</v>
      </c>
      <c r="E606" s="490"/>
      <c r="F606" s="491">
        <v>240000</v>
      </c>
      <c r="G606" s="490"/>
      <c r="H606" s="490"/>
      <c r="I606" s="491">
        <v>140318</v>
      </c>
      <c r="K606" s="278">
        <f t="shared" si="18"/>
        <v>0</v>
      </c>
    </row>
    <row r="607" spans="1:11" x14ac:dyDescent="0.3">
      <c r="A607" s="490">
        <v>1848200840</v>
      </c>
      <c r="B607" s="490" t="s">
        <v>213</v>
      </c>
      <c r="C607" s="491">
        <v>4000</v>
      </c>
      <c r="D607" s="491">
        <f t="shared" si="19"/>
        <v>1666.6666666666665</v>
      </c>
      <c r="E607" s="490"/>
      <c r="F607" s="491">
        <v>4000</v>
      </c>
      <c r="G607" s="490"/>
      <c r="H607" s="490"/>
      <c r="I607" s="491">
        <v>3905.1</v>
      </c>
      <c r="K607" s="278">
        <f t="shared" si="18"/>
        <v>0</v>
      </c>
    </row>
    <row r="608" spans="1:11" x14ac:dyDescent="0.3">
      <c r="A608" s="490">
        <v>1848300840</v>
      </c>
      <c r="B608" s="490" t="s">
        <v>559</v>
      </c>
      <c r="C608" s="491">
        <v>5000</v>
      </c>
      <c r="D608" s="491">
        <f t="shared" si="19"/>
        <v>2083.3333333333335</v>
      </c>
      <c r="E608" s="490"/>
      <c r="F608" s="491">
        <v>5000</v>
      </c>
      <c r="G608" s="490"/>
      <c r="H608" s="490"/>
      <c r="I608" s="490"/>
      <c r="K608" s="278">
        <f t="shared" si="18"/>
        <v>0</v>
      </c>
    </row>
    <row r="609" spans="1:11" x14ac:dyDescent="0.3">
      <c r="A609" s="490">
        <v>1848500840</v>
      </c>
      <c r="B609" s="490" t="s">
        <v>562</v>
      </c>
      <c r="C609" s="490"/>
      <c r="D609" s="491">
        <f t="shared" si="19"/>
        <v>0</v>
      </c>
      <c r="E609" s="490"/>
      <c r="F609" s="490"/>
      <c r="G609" s="490"/>
      <c r="H609" s="490"/>
      <c r="I609" s="491">
        <v>1287</v>
      </c>
      <c r="J609" s="491">
        <v>1000</v>
      </c>
      <c r="K609" s="278">
        <f t="shared" si="18"/>
        <v>1000</v>
      </c>
    </row>
    <row r="610" spans="1:11" x14ac:dyDescent="0.3">
      <c r="A610" s="490">
        <v>1849000843</v>
      </c>
      <c r="B610" s="490" t="s">
        <v>215</v>
      </c>
      <c r="C610" s="491">
        <v>10000</v>
      </c>
      <c r="D610" s="491">
        <f t="shared" si="19"/>
        <v>4166.666666666667</v>
      </c>
      <c r="E610" s="490"/>
      <c r="F610" s="491">
        <v>10000</v>
      </c>
      <c r="G610" s="490"/>
      <c r="H610" s="490"/>
      <c r="I610" s="491">
        <v>6900</v>
      </c>
      <c r="J610" s="490"/>
      <c r="K610" s="278">
        <f t="shared" si="18"/>
        <v>0</v>
      </c>
    </row>
    <row r="611" spans="1:11" x14ac:dyDescent="0.3">
      <c r="A611" s="490">
        <v>1849000844</v>
      </c>
      <c r="B611" s="490" t="s">
        <v>216</v>
      </c>
      <c r="C611" s="491">
        <v>5000</v>
      </c>
      <c r="D611" s="491">
        <f t="shared" si="19"/>
        <v>2083.3333333333335</v>
      </c>
      <c r="E611" s="490"/>
      <c r="F611" s="491">
        <v>5000</v>
      </c>
      <c r="G611" s="490"/>
      <c r="H611" s="490"/>
      <c r="I611" s="490"/>
      <c r="J611" s="490"/>
      <c r="K611" s="278">
        <f t="shared" si="18"/>
        <v>0</v>
      </c>
    </row>
    <row r="612" spans="1:11" x14ac:dyDescent="0.3">
      <c r="A612" s="490">
        <v>1849000845</v>
      </c>
      <c r="B612" s="490" t="s">
        <v>563</v>
      </c>
      <c r="C612" s="491">
        <v>10000</v>
      </c>
      <c r="D612" s="491">
        <f t="shared" si="19"/>
        <v>4166.666666666667</v>
      </c>
      <c r="E612" s="491">
        <v>19744</v>
      </c>
      <c r="F612" s="490"/>
      <c r="G612" s="491">
        <v>9744</v>
      </c>
      <c r="H612" s="490">
        <v>197.44</v>
      </c>
      <c r="I612" s="491">
        <v>64486</v>
      </c>
      <c r="J612" s="490"/>
      <c r="K612" s="278">
        <f t="shared" si="18"/>
        <v>19744</v>
      </c>
    </row>
    <row r="613" spans="1:11" x14ac:dyDescent="0.3">
      <c r="A613" s="490">
        <v>1849000846</v>
      </c>
      <c r="B613" s="490" t="s">
        <v>564</v>
      </c>
      <c r="C613" s="490"/>
      <c r="D613" s="491">
        <f t="shared" si="19"/>
        <v>0</v>
      </c>
      <c r="E613" s="491">
        <v>146820</v>
      </c>
      <c r="F613" s="490"/>
      <c r="G613" s="491">
        <v>146820</v>
      </c>
      <c r="H613" s="490"/>
      <c r="I613" s="491">
        <v>383717</v>
      </c>
      <c r="J613" s="490"/>
      <c r="K613" s="278">
        <f t="shared" si="18"/>
        <v>146820</v>
      </c>
    </row>
    <row r="614" spans="1:11" x14ac:dyDescent="0.3">
      <c r="A614" s="490">
        <v>1849000847</v>
      </c>
      <c r="B614" s="490" t="s">
        <v>218</v>
      </c>
      <c r="C614" s="491">
        <v>5000</v>
      </c>
      <c r="D614" s="491">
        <f t="shared" si="19"/>
        <v>2083.3333333333335</v>
      </c>
      <c r="E614" s="490"/>
      <c r="F614" s="491">
        <v>5000</v>
      </c>
      <c r="G614" s="490"/>
      <c r="H614" s="490"/>
      <c r="I614" s="490"/>
      <c r="J614" s="490"/>
      <c r="K614" s="278">
        <f t="shared" si="18"/>
        <v>0</v>
      </c>
    </row>
    <row r="615" spans="1:11" x14ac:dyDescent="0.3">
      <c r="A615" s="490">
        <v>1849200840</v>
      </c>
      <c r="B615" s="490" t="s">
        <v>219</v>
      </c>
      <c r="C615" s="491">
        <v>33000</v>
      </c>
      <c r="D615" s="491">
        <f t="shared" si="19"/>
        <v>13750</v>
      </c>
      <c r="E615" s="490"/>
      <c r="F615" s="491">
        <v>33000</v>
      </c>
      <c r="G615" s="490"/>
      <c r="H615" s="490"/>
      <c r="I615" s="491">
        <v>9586</v>
      </c>
      <c r="J615" s="490"/>
      <c r="K615" s="278">
        <f t="shared" si="18"/>
        <v>0</v>
      </c>
    </row>
    <row r="616" spans="1:11" x14ac:dyDescent="0.3">
      <c r="A616" s="490">
        <v>1851000810</v>
      </c>
      <c r="B616" s="490" t="s">
        <v>565</v>
      </c>
      <c r="C616" s="491">
        <v>1582118</v>
      </c>
      <c r="D616" s="491">
        <f t="shared" si="19"/>
        <v>659215.83333333326</v>
      </c>
      <c r="E616" s="491">
        <v>572445</v>
      </c>
      <c r="F616" s="491">
        <v>1009673</v>
      </c>
      <c r="G616" s="490"/>
      <c r="H616" s="490">
        <v>36.18</v>
      </c>
      <c r="I616" s="491">
        <v>1378632</v>
      </c>
      <c r="J616" s="490"/>
      <c r="K616" s="278">
        <f t="shared" si="18"/>
        <v>572445</v>
      </c>
    </row>
    <row r="617" spans="1:11" x14ac:dyDescent="0.3">
      <c r="A617" s="490">
        <v>1861000110</v>
      </c>
      <c r="B617" s="490" t="s">
        <v>567</v>
      </c>
      <c r="C617" s="491">
        <v>70727.91</v>
      </c>
      <c r="D617" s="491">
        <f t="shared" si="19"/>
        <v>29469.962500000001</v>
      </c>
      <c r="E617" s="491">
        <v>31953.13</v>
      </c>
      <c r="F617" s="491">
        <v>38774.78</v>
      </c>
      <c r="G617" s="490"/>
      <c r="H617" s="490">
        <v>45.18</v>
      </c>
      <c r="I617" s="491">
        <v>75953.22</v>
      </c>
      <c r="J617" s="490"/>
      <c r="K617" s="278">
        <f t="shared" si="18"/>
        <v>31953.13</v>
      </c>
    </row>
    <row r="618" spans="1:11" x14ac:dyDescent="0.3">
      <c r="A618" s="490">
        <v>1861000780</v>
      </c>
      <c r="B618" s="490" t="s">
        <v>568</v>
      </c>
      <c r="C618" s="491">
        <v>400000</v>
      </c>
      <c r="D618" s="491">
        <f t="shared" si="19"/>
        <v>166666.66666666669</v>
      </c>
      <c r="E618" s="491">
        <v>1869.9</v>
      </c>
      <c r="F618" s="491">
        <v>398130.1</v>
      </c>
      <c r="G618" s="490"/>
      <c r="H618" s="490">
        <v>0.47</v>
      </c>
      <c r="I618" s="491">
        <v>118137</v>
      </c>
      <c r="J618" s="490"/>
      <c r="K618" s="278">
        <f t="shared" si="18"/>
        <v>1869.9</v>
      </c>
    </row>
    <row r="619" spans="1:11" x14ac:dyDescent="0.3">
      <c r="A619" s="490">
        <v>1871000110</v>
      </c>
      <c r="B619" s="490" t="s">
        <v>569</v>
      </c>
      <c r="C619" s="491">
        <v>499948.98</v>
      </c>
      <c r="D619" s="491">
        <f t="shared" si="19"/>
        <v>208312.07500000001</v>
      </c>
      <c r="E619" s="491">
        <v>292404</v>
      </c>
      <c r="F619" s="491">
        <v>207544.98</v>
      </c>
      <c r="G619" s="490"/>
      <c r="H619" s="490">
        <v>58.49</v>
      </c>
      <c r="I619" s="491">
        <v>683587.78</v>
      </c>
      <c r="J619" s="490"/>
      <c r="K619" s="278">
        <f t="shared" si="18"/>
        <v>292404</v>
      </c>
    </row>
    <row r="620" spans="1:11" x14ac:dyDescent="0.3">
      <c r="A620" s="490">
        <v>1871000750</v>
      </c>
      <c r="B620" s="490" t="s">
        <v>570</v>
      </c>
      <c r="C620" s="491">
        <v>200000</v>
      </c>
      <c r="D620" s="491">
        <f t="shared" si="19"/>
        <v>83333.333333333343</v>
      </c>
      <c r="E620" s="491">
        <v>145596.59</v>
      </c>
      <c r="F620" s="491">
        <v>54403.41</v>
      </c>
      <c r="G620" s="490"/>
      <c r="H620" s="490">
        <v>72.8</v>
      </c>
      <c r="I620" s="491">
        <v>357044.62</v>
      </c>
      <c r="J620" s="490"/>
      <c r="K620" s="278">
        <f t="shared" si="18"/>
        <v>145596.59</v>
      </c>
    </row>
    <row r="621" spans="1:11" x14ac:dyDescent="0.3">
      <c r="A621" s="490">
        <v>1871000780</v>
      </c>
      <c r="B621" s="490" t="s">
        <v>571</v>
      </c>
      <c r="C621" s="491">
        <v>20000</v>
      </c>
      <c r="D621" s="491">
        <f t="shared" si="19"/>
        <v>8333.3333333333339</v>
      </c>
      <c r="E621" s="491">
        <v>42439</v>
      </c>
      <c r="F621" s="490"/>
      <c r="G621" s="491">
        <v>22439</v>
      </c>
      <c r="H621" s="490">
        <v>212.2</v>
      </c>
      <c r="I621" s="491">
        <v>14818.2</v>
      </c>
      <c r="J621" s="491">
        <v>3859.8</v>
      </c>
      <c r="K621" s="278">
        <f t="shared" si="18"/>
        <v>46298.8</v>
      </c>
    </row>
    <row r="622" spans="1:11" x14ac:dyDescent="0.3">
      <c r="A622" s="490">
        <v>1932000420</v>
      </c>
      <c r="B622" s="490" t="s">
        <v>251</v>
      </c>
      <c r="C622" s="491">
        <v>11000</v>
      </c>
      <c r="D622" s="491">
        <f t="shared" si="19"/>
        <v>4583.333333333333</v>
      </c>
      <c r="E622" s="491">
        <v>2303.52</v>
      </c>
      <c r="F622" s="491">
        <v>8696.48</v>
      </c>
      <c r="G622" s="490"/>
      <c r="H622" s="490">
        <v>20.94</v>
      </c>
      <c r="I622" s="491">
        <v>14743.17</v>
      </c>
      <c r="J622" s="490"/>
      <c r="K622" s="278">
        <f t="shared" si="18"/>
        <v>2303.52</v>
      </c>
    </row>
    <row r="623" spans="1:11" x14ac:dyDescent="0.3">
      <c r="A623" s="490">
        <v>1932000780</v>
      </c>
      <c r="B623" s="490" t="s">
        <v>228</v>
      </c>
      <c r="C623" s="491">
        <v>39000</v>
      </c>
      <c r="D623" s="491">
        <f t="shared" si="19"/>
        <v>16250</v>
      </c>
      <c r="E623" s="491">
        <v>9836</v>
      </c>
      <c r="F623" s="491">
        <v>29164</v>
      </c>
      <c r="G623" s="490"/>
      <c r="H623" s="490">
        <v>25.22</v>
      </c>
      <c r="I623" s="491">
        <v>19732</v>
      </c>
      <c r="J623" s="490"/>
      <c r="K623" s="278">
        <f t="shared" si="18"/>
        <v>9836</v>
      </c>
    </row>
    <row r="624" spans="1:11" x14ac:dyDescent="0.3">
      <c r="A624" s="490">
        <v>1972000694</v>
      </c>
      <c r="B624" s="490" t="s">
        <v>574</v>
      </c>
      <c r="C624" s="490"/>
      <c r="D624" s="491">
        <f t="shared" si="19"/>
        <v>0</v>
      </c>
      <c r="E624" s="490"/>
      <c r="F624" s="490"/>
      <c r="G624" s="490"/>
      <c r="H624" s="490"/>
      <c r="I624" s="491">
        <v>3807456.18</v>
      </c>
      <c r="J624" s="490"/>
      <c r="K624" s="278">
        <f t="shared" si="18"/>
        <v>0</v>
      </c>
    </row>
    <row r="625" spans="1:11" x14ac:dyDescent="0.3">
      <c r="A625" s="490">
        <v>1972000751</v>
      </c>
      <c r="B625" s="490" t="s">
        <v>575</v>
      </c>
      <c r="C625" s="491">
        <v>75000</v>
      </c>
      <c r="D625" s="491">
        <f t="shared" si="19"/>
        <v>31250</v>
      </c>
      <c r="E625" s="491">
        <v>28080</v>
      </c>
      <c r="F625" s="491">
        <v>46920</v>
      </c>
      <c r="G625" s="490"/>
      <c r="H625" s="490">
        <v>37.44</v>
      </c>
      <c r="I625" s="491">
        <v>51480</v>
      </c>
      <c r="J625" s="490"/>
      <c r="K625" s="278">
        <f t="shared" si="18"/>
        <v>28080</v>
      </c>
    </row>
    <row r="626" spans="1:11" x14ac:dyDescent="0.3">
      <c r="A626" s="490">
        <v>1990000210</v>
      </c>
      <c r="B626" s="490" t="s">
        <v>576</v>
      </c>
      <c r="C626" s="490"/>
      <c r="D626" s="491">
        <f t="shared" si="19"/>
        <v>0</v>
      </c>
      <c r="E626" s="490"/>
      <c r="F626" s="490"/>
      <c r="G626" s="490"/>
      <c r="H626" s="490"/>
      <c r="I626" s="491">
        <v>-18825</v>
      </c>
      <c r="J626" s="490"/>
      <c r="K626" s="278">
        <f t="shared" si="18"/>
        <v>0</v>
      </c>
    </row>
    <row r="627" spans="1:11" x14ac:dyDescent="0.3">
      <c r="A627" s="490">
        <v>1990000310</v>
      </c>
      <c r="B627" s="490" t="s">
        <v>577</v>
      </c>
      <c r="C627" s="491">
        <v>26278745.48</v>
      </c>
      <c r="D627" s="491">
        <f t="shared" si="19"/>
        <v>10949477.283333333</v>
      </c>
      <c r="E627" s="491">
        <v>9544182.8900000006</v>
      </c>
      <c r="F627" s="491">
        <v>16734562.59</v>
      </c>
      <c r="G627" s="490"/>
      <c r="H627" s="490">
        <v>36.32</v>
      </c>
      <c r="I627" s="491">
        <v>22813776.710000001</v>
      </c>
      <c r="J627" s="490">
        <v>100000</v>
      </c>
      <c r="K627" s="278">
        <f t="shared" si="18"/>
        <v>9644182.8900000006</v>
      </c>
    </row>
    <row r="628" spans="1:11" x14ac:dyDescent="0.3">
      <c r="A628" s="490">
        <v>1991000320</v>
      </c>
      <c r="B628" s="490" t="s">
        <v>578</v>
      </c>
      <c r="C628" s="491">
        <v>770000</v>
      </c>
      <c r="D628" s="491">
        <f t="shared" si="19"/>
        <v>320833.33333333331</v>
      </c>
      <c r="E628" s="491">
        <v>2074004.35</v>
      </c>
      <c r="F628" s="490"/>
      <c r="G628" s="491">
        <v>1304004.3500000001</v>
      </c>
      <c r="H628" s="490">
        <v>269.35000000000002</v>
      </c>
      <c r="I628" s="491">
        <v>1554441.39</v>
      </c>
      <c r="J628" s="490"/>
      <c r="K628" s="278">
        <f t="shared" si="18"/>
        <v>2074004.35</v>
      </c>
    </row>
    <row r="629" spans="1:11" x14ac:dyDescent="0.3">
      <c r="A629" s="490">
        <v>1994000980</v>
      </c>
      <c r="B629" s="490" t="s">
        <v>579</v>
      </c>
      <c r="C629" s="491">
        <v>300000</v>
      </c>
      <c r="D629" s="491">
        <f t="shared" si="19"/>
        <v>125000</v>
      </c>
      <c r="E629" s="490"/>
      <c r="F629" s="491">
        <v>300000</v>
      </c>
      <c r="G629" s="490"/>
      <c r="H629" s="490"/>
      <c r="I629" s="491">
        <v>1321835.1000000001</v>
      </c>
      <c r="J629" s="491">
        <v>1200000</v>
      </c>
      <c r="K629" s="278">
        <f t="shared" si="18"/>
        <v>1200000</v>
      </c>
    </row>
    <row r="630" spans="1:11" x14ac:dyDescent="0.3">
      <c r="A630" s="490">
        <v>1995000860</v>
      </c>
      <c r="B630" s="490" t="s">
        <v>3</v>
      </c>
      <c r="C630" s="491">
        <v>12957480.02</v>
      </c>
      <c r="D630" s="491">
        <f t="shared" si="19"/>
        <v>5398950.0083333338</v>
      </c>
      <c r="E630" s="490"/>
      <c r="F630" s="491">
        <v>12957480.02</v>
      </c>
      <c r="G630" s="490"/>
      <c r="H630" s="490"/>
      <c r="I630" s="491">
        <v>12466175</v>
      </c>
      <c r="J630" s="490"/>
      <c r="K630" s="278">
        <v>11601000</v>
      </c>
    </row>
    <row r="631" spans="1:11" x14ac:dyDescent="0.3">
      <c r="A631" s="490">
        <v>1999000310</v>
      </c>
      <c r="B631" s="490" t="s">
        <v>580</v>
      </c>
      <c r="C631" s="491">
        <v>89610.26</v>
      </c>
      <c r="D631" s="491">
        <f t="shared" si="19"/>
        <v>37337.60833333333</v>
      </c>
      <c r="E631" s="490"/>
      <c r="F631" s="491">
        <v>89610.26</v>
      </c>
      <c r="G631" s="490"/>
      <c r="H631" s="490"/>
      <c r="I631" s="491">
        <v>115042.04</v>
      </c>
      <c r="J631" s="490"/>
      <c r="K631" s="278">
        <f t="shared" si="18"/>
        <v>0</v>
      </c>
    </row>
    <row r="632" spans="1:11" x14ac:dyDescent="0.3">
      <c r="A632" s="490">
        <v>1999100980</v>
      </c>
      <c r="B632" s="490" t="s">
        <v>16</v>
      </c>
      <c r="C632" s="490"/>
      <c r="D632" s="491">
        <f t="shared" si="19"/>
        <v>0</v>
      </c>
      <c r="E632" s="491">
        <v>1700000</v>
      </c>
      <c r="F632" s="490"/>
      <c r="G632" s="491">
        <v>1700000</v>
      </c>
      <c r="H632" s="490"/>
      <c r="I632" s="491">
        <v>8259000</v>
      </c>
      <c r="J632" s="490"/>
      <c r="K632" s="278">
        <f t="shared" si="18"/>
        <v>1700000</v>
      </c>
    </row>
    <row r="633" spans="1:11" x14ac:dyDescent="0.3">
      <c r="A633" s="490">
        <v>1999900980</v>
      </c>
      <c r="B633" s="490" t="s">
        <v>3534</v>
      </c>
      <c r="C633" s="491">
        <v>50000</v>
      </c>
      <c r="D633" s="491">
        <f t="shared" si="19"/>
        <v>20833.333333333336</v>
      </c>
      <c r="E633" s="491">
        <v>14810</v>
      </c>
      <c r="F633" s="491">
        <v>35190</v>
      </c>
      <c r="G633" s="490"/>
      <c r="H633" s="490">
        <v>29.62</v>
      </c>
      <c r="I633" s="490"/>
      <c r="J633" s="491">
        <v>5000</v>
      </c>
      <c r="K633" s="278">
        <f t="shared" si="18"/>
        <v>19810</v>
      </c>
    </row>
    <row r="634" spans="1:11" x14ac:dyDescent="0.3">
      <c r="A634" s="490"/>
      <c r="B634" s="490" t="s">
        <v>663</v>
      </c>
      <c r="C634" s="491">
        <v>180022299.36000001</v>
      </c>
      <c r="D634" s="491">
        <f t="shared" si="19"/>
        <v>75009291.400000006</v>
      </c>
      <c r="E634" s="491">
        <v>70164223.989999995</v>
      </c>
      <c r="F634" s="491">
        <v>118234023.98</v>
      </c>
      <c r="G634" s="491">
        <v>8375948.6100000003</v>
      </c>
      <c r="H634" s="490">
        <v>38.979999999999997</v>
      </c>
      <c r="I634" s="491">
        <v>231339655.91</v>
      </c>
      <c r="J634" s="491">
        <v>1795133.65</v>
      </c>
    </row>
    <row r="635" spans="1:11" x14ac:dyDescent="0.3">
      <c r="A635" s="490"/>
      <c r="B635" s="490" t="s">
        <v>755</v>
      </c>
      <c r="C635" s="491">
        <v>-206661.27</v>
      </c>
      <c r="D635" s="491">
        <f t="shared" si="19"/>
        <v>-86108.862499999988</v>
      </c>
      <c r="E635" s="491">
        <v>732706.4</v>
      </c>
      <c r="F635" s="491">
        <v>-2231097.73</v>
      </c>
      <c r="G635" s="491">
        <v>-1291730.06</v>
      </c>
      <c r="H635" s="490">
        <v>-354.54</v>
      </c>
      <c r="I635" s="491">
        <v>-13700657.550000001</v>
      </c>
      <c r="J635" s="491">
        <v>1795133.65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rightToLeft="1" workbookViewId="0">
      <selection activeCell="D76" sqref="D76"/>
    </sheetView>
  </sheetViews>
  <sheetFormatPr defaultRowHeight="14" x14ac:dyDescent="0.3"/>
  <cols>
    <col min="1" max="1" width="29.5" style="354" customWidth="1"/>
    <col min="2" max="2" width="12.58203125" style="356" customWidth="1"/>
    <col min="3" max="3" width="12.58203125" style="356" hidden="1" customWidth="1"/>
    <col min="4" max="4" width="12.58203125" style="356" customWidth="1"/>
    <col min="5" max="5" width="12.58203125" style="356" hidden="1" customWidth="1"/>
    <col min="6" max="6" width="11" style="356" customWidth="1"/>
  </cols>
  <sheetData>
    <row r="1" spans="1:6" ht="15.5" x14ac:dyDescent="0.35">
      <c r="A1" s="547" t="s">
        <v>2248</v>
      </c>
      <c r="B1" s="547"/>
      <c r="C1" s="547"/>
      <c r="D1" s="547"/>
      <c r="E1" s="547"/>
      <c r="F1" s="547"/>
    </row>
    <row r="3" spans="1:6" ht="28" hidden="1" x14ac:dyDescent="0.3">
      <c r="A3" s="362" t="s">
        <v>32</v>
      </c>
      <c r="B3" s="359" t="s">
        <v>606</v>
      </c>
      <c r="C3" s="359" t="s">
        <v>2218</v>
      </c>
      <c r="D3" s="359" t="s">
        <v>2249</v>
      </c>
      <c r="E3" s="359" t="s">
        <v>2250</v>
      </c>
      <c r="F3" s="359" t="s">
        <v>2251</v>
      </c>
    </row>
    <row r="4" spans="1:6" hidden="1" x14ac:dyDescent="0.3">
      <c r="A4" s="353"/>
      <c r="B4" s="359"/>
      <c r="C4" s="359"/>
      <c r="D4" s="359"/>
      <c r="E4" s="359"/>
      <c r="F4" s="359"/>
    </row>
    <row r="5" spans="1:6" hidden="1" x14ac:dyDescent="0.3">
      <c r="A5" s="354" t="s">
        <v>2219</v>
      </c>
      <c r="B5" s="356">
        <v>54038</v>
      </c>
      <c r="C5" s="356">
        <f>'ריכוז תקציב 2020'!I6/1000</f>
        <v>57567.526399999995</v>
      </c>
      <c r="D5" s="356">
        <f>'ריכוז תקציב 2020'!J6/1000</f>
        <v>51967.526399999995</v>
      </c>
      <c r="E5" s="356">
        <f>C5-B5</f>
        <v>3529.5263999999952</v>
      </c>
      <c r="F5" s="356">
        <f>D5-B5</f>
        <v>-2070.4736000000048</v>
      </c>
    </row>
    <row r="6" spans="1:6" hidden="1" x14ac:dyDescent="0.3">
      <c r="A6" s="354" t="s">
        <v>14</v>
      </c>
      <c r="B6" s="356">
        <v>20</v>
      </c>
      <c r="C6" s="356">
        <f>'ריכוז תקציב 2020'!I7/1000</f>
        <v>5</v>
      </c>
      <c r="D6" s="356">
        <f>'ריכוז תקציב 2020'!J7/1000</f>
        <v>5</v>
      </c>
      <c r="E6" s="356">
        <f>C6-B6</f>
        <v>-15</v>
      </c>
      <c r="F6" s="356">
        <f t="shared" ref="F6:F19" si="0">D6-B6</f>
        <v>-15</v>
      </c>
    </row>
    <row r="7" spans="1:6" hidden="1" x14ac:dyDescent="0.3">
      <c r="A7" s="354" t="s">
        <v>10</v>
      </c>
      <c r="B7" s="356">
        <v>9351</v>
      </c>
      <c r="C7" s="356">
        <f>'ריכוז תקציב 2020'!I9/1000</f>
        <v>9903.4480000000003</v>
      </c>
      <c r="D7" s="356">
        <f>'ריכוז תקציב 2020'!J9/1000</f>
        <v>8639.3733333333366</v>
      </c>
      <c r="E7" s="356">
        <f>C7-B7</f>
        <v>552.44800000000032</v>
      </c>
      <c r="F7" s="356">
        <f t="shared" si="0"/>
        <v>-711.62666666666337</v>
      </c>
    </row>
    <row r="8" spans="1:6" hidden="1" x14ac:dyDescent="0.3">
      <c r="A8" s="354" t="s">
        <v>13</v>
      </c>
      <c r="B8" s="356">
        <v>288</v>
      </c>
      <c r="C8" s="356">
        <f>'ריכוז תקציב 2020'!I10/1000</f>
        <v>275</v>
      </c>
      <c r="D8" s="356">
        <f>'ריכוז תקציב 2020'!J10/1000</f>
        <v>275</v>
      </c>
      <c r="E8" s="356">
        <f>C8-B8</f>
        <v>-13</v>
      </c>
      <c r="F8" s="356">
        <f t="shared" si="0"/>
        <v>-13</v>
      </c>
    </row>
    <row r="9" spans="1:6" hidden="1" x14ac:dyDescent="0.3">
      <c r="A9" s="354" t="s">
        <v>4</v>
      </c>
      <c r="B9" s="356">
        <v>12545</v>
      </c>
      <c r="C9" s="356">
        <f>'ריכוז תקציב 2020'!I8/1000</f>
        <v>15094.52332</v>
      </c>
      <c r="D9" s="356">
        <f>'ריכוז תקציב 2020'!J8/1000</f>
        <v>13693.748320000001</v>
      </c>
      <c r="E9" s="356">
        <f>C9-B9</f>
        <v>2549.5233200000002</v>
      </c>
      <c r="F9" s="356">
        <f t="shared" si="0"/>
        <v>1148.7483200000006</v>
      </c>
    </row>
    <row r="10" spans="1:6" ht="14.5" hidden="1" thickBot="1" x14ac:dyDescent="0.35">
      <c r="A10" s="360" t="s">
        <v>2220</v>
      </c>
      <c r="B10" s="361">
        <f>SUM(B5:B9)</f>
        <v>76242</v>
      </c>
      <c r="C10" s="361">
        <f>SUM(C5:C9)</f>
        <v>82845.497719999985</v>
      </c>
      <c r="D10" s="361">
        <f>SUM(D5:D9)</f>
        <v>74580.648053333338</v>
      </c>
      <c r="E10" s="361">
        <f>SUM(E5:E9)</f>
        <v>6603.4977199999958</v>
      </c>
      <c r="F10" s="361">
        <f>SUM(F5:F9)</f>
        <v>-1661.3519466666676</v>
      </c>
    </row>
    <row r="11" spans="1:6" hidden="1" x14ac:dyDescent="0.3"/>
    <row r="12" spans="1:6" hidden="1" x14ac:dyDescent="0.3">
      <c r="A12" s="354" t="s">
        <v>11</v>
      </c>
      <c r="B12" s="356">
        <v>28140</v>
      </c>
      <c r="C12" s="356">
        <f>'ריכוז תקציב 2020'!I11/1000</f>
        <v>29782</v>
      </c>
      <c r="D12" s="356">
        <f>'ריכוז תקציב 2020'!J11/1000</f>
        <v>29028.041666666664</v>
      </c>
      <c r="E12" s="356">
        <f>C12-B12</f>
        <v>1642</v>
      </c>
      <c r="F12" s="356">
        <f t="shared" si="0"/>
        <v>888.04166666666424</v>
      </c>
    </row>
    <row r="13" spans="1:6" hidden="1" x14ac:dyDescent="0.3">
      <c r="A13" s="354" t="s">
        <v>12</v>
      </c>
      <c r="B13" s="356">
        <v>23109</v>
      </c>
      <c r="C13" s="356">
        <f>'ריכוז תקציב 2020'!I12/1000</f>
        <v>24367.673004675002</v>
      </c>
      <c r="D13" s="356">
        <f>'ריכוז תקציב 2020'!J12/1000</f>
        <v>24367.673004675002</v>
      </c>
      <c r="E13" s="356">
        <f t="shared" ref="E13:E19" si="1">C13-B13</f>
        <v>1258.6730046750017</v>
      </c>
      <c r="F13" s="356">
        <f t="shared" si="0"/>
        <v>1258.6730046750017</v>
      </c>
    </row>
    <row r="14" spans="1:6" hidden="1" x14ac:dyDescent="0.3">
      <c r="A14" s="354" t="s">
        <v>9</v>
      </c>
      <c r="B14" s="356">
        <v>6462</v>
      </c>
      <c r="C14" s="356">
        <f>'ריכוז תקציב 2020'!I13/1000</f>
        <v>4774.3419999999996</v>
      </c>
      <c r="D14" s="356">
        <f>'ריכוז תקציב 2020'!J13/1000</f>
        <v>4774.3419999999996</v>
      </c>
      <c r="E14" s="356">
        <f t="shared" si="1"/>
        <v>-1687.6580000000004</v>
      </c>
      <c r="F14" s="356">
        <f t="shared" si="0"/>
        <v>-1687.6580000000004</v>
      </c>
    </row>
    <row r="15" spans="1:6" hidden="1" x14ac:dyDescent="0.3">
      <c r="A15" s="354" t="s">
        <v>685</v>
      </c>
      <c r="B15" s="356">
        <v>28879</v>
      </c>
      <c r="C15" s="356">
        <f>'ריכוז תקציב 2020'!I15/1000</f>
        <v>29979</v>
      </c>
      <c r="D15" s="356">
        <f>'ריכוז תקציב 2020'!J15/1000</f>
        <v>29979</v>
      </c>
      <c r="E15" s="356">
        <f t="shared" si="1"/>
        <v>1100</v>
      </c>
      <c r="F15" s="356">
        <f t="shared" si="0"/>
        <v>1100</v>
      </c>
    </row>
    <row r="16" spans="1:6" hidden="1" x14ac:dyDescent="0.3">
      <c r="A16" s="354" t="s">
        <v>2226</v>
      </c>
      <c r="B16" s="356">
        <v>1282</v>
      </c>
      <c r="C16" s="356">
        <f>'תקציב 2020'!P16/1000</f>
        <v>292.39999999999998</v>
      </c>
      <c r="D16" s="356">
        <f>'תקציב 2020'!S16/1000</f>
        <v>292.39999999999998</v>
      </c>
      <c r="E16" s="356">
        <f t="shared" si="1"/>
        <v>-989.6</v>
      </c>
      <c r="F16" s="356">
        <f t="shared" si="0"/>
        <v>-989.6</v>
      </c>
    </row>
    <row r="17" spans="1:6" hidden="1" x14ac:dyDescent="0.3">
      <c r="A17" s="354" t="s">
        <v>5</v>
      </c>
      <c r="B17" s="356">
        <v>1740</v>
      </c>
      <c r="C17" s="356">
        <f>('תקציב 2020'!P22+'תקציב 2020'!P23+'תקציב 2020'!P25+'תקציב 2020'!P26+'תקציב 2020'!P27)/1000</f>
        <v>1848.4659999999999</v>
      </c>
      <c r="D17" s="356">
        <f>('תקציב 2020'!S22+'תקציב 2020'!S23+'תקציב 2020'!S25+'תקציב 2020'!S26+'תקציב 2020'!S27)/1000</f>
        <v>1848.4659999999999</v>
      </c>
      <c r="E17" s="356">
        <f t="shared" si="1"/>
        <v>108.46599999999989</v>
      </c>
      <c r="F17" s="356">
        <f t="shared" si="0"/>
        <v>108.46599999999989</v>
      </c>
    </row>
    <row r="18" spans="1:6" hidden="1" x14ac:dyDescent="0.3">
      <c r="A18" s="354" t="s">
        <v>7</v>
      </c>
      <c r="B18" s="356">
        <v>0</v>
      </c>
      <c r="C18" s="356">
        <v>0</v>
      </c>
      <c r="D18" s="356">
        <f>('תקציב 2020'!S18+'תקציב 2020'!S19+'תקציב 2020'!S20+'תקציב 2020'!S21)/1000</f>
        <v>5550</v>
      </c>
      <c r="E18" s="356">
        <f t="shared" si="1"/>
        <v>0</v>
      </c>
      <c r="F18" s="356">
        <f t="shared" si="0"/>
        <v>5550</v>
      </c>
    </row>
    <row r="19" spans="1:6" hidden="1" x14ac:dyDescent="0.3">
      <c r="A19" s="354" t="s">
        <v>15</v>
      </c>
      <c r="B19" s="356">
        <v>918</v>
      </c>
      <c r="C19" s="356">
        <f>('תקציב 2020'!P240+'תקציב 2020'!P241+'תקציב 2020'!P60)/1000</f>
        <v>932</v>
      </c>
      <c r="D19" s="356">
        <f>('תקציב 2020'!S240+'תקציב 2020'!S241+'תקציב 2020'!S60)/1000</f>
        <v>932</v>
      </c>
      <c r="E19" s="356">
        <f t="shared" si="1"/>
        <v>14</v>
      </c>
      <c r="F19" s="356">
        <f t="shared" si="0"/>
        <v>14</v>
      </c>
    </row>
    <row r="20" spans="1:6" ht="14.5" hidden="1" thickBot="1" x14ac:dyDescent="0.35">
      <c r="A20" s="360" t="s">
        <v>2229</v>
      </c>
      <c r="B20" s="361">
        <f>SUM(B10:B19)</f>
        <v>166772</v>
      </c>
      <c r="C20" s="361">
        <f>SUM(C10:C19)</f>
        <v>174821.37872467499</v>
      </c>
      <c r="D20" s="361">
        <f>SUM(D10:D19)</f>
        <v>171352.57072467497</v>
      </c>
      <c r="E20" s="361">
        <f>SUM(E10:E19)</f>
        <v>8049.378724674998</v>
      </c>
      <c r="F20" s="361">
        <f>SUM(F10:F19)</f>
        <v>4580.570724674998</v>
      </c>
    </row>
    <row r="21" spans="1:6" hidden="1" x14ac:dyDescent="0.3">
      <c r="A21" s="355"/>
      <c r="B21" s="357"/>
      <c r="C21" s="357"/>
      <c r="D21" s="357"/>
      <c r="E21" s="357"/>
      <c r="F21" s="357"/>
    </row>
    <row r="22" spans="1:6" hidden="1" x14ac:dyDescent="0.3">
      <c r="A22" s="354" t="s">
        <v>2230</v>
      </c>
      <c r="B22" s="356">
        <v>0</v>
      </c>
      <c r="C22" s="356">
        <v>0</v>
      </c>
      <c r="D22" s="356">
        <v>0</v>
      </c>
      <c r="E22" s="356">
        <v>0</v>
      </c>
      <c r="F22" s="356">
        <f>D22-B22</f>
        <v>0</v>
      </c>
    </row>
    <row r="23" spans="1:6" hidden="1" x14ac:dyDescent="0.3">
      <c r="A23" s="354" t="s">
        <v>29</v>
      </c>
      <c r="B23" s="356">
        <v>900</v>
      </c>
      <c r="C23" s="356">
        <f>'ריכוז תקציב 2020'!I20/1000</f>
        <v>130</v>
      </c>
      <c r="D23" s="356">
        <f>'ריכוז תקציב 2020'!J20/1000</f>
        <v>680</v>
      </c>
      <c r="E23" s="356">
        <f>C23-B23</f>
        <v>-770</v>
      </c>
      <c r="F23" s="356">
        <f>D23-B23</f>
        <v>-220</v>
      </c>
    </row>
    <row r="24" spans="1:6" hidden="1" x14ac:dyDescent="0.3">
      <c r="A24" s="354" t="s">
        <v>2231</v>
      </c>
      <c r="B24" s="356">
        <v>13043</v>
      </c>
      <c r="C24" s="356">
        <f>'ריכוז תקציב 2020'!I18/1000</f>
        <v>13000</v>
      </c>
      <c r="D24" s="356">
        <f>'ריכוז תקציב 2020'!J18/1000</f>
        <v>18600</v>
      </c>
      <c r="E24" s="356">
        <f>C24-B24</f>
        <v>-43</v>
      </c>
      <c r="F24" s="356">
        <f>D24-B24</f>
        <v>5557</v>
      </c>
    </row>
    <row r="25" spans="1:6" ht="14.5" hidden="1" thickBot="1" x14ac:dyDescent="0.35">
      <c r="A25" s="360" t="s">
        <v>2232</v>
      </c>
      <c r="B25" s="361">
        <f>SUM(B20:B24)+1</f>
        <v>180716</v>
      </c>
      <c r="C25" s="361">
        <f>SUM(C20:C24)</f>
        <v>187951.37872467499</v>
      </c>
      <c r="D25" s="361">
        <f>SUM(D20:D24)</f>
        <v>190632.57072467497</v>
      </c>
      <c r="E25" s="361">
        <f>SUM(E20:E24)+1</f>
        <v>7237.378724674998</v>
      </c>
      <c r="F25" s="361">
        <f>SUM(F20:F24)+1</f>
        <v>9918.5707246749989</v>
      </c>
    </row>
    <row r="26" spans="1:6" hidden="1" x14ac:dyDescent="0.3"/>
    <row r="27" spans="1:6" hidden="1" x14ac:dyDescent="0.3"/>
    <row r="28" spans="1:6" hidden="1" x14ac:dyDescent="0.3">
      <c r="A28" s="362" t="s">
        <v>33</v>
      </c>
    </row>
    <row r="29" spans="1:6" hidden="1" x14ac:dyDescent="0.3">
      <c r="A29" s="355"/>
    </row>
    <row r="30" spans="1:6" hidden="1" x14ac:dyDescent="0.3">
      <c r="A30" s="354" t="s">
        <v>17</v>
      </c>
      <c r="B30" s="356">
        <v>47935</v>
      </c>
      <c r="C30" s="356">
        <f>('ריכוז תקציב 2020'!I24+'ריכוז תקציב 2020'!I27)/1000</f>
        <v>48397.708002010615</v>
      </c>
      <c r="D30" s="356">
        <f>('ריכוז תקציב 2020'!J24+'ריכוז תקציב 2020'!J27)/1000</f>
        <v>48397.708002010615</v>
      </c>
      <c r="E30" s="356">
        <f>C30-B30</f>
        <v>462.70800201061502</v>
      </c>
      <c r="F30" s="356">
        <f>D30-B30</f>
        <v>462.70800201061502</v>
      </c>
    </row>
    <row r="31" spans="1:6" hidden="1" x14ac:dyDescent="0.3">
      <c r="A31" s="354" t="s">
        <v>18</v>
      </c>
      <c r="B31" s="356">
        <v>35292</v>
      </c>
      <c r="C31" s="356">
        <f>'ריכוז תקציב 2020'!I25/1000</f>
        <v>35909.131000000001</v>
      </c>
      <c r="D31" s="356">
        <f>'ריכוז תקציב 2020'!J25/1000</f>
        <v>35979.131000000001</v>
      </c>
      <c r="E31" s="356">
        <f>C31-B31</f>
        <v>617.13100000000122</v>
      </c>
      <c r="F31" s="356">
        <f>D31-B31</f>
        <v>687.13100000000122</v>
      </c>
    </row>
    <row r="32" spans="1:6" ht="14.5" hidden="1" thickBot="1" x14ac:dyDescent="0.35">
      <c r="A32" s="360" t="s">
        <v>2233</v>
      </c>
      <c r="B32" s="361">
        <f>SUM(B30:B31)</f>
        <v>83227</v>
      </c>
      <c r="C32" s="361">
        <f>SUM(C30:C31)</f>
        <v>84306.839002010616</v>
      </c>
      <c r="D32" s="361">
        <f>SUM(D30:D31)</f>
        <v>84376.839002010616</v>
      </c>
      <c r="E32" s="361">
        <f>SUM(E30:E31)</f>
        <v>1079.8390020106162</v>
      </c>
      <c r="F32" s="361">
        <f>SUM(F30:F31)</f>
        <v>1149.8390020106162</v>
      </c>
    </row>
    <row r="33" spans="1:6" hidden="1" x14ac:dyDescent="0.3">
      <c r="A33" s="355"/>
      <c r="B33" s="357"/>
      <c r="C33" s="357"/>
      <c r="D33" s="357"/>
      <c r="E33" s="357"/>
      <c r="F33" s="357"/>
    </row>
    <row r="34" spans="1:6" hidden="1" x14ac:dyDescent="0.3">
      <c r="A34" s="354" t="s">
        <v>21</v>
      </c>
      <c r="B34" s="356">
        <v>26516</v>
      </c>
      <c r="C34" s="356">
        <f>'ריכוז תקציב 2020'!I29/1000</f>
        <v>29383.020260000001</v>
      </c>
      <c r="D34" s="356">
        <f>'ריכוז תקציב 2020'!J29/1000</f>
        <v>29383.020260000001</v>
      </c>
      <c r="E34" s="356">
        <f>C34-B34</f>
        <v>2867.0202600000011</v>
      </c>
      <c r="F34" s="356">
        <f>D34-B34</f>
        <v>2867.0202600000011</v>
      </c>
    </row>
    <row r="35" spans="1:6" hidden="1" x14ac:dyDescent="0.3">
      <c r="A35" s="354" t="s">
        <v>22</v>
      </c>
      <c r="B35" s="356">
        <v>24621</v>
      </c>
      <c r="C35" s="356">
        <f>'ריכוז תקציב 2020'!I28/1000</f>
        <v>26342.3</v>
      </c>
      <c r="D35" s="356">
        <f>'ריכוז תקציב 2020'!J28/1000</f>
        <v>24267.276958333332</v>
      </c>
      <c r="E35" s="356">
        <f>C35-B35</f>
        <v>1721.2999999999993</v>
      </c>
      <c r="F35" s="356">
        <f>D35-B35</f>
        <v>-353.723041666668</v>
      </c>
    </row>
    <row r="36" spans="1:6" ht="14.5" hidden="1" thickBot="1" x14ac:dyDescent="0.35">
      <c r="A36" s="360" t="s">
        <v>2234</v>
      </c>
      <c r="B36" s="361">
        <f>SUM(B34:B35)</f>
        <v>51137</v>
      </c>
      <c r="C36" s="361">
        <f>SUM(C34:C35)</f>
        <v>55725.32026</v>
      </c>
      <c r="D36" s="361">
        <f>SUM(D34:D35)</f>
        <v>53650.297218333333</v>
      </c>
      <c r="E36" s="361">
        <f>SUM(E34:E35)</f>
        <v>4588.3202600000004</v>
      </c>
      <c r="F36" s="361">
        <f>SUM(F34:F35)</f>
        <v>2513.2972183333331</v>
      </c>
    </row>
    <row r="37" spans="1:6" hidden="1" x14ac:dyDescent="0.3"/>
    <row r="38" spans="1:6" hidden="1" x14ac:dyDescent="0.3">
      <c r="A38" s="354" t="s">
        <v>23</v>
      </c>
      <c r="B38" s="356">
        <v>7975</v>
      </c>
      <c r="C38" s="356">
        <f>'ריכוז תקציב 2020'!I30/1000</f>
        <v>8405.2051200000005</v>
      </c>
      <c r="D38" s="356">
        <f>'ריכוז תקציב 2020'!J30/1000</f>
        <v>8405.2051199999987</v>
      </c>
      <c r="E38" s="356">
        <f>C38-B38</f>
        <v>430.20512000000053</v>
      </c>
      <c r="F38" s="356">
        <f>D38-B38</f>
        <v>430.20511999999871</v>
      </c>
    </row>
    <row r="39" spans="1:6" hidden="1" x14ac:dyDescent="0.3">
      <c r="A39" s="354" t="s">
        <v>24</v>
      </c>
      <c r="B39" s="356">
        <v>23062</v>
      </c>
      <c r="C39" s="356">
        <f>'ריכוז תקציב 2020'!I31/1000</f>
        <v>24217.663</v>
      </c>
      <c r="D39" s="356">
        <f>'ריכוז תקציב 2020'!J31/1000</f>
        <v>24217.663</v>
      </c>
      <c r="E39" s="356">
        <f>C39-B39</f>
        <v>1155.6630000000005</v>
      </c>
      <c r="F39" s="356">
        <f>D39-B39</f>
        <v>1155.6630000000005</v>
      </c>
    </row>
    <row r="40" spans="1:6" ht="14.5" hidden="1" thickBot="1" x14ac:dyDescent="0.35">
      <c r="A40" s="360" t="s">
        <v>2235</v>
      </c>
      <c r="B40" s="361">
        <f>SUM(B38:B39)</f>
        <v>31037</v>
      </c>
      <c r="C40" s="361">
        <f>SUM(C38:C39)</f>
        <v>32622.868119999999</v>
      </c>
      <c r="D40" s="361">
        <f>SUM(D38:D39)</f>
        <v>32622.868119999999</v>
      </c>
      <c r="E40" s="361">
        <f>SUM(E38:E39)</f>
        <v>1585.868120000001</v>
      </c>
      <c r="F40" s="361">
        <f>SUM(F38:F39)</f>
        <v>1585.8681199999992</v>
      </c>
    </row>
    <row r="41" spans="1:6" hidden="1" x14ac:dyDescent="0.3">
      <c r="A41" s="355"/>
      <c r="B41" s="357"/>
      <c r="C41" s="357"/>
      <c r="D41" s="357"/>
      <c r="E41" s="357"/>
      <c r="F41" s="357"/>
    </row>
    <row r="42" spans="1:6" ht="14.5" hidden="1" thickBot="1" x14ac:dyDescent="0.35">
      <c r="A42" s="360" t="s">
        <v>2236</v>
      </c>
      <c r="B42" s="361">
        <f>B40+B36+B32</f>
        <v>165401</v>
      </c>
      <c r="C42" s="361">
        <f>C40+C36+C32</f>
        <v>172655.02738201062</v>
      </c>
      <c r="D42" s="361">
        <f>D40+D36+D32</f>
        <v>170650.00434034393</v>
      </c>
      <c r="E42" s="361">
        <f>E40+E36+E32</f>
        <v>7254.0273820106177</v>
      </c>
      <c r="F42" s="361">
        <f>F40+F36+F32</f>
        <v>5249.0043403439486</v>
      </c>
    </row>
    <row r="43" spans="1:6" hidden="1" x14ac:dyDescent="0.3"/>
    <row r="44" spans="1:6" hidden="1" x14ac:dyDescent="0.3">
      <c r="A44" s="354" t="s">
        <v>2237</v>
      </c>
      <c r="B44" s="356">
        <v>0</v>
      </c>
      <c r="C44" s="356">
        <v>0</v>
      </c>
      <c r="D44" s="356">
        <v>0</v>
      </c>
      <c r="E44" s="356">
        <f>C44-B44</f>
        <v>0</v>
      </c>
      <c r="F44" s="356">
        <f>D44-B44</f>
        <v>0</v>
      </c>
    </row>
    <row r="45" spans="1:6" hidden="1" x14ac:dyDescent="0.3">
      <c r="A45" s="354" t="s">
        <v>20</v>
      </c>
      <c r="B45" s="356">
        <v>2760</v>
      </c>
      <c r="C45" s="356">
        <f>'ריכוז תקציב 2020'!I32/1000</f>
        <v>1872</v>
      </c>
      <c r="D45" s="356">
        <f>'ריכוז תקציב 2020'!J32/1000</f>
        <v>1872</v>
      </c>
      <c r="E45" s="356">
        <f>C45-B45</f>
        <v>-888</v>
      </c>
      <c r="F45" s="356">
        <f>D45-B45</f>
        <v>-888</v>
      </c>
    </row>
    <row r="46" spans="1:6" ht="14.5" hidden="1" thickBot="1" x14ac:dyDescent="0.35">
      <c r="A46" s="360" t="s">
        <v>2238</v>
      </c>
      <c r="B46" s="361">
        <f>SUM(B44:B45)</f>
        <v>2760</v>
      </c>
      <c r="C46" s="361">
        <f>SUM(C44:C45)</f>
        <v>1872</v>
      </c>
      <c r="D46" s="361">
        <f>SUM(D44:D45)</f>
        <v>1872</v>
      </c>
      <c r="E46" s="361">
        <f>SUM(E44:E45)</f>
        <v>-888</v>
      </c>
      <c r="F46" s="361">
        <f>SUM(F44:F45)</f>
        <v>-888</v>
      </c>
    </row>
    <row r="47" spans="1:6" hidden="1" x14ac:dyDescent="0.3">
      <c r="A47" s="355"/>
      <c r="B47" s="357"/>
      <c r="C47" s="357"/>
      <c r="D47" s="357"/>
      <c r="E47" s="357"/>
      <c r="F47" s="357"/>
    </row>
    <row r="48" spans="1:6" hidden="1" x14ac:dyDescent="0.3">
      <c r="A48" s="354" t="s">
        <v>2239</v>
      </c>
      <c r="B48" s="356">
        <v>888</v>
      </c>
      <c r="C48" s="356">
        <f>'ריכוז תקציב 2020'!I34/1000</f>
        <v>852</v>
      </c>
      <c r="D48" s="356">
        <f>'ריכוז תקציב 2020'!J34/1000</f>
        <v>852</v>
      </c>
      <c r="E48" s="356">
        <f>C48-B48</f>
        <v>-36</v>
      </c>
      <c r="F48" s="356">
        <f>D48-B48</f>
        <v>-36</v>
      </c>
    </row>
    <row r="49" spans="1:6" hidden="1" x14ac:dyDescent="0.3">
      <c r="A49" s="354" t="s">
        <v>2240</v>
      </c>
      <c r="B49" s="356">
        <v>1070</v>
      </c>
      <c r="C49" s="356">
        <f>'ריכוז תקציב 2020'!I36/1000</f>
        <v>6377.174</v>
      </c>
      <c r="D49" s="356">
        <f>'ריכוז תקציב 2020'!J36/1000</f>
        <v>6577.174</v>
      </c>
      <c r="E49" s="356">
        <f>C49-B49</f>
        <v>5307.174</v>
      </c>
      <c r="F49" s="356">
        <f>D49-B49</f>
        <v>5507.174</v>
      </c>
    </row>
    <row r="50" spans="1:6" ht="14.5" hidden="1" thickBot="1" x14ac:dyDescent="0.35">
      <c r="A50" s="360" t="s">
        <v>2241</v>
      </c>
      <c r="B50" s="361">
        <f>B49+B48+B46+B42</f>
        <v>170119</v>
      </c>
      <c r="C50" s="361">
        <f>C49+C48+C46+C42</f>
        <v>181756.20138201062</v>
      </c>
      <c r="D50" s="361">
        <f>D49+D48+D46+D42</f>
        <v>179951.17834034393</v>
      </c>
      <c r="E50" s="361">
        <f>E49+E48+E46+E42</f>
        <v>11637.201382010619</v>
      </c>
      <c r="F50" s="361">
        <f>F49+F48+F46+F42</f>
        <v>9832.1783403439476</v>
      </c>
    </row>
    <row r="51" spans="1:6" hidden="1" x14ac:dyDescent="0.3">
      <c r="A51" s="355"/>
      <c r="B51" s="357"/>
      <c r="C51" s="357"/>
      <c r="D51" s="357"/>
      <c r="E51" s="357"/>
      <c r="F51" s="357"/>
    </row>
    <row r="52" spans="1:6" hidden="1" x14ac:dyDescent="0.3">
      <c r="A52" s="354" t="s">
        <v>2242</v>
      </c>
      <c r="B52" s="356">
        <v>0</v>
      </c>
      <c r="C52" s="356">
        <v>0</v>
      </c>
      <c r="D52" s="356">
        <v>0</v>
      </c>
      <c r="E52" s="356">
        <f>C52-B52</f>
        <v>0</v>
      </c>
      <c r="F52" s="356">
        <f>D52-B52</f>
        <v>0</v>
      </c>
    </row>
    <row r="53" spans="1:6" hidden="1" x14ac:dyDescent="0.3">
      <c r="A53" s="354" t="s">
        <v>2243</v>
      </c>
      <c r="B53" s="356">
        <v>900</v>
      </c>
      <c r="C53" s="356">
        <f>'ריכוז תקציב 2020'!I26/1000</f>
        <v>130</v>
      </c>
      <c r="D53" s="356">
        <f>'ריכוז תקציב 2020'!J26/1000</f>
        <v>680</v>
      </c>
      <c r="E53" s="356">
        <f>C53-B53</f>
        <v>-770</v>
      </c>
      <c r="F53" s="356">
        <f>D53-B53</f>
        <v>-220</v>
      </c>
    </row>
    <row r="54" spans="1:6" hidden="1" x14ac:dyDescent="0.3">
      <c r="A54" s="354" t="s">
        <v>2244</v>
      </c>
      <c r="B54" s="356">
        <v>12957</v>
      </c>
      <c r="C54" s="356">
        <f>'ריכוז תקציב 2020'!I35/1000</f>
        <v>13000</v>
      </c>
      <c r="D54" s="356">
        <f>'ריכוז תקציב 2020'!J35/1000</f>
        <v>18600</v>
      </c>
      <c r="E54" s="356">
        <f>C54-B54</f>
        <v>43</v>
      </c>
      <c r="F54" s="356">
        <f>D54-B54</f>
        <v>5643</v>
      </c>
    </row>
    <row r="55" spans="1:6" ht="14.5" hidden="1" thickBot="1" x14ac:dyDescent="0.35">
      <c r="A55" s="360" t="s">
        <v>618</v>
      </c>
      <c r="B55" s="361">
        <f>B54+B53+B52+B50</f>
        <v>183976</v>
      </c>
      <c r="C55" s="361">
        <f>C54+C53+C52+C50</f>
        <v>194886.20138201062</v>
      </c>
      <c r="D55" s="361">
        <f>D54+D53+D52+D50</f>
        <v>199231.17834034393</v>
      </c>
      <c r="E55" s="361">
        <f>E54+E53+E52+E50</f>
        <v>10910.201382010619</v>
      </c>
      <c r="F55" s="361">
        <f>F54+F53+F52+F50</f>
        <v>15255.178340343948</v>
      </c>
    </row>
    <row r="56" spans="1:6" hidden="1" x14ac:dyDescent="0.3">
      <c r="A56" s="355"/>
      <c r="B56" s="357"/>
      <c r="C56" s="357"/>
      <c r="D56" s="357"/>
      <c r="E56" s="357"/>
      <c r="F56" s="357"/>
    </row>
    <row r="57" spans="1:6" hidden="1" x14ac:dyDescent="0.3">
      <c r="A57" s="355"/>
      <c r="B57" s="357"/>
      <c r="C57" s="357"/>
      <c r="D57" s="357"/>
      <c r="E57" s="357"/>
      <c r="F57" s="357"/>
    </row>
    <row r="58" spans="1:6" hidden="1" x14ac:dyDescent="0.3">
      <c r="A58" s="354" t="s">
        <v>2245</v>
      </c>
      <c r="B58" s="356">
        <f>B25-B55</f>
        <v>-3260</v>
      </c>
      <c r="C58" s="356">
        <f>C25-C55</f>
        <v>-6934.8226573356369</v>
      </c>
      <c r="D58" s="356">
        <f>D25-D55+1</f>
        <v>-8597.6076156689669</v>
      </c>
      <c r="E58" s="356">
        <f>E25-E55</f>
        <v>-3672.8226573356205</v>
      </c>
      <c r="F58" s="356">
        <f>D58-B58</f>
        <v>-5337.6076156689669</v>
      </c>
    </row>
    <row r="59" spans="1:6" ht="28" hidden="1" x14ac:dyDescent="0.3">
      <c r="A59" s="358" t="s">
        <v>2246</v>
      </c>
      <c r="B59" s="356">
        <v>770</v>
      </c>
      <c r="C59" s="356">
        <v>4490</v>
      </c>
      <c r="D59" s="356">
        <v>4490</v>
      </c>
      <c r="F59" s="356">
        <f>D59-B59</f>
        <v>3720</v>
      </c>
    </row>
    <row r="60" spans="1:6" hidden="1" x14ac:dyDescent="0.3">
      <c r="A60" s="358"/>
    </row>
    <row r="61" spans="1:6" hidden="1" x14ac:dyDescent="0.3">
      <c r="A61" s="354" t="s">
        <v>2247</v>
      </c>
      <c r="B61" s="356">
        <f>B58+B59</f>
        <v>-2490</v>
      </c>
      <c r="C61" s="356">
        <f>C58+C59</f>
        <v>-2444.8226573356369</v>
      </c>
      <c r="D61" s="356">
        <f>D58+D59</f>
        <v>-4107.6076156689669</v>
      </c>
      <c r="F61" s="356">
        <f>D61-B61</f>
        <v>-1617.6076156689669</v>
      </c>
    </row>
    <row r="62" spans="1:6" hidden="1" x14ac:dyDescent="0.3"/>
    <row r="63" spans="1:6" hidden="1" x14ac:dyDescent="0.3"/>
    <row r="64" spans="1:6" hidden="1" x14ac:dyDescent="0.3"/>
    <row r="65" spans="1:6" hidden="1" x14ac:dyDescent="0.3"/>
    <row r="66" spans="1:6" hidden="1" x14ac:dyDescent="0.3"/>
    <row r="67" spans="1:6" hidden="1" x14ac:dyDescent="0.3"/>
    <row r="68" spans="1:6" hidden="1" x14ac:dyDescent="0.3"/>
    <row r="69" spans="1:6" hidden="1" x14ac:dyDescent="0.3">
      <c r="A69"/>
      <c r="B69"/>
      <c r="C69"/>
      <c r="D69"/>
      <c r="E69"/>
      <c r="F69"/>
    </row>
    <row r="70" spans="1:6" hidden="1" x14ac:dyDescent="0.3">
      <c r="A70"/>
      <c r="B70"/>
      <c r="C70"/>
      <c r="D70"/>
      <c r="E70"/>
      <c r="F70"/>
    </row>
    <row r="71" spans="1:6" x14ac:dyDescent="0.3">
      <c r="A71"/>
      <c r="B71" s="274"/>
      <c r="C71"/>
      <c r="D71"/>
      <c r="E71"/>
      <c r="F71"/>
    </row>
    <row r="72" spans="1:6" ht="28" x14ac:dyDescent="0.3">
      <c r="A72" s="364" t="s">
        <v>2221</v>
      </c>
      <c r="B72" s="365" t="s">
        <v>2252</v>
      </c>
      <c r="C72" s="365" t="s">
        <v>2253</v>
      </c>
      <c r="D72" s="365" t="s">
        <v>2253</v>
      </c>
      <c r="E72" s="365" t="s">
        <v>2250</v>
      </c>
      <c r="F72" s="365" t="s">
        <v>2251</v>
      </c>
    </row>
    <row r="73" spans="1:6" x14ac:dyDescent="0.3">
      <c r="A73" s="192" t="s">
        <v>2222</v>
      </c>
      <c r="B73" s="363">
        <v>54038</v>
      </c>
      <c r="C73" s="366">
        <f>C5</f>
        <v>57567.526399999995</v>
      </c>
      <c r="D73" s="366">
        <f>D5</f>
        <v>51967.526399999995</v>
      </c>
      <c r="E73" s="366">
        <f>C73-B73</f>
        <v>3529.5263999999952</v>
      </c>
      <c r="F73" s="366">
        <f>D73-B73</f>
        <v>-2070.4736000000048</v>
      </c>
    </row>
    <row r="74" spans="1:6" x14ac:dyDescent="0.3">
      <c r="A74" s="192" t="s">
        <v>2223</v>
      </c>
      <c r="B74" s="363">
        <v>9651</v>
      </c>
      <c r="C74" s="366">
        <f>C7</f>
        <v>9903.4480000000003</v>
      </c>
      <c r="D74" s="366">
        <f>D7</f>
        <v>8639.3733333333366</v>
      </c>
      <c r="E74" s="366">
        <f t="shared" ref="E74:E79" si="2">C74-B74</f>
        <v>252.44800000000032</v>
      </c>
      <c r="F74" s="366">
        <f t="shared" ref="F74:F79" si="3">D74-B74</f>
        <v>-1011.6266666666634</v>
      </c>
    </row>
    <row r="75" spans="1:6" x14ac:dyDescent="0.3">
      <c r="A75" s="192" t="s">
        <v>2224</v>
      </c>
      <c r="B75" s="363">
        <v>-13146</v>
      </c>
      <c r="C75" s="366">
        <f>C7+C12-C36</f>
        <v>-16039.872259999996</v>
      </c>
      <c r="D75" s="366">
        <f>D7+D12-D36</f>
        <v>-15982.882218333332</v>
      </c>
      <c r="E75" s="366">
        <f t="shared" si="2"/>
        <v>-2893.8722599999965</v>
      </c>
      <c r="F75" s="366">
        <f t="shared" si="3"/>
        <v>-2836.8822183333323</v>
      </c>
    </row>
    <row r="76" spans="1:6" x14ac:dyDescent="0.3">
      <c r="A76" s="192" t="s">
        <v>2225</v>
      </c>
      <c r="B76" s="363">
        <v>-7640</v>
      </c>
      <c r="C76" s="366">
        <f>C8+C13-C40</f>
        <v>-7980.1951153249975</v>
      </c>
      <c r="D76" s="366">
        <f>D8+D13-D40</f>
        <v>-7980.1951153249975</v>
      </c>
      <c r="E76" s="366">
        <f t="shared" si="2"/>
        <v>-340.19511532499746</v>
      </c>
      <c r="F76" s="366">
        <f t="shared" si="3"/>
        <v>-340.19511532499746</v>
      </c>
    </row>
    <row r="77" spans="1:6" x14ac:dyDescent="0.3">
      <c r="A77" s="192" t="s">
        <v>2227</v>
      </c>
      <c r="B77" s="363">
        <v>47935</v>
      </c>
      <c r="C77" s="366">
        <f>C30</f>
        <v>48397.708002010615</v>
      </c>
      <c r="D77" s="366">
        <f>D30</f>
        <v>48397.708002010615</v>
      </c>
      <c r="E77" s="366">
        <f t="shared" si="2"/>
        <v>462.70800201061502</v>
      </c>
      <c r="F77" s="366">
        <f t="shared" si="3"/>
        <v>462.70800201061502</v>
      </c>
    </row>
    <row r="78" spans="1:6" x14ac:dyDescent="0.3">
      <c r="A78" s="192" t="s">
        <v>2228</v>
      </c>
      <c r="B78" s="363">
        <v>35292</v>
      </c>
      <c r="C78" s="366">
        <f>C31</f>
        <v>35909.131000000001</v>
      </c>
      <c r="D78" s="366">
        <f>D31</f>
        <v>35979.131000000001</v>
      </c>
      <c r="E78" s="366">
        <f t="shared" si="2"/>
        <v>617.13100000000122</v>
      </c>
      <c r="F78" s="366">
        <f t="shared" si="3"/>
        <v>687.13100000000122</v>
      </c>
    </row>
    <row r="79" spans="1:6" ht="28.5" thickBot="1" x14ac:dyDescent="0.35">
      <c r="A79" s="503" t="s">
        <v>3546</v>
      </c>
      <c r="B79" s="505">
        <f>B58</f>
        <v>-3260</v>
      </c>
      <c r="C79" s="505">
        <f>C58</f>
        <v>-6934.8226573356369</v>
      </c>
      <c r="D79" s="505">
        <f>D58</f>
        <v>-8597.6076156689669</v>
      </c>
      <c r="E79" s="505">
        <f t="shared" si="2"/>
        <v>-3674.8226573356369</v>
      </c>
      <c r="F79" s="505">
        <f t="shared" si="3"/>
        <v>-5337.6076156689669</v>
      </c>
    </row>
    <row r="80" spans="1:6" ht="14.5" thickTop="1" x14ac:dyDescent="0.3">
      <c r="A80" s="500" t="s">
        <v>3547</v>
      </c>
      <c r="B80" s="501">
        <f>'ריכוז תקציב 2020'!G41/1000</f>
        <v>770</v>
      </c>
      <c r="C80" s="501">
        <f>'ריכוז תקציב 2020'!I41/1000</f>
        <v>4489.674</v>
      </c>
      <c r="D80" s="501">
        <f>'ריכוז תקציב 2020'!J41/1000</f>
        <v>4489.674</v>
      </c>
      <c r="E80" s="502">
        <f>C80-B80</f>
        <v>3719.674</v>
      </c>
      <c r="F80" s="502">
        <f>D80-B80</f>
        <v>3719.674</v>
      </c>
    </row>
    <row r="81" spans="1:6" ht="14.5" thickBot="1" x14ac:dyDescent="0.35">
      <c r="A81" s="503" t="s">
        <v>3548</v>
      </c>
      <c r="B81" s="504">
        <f>B79+B80</f>
        <v>-2490</v>
      </c>
      <c r="C81" s="504">
        <f>C79+C80</f>
        <v>-2445.1486573356369</v>
      </c>
      <c r="D81" s="504">
        <f>D79+D80</f>
        <v>-4107.9336156689669</v>
      </c>
      <c r="E81" s="505">
        <f>C81-B81</f>
        <v>44.851342664363074</v>
      </c>
      <c r="F81" s="505">
        <f>D81-B81</f>
        <v>-1617.9336156689669</v>
      </c>
    </row>
    <row r="82" spans="1:6" ht="14.5" thickTop="1" x14ac:dyDescent="0.3"/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4</vt:i4>
      </vt:variant>
    </vt:vector>
  </HeadingPairs>
  <TitlesOfParts>
    <vt:vector size="22" baseType="lpstr">
      <vt:lpstr>שער</vt:lpstr>
      <vt:lpstr>ריכוז תקציב 2020</vt:lpstr>
      <vt:lpstr>ריכוז לפי פרקים</vt:lpstr>
      <vt:lpstr>גרפים</vt:lpstr>
      <vt:lpstr>תקציב 2020</vt:lpstr>
      <vt:lpstr>שינויים ישיבת הנהלה</vt:lpstr>
      <vt:lpstr>נספח 4 משרות</vt:lpstr>
      <vt:lpstr>יתרות 1 עד 5</vt:lpstr>
      <vt:lpstr>תוכנית הבראה</vt:lpstr>
      <vt:lpstr>טלפון</vt:lpstr>
      <vt:lpstr>צריכת חשמל</vt:lpstr>
      <vt:lpstr>חינוך</vt:lpstr>
      <vt:lpstr>כספי 2019</vt:lpstr>
      <vt:lpstr>גבייה</vt:lpstr>
      <vt:lpstr>ריכוז</vt:lpstr>
      <vt:lpstr>שכר מפורט</vt:lpstr>
      <vt:lpstr>66 שנת 2019</vt:lpstr>
      <vt:lpstr>שינויים 14.7.20</vt:lpstr>
      <vt:lpstr>'נספח 4 משרות'!WPrint_Area_W</vt:lpstr>
      <vt:lpstr>שער!WPrint_Area_W</vt:lpstr>
      <vt:lpstr>'תקציב 2020'!WPrint_Area_W</vt:lpstr>
      <vt:lpstr>'תקציב 2020'!WPrint_TitlesW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2021-10-19T06:19:58Z</dcterms:modified>
</cp:coreProperties>
</file>